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12120" windowHeight="4050" tabRatio="721" activeTab="6"/>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externalReferences>
    <externalReference r:id="rId13"/>
    <externalReference r:id="rId14"/>
  </externalReference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'Programmatic'!$A$1:$Q$28</definedName>
    <definedName name="PrintA">'Actions'!$A$2:$L$34</definedName>
    <definedName name="PrintDataF">'Data Entry'!$B$25:$J$61</definedName>
    <definedName name="PrintDataM">'Data Entry'!$B$63:$H$107</definedName>
    <definedName name="PrintF">'Finance'!$A$2:$K$31</definedName>
    <definedName name="PrintGD">'Grant Detail'!$A$2:$J$13</definedName>
    <definedName name="PrintM" localSheetId="8">'Actions'!$A$2:$L$6</definedName>
    <definedName name="PrintM">'Management'!$A$2:$L$36</definedName>
    <definedName name="PrintP">'Programmatic'!$A$2:$P$29</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68" authorId="0">
      <text>
        <r>
          <rPr>
            <b/>
            <sz val="8"/>
            <rFont val="Tahoma"/>
            <family val="2"/>
          </rPr>
          <t xml:space="preserve">If data are not available, do not enter zeros; rather, leave the cells in the table blank. </t>
        </r>
      </text>
    </comment>
    <comment ref="B69"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90" authorId="1">
      <text>
        <r>
          <rPr>
            <sz val="8"/>
            <rFont val="Tahoma"/>
            <family val="2"/>
          </rPr>
          <t>To define your periods (eg. P1, P2, P3 etc or P9, P10, P11 etc) you need to unprotect the cells.</t>
        </r>
      </text>
    </comment>
    <comment ref="B75" authorId="1">
      <text>
        <r>
          <rPr>
            <sz val="8"/>
            <rFont val="Tahoma"/>
            <family val="2"/>
          </rPr>
          <t xml:space="preserve">If data are not available, do not enter zeros; rather, leave the cells in this table blank. </t>
        </r>
      </text>
    </comment>
  </commentList>
</comments>
</file>

<file path=xl/sharedStrings.xml><?xml version="1.0" encoding="utf-8"?>
<sst xmlns="http://schemas.openxmlformats.org/spreadsheetml/2006/main" count="660" uniqueCount="503">
  <si>
    <t>Definition  (from M&amp;E Plan, September 2009)</t>
  </si>
  <si>
    <t>Planning and administration</t>
  </si>
  <si>
    <t>Target (cumulative over program term)</t>
  </si>
  <si>
    <t>Achieved (cumulative over program term)</t>
  </si>
  <si>
    <t>N/A</t>
  </si>
  <si>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</si>
  <si>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</si>
  <si>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</si>
  <si>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</si>
  <si>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</si>
  <si>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</si>
  <si>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</si>
  <si>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</si>
  <si>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</si>
  <si>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</si>
  <si>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</si>
  <si>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</si>
  <si>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</si>
  <si>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</si>
  <si>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</si>
  <si>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</si>
  <si>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</si>
  <si>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</si>
  <si>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</si>
  <si>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</si>
  <si>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</si>
  <si>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</si>
  <si>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</si>
  <si>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</si>
  <si>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</si>
  <si>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</si>
  <si>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</si>
  <si>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</si>
  <si>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</si>
  <si>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</si>
  <si>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</si>
  <si>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</si>
  <si>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</si>
  <si>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</si>
  <si>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</si>
  <si>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</si>
  <si>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</si>
  <si>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</si>
  <si>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</si>
  <si>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</si>
  <si>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</si>
  <si>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</si>
  <si>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</si>
  <si>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</si>
  <si>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</si>
  <si>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</si>
  <si>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</si>
  <si>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</si>
  <si>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</si>
  <si>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</si>
  <si>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</si>
  <si>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</si>
  <si>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</si>
  <si>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</si>
  <si>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</si>
  <si>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</si>
  <si>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</si>
  <si>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</si>
  <si>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</si>
  <si>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</si>
  <si>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</si>
  <si>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</si>
  <si>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</si>
  <si>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</si>
  <si>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</si>
  <si>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</si>
  <si>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</si>
  <si>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</si>
  <si>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</si>
  <si>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</si>
  <si>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</si>
  <si>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</si>
  <si>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</si>
  <si>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</si>
  <si>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</si>
  <si>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</si>
  <si>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</si>
  <si>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</si>
  <si>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</si>
  <si>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</si>
  <si>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</si>
  <si>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</si>
  <si>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</si>
  <si>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</si>
  <si>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</si>
  <si>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</si>
  <si>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</si>
  <si>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</si>
  <si>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</si>
  <si>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</si>
  <si>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</si>
  <si>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</si>
  <si>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</si>
  <si>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</si>
  <si>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</si>
  <si>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</si>
  <si>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</si>
  <si>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</si>
  <si>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</si>
  <si>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</si>
  <si>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</si>
  <si>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</si>
  <si>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</si>
  <si>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</si>
  <si>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</si>
  <si>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</si>
  <si>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</si>
  <si>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</si>
  <si>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</si>
  <si>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</si>
  <si>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</si>
  <si>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</si>
  <si>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</si>
  <si>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</si>
  <si>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</si>
  <si>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</si>
  <si>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</si>
  <si>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</si>
  <si>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</si>
  <si>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</si>
  <si>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</si>
  <si>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</si>
  <si>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</si>
  <si>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</si>
  <si>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</si>
  <si>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</si>
  <si>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</si>
  <si>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</si>
  <si>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</si>
  <si>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</si>
  <si>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</si>
  <si>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</si>
  <si>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</si>
  <si>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</si>
  <si>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</si>
  <si>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</si>
  <si>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</si>
  <si>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</si>
  <si>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</si>
  <si>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</si>
  <si>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</si>
  <si>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</si>
  <si>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</si>
  <si>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</si>
  <si>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</si>
  <si>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</si>
  <si>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</si>
  <si>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</si>
  <si>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</si>
  <si>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</si>
  <si>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</si>
  <si>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</si>
  <si>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</si>
  <si>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</si>
  <si>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</si>
  <si>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</si>
  <si>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</si>
  <si>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</si>
  <si>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</si>
  <si>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</si>
  <si>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</si>
  <si>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</si>
  <si>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</si>
  <si>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</si>
  <si>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</si>
  <si>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</si>
  <si>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</si>
  <si>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</si>
  <si>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</si>
  <si>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</si>
  <si>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</si>
  <si>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</si>
  <si>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</si>
  <si>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</si>
  <si>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</si>
  <si>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</si>
  <si>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</si>
  <si>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</si>
  <si>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</si>
  <si>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</si>
  <si>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</si>
  <si>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</si>
  <si>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</si>
  <si>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</si>
  <si>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</si>
  <si>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</si>
  <si>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</si>
  <si>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</si>
  <si>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</si>
  <si>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</si>
  <si>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</si>
  <si>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</si>
  <si>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</si>
  <si>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</si>
  <si>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</si>
  <si>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</si>
  <si>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</si>
  <si>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</si>
  <si>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</si>
  <si>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</si>
  <si>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</si>
  <si>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</si>
  <si>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</si>
  <si>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</si>
  <si>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</si>
  <si>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</si>
  <si>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</si>
  <si>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</si>
  <si>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</si>
  <si>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</si>
  <si>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</si>
  <si>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</si>
  <si>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</si>
  <si>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</si>
  <si>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</si>
  <si>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</si>
  <si>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</si>
  <si>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</si>
  <si>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</si>
  <si>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</si>
  <si>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</si>
  <si>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</si>
  <si>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</si>
  <si>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</si>
  <si>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</si>
  <si>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</si>
  <si>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</si>
  <si>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</si>
  <si>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</si>
  <si>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</si>
  <si>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</si>
  <si>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</si>
  <si>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</si>
  <si>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</si>
  <si>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</si>
  <si>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</si>
  <si>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</si>
  <si>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</si>
  <si>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</si>
  <si>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</si>
  <si>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</si>
  <si>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</si>
  <si>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</si>
  <si>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</si>
  <si>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</si>
  <si>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</si>
  <si>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</si>
  <si>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</si>
  <si>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</si>
  <si>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</si>
  <si>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</si>
  <si>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</si>
  <si>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</si>
  <si>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</si>
  <si>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</si>
  <si>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</si>
  <si>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</si>
  <si>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</si>
  <si>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</si>
  <si>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</si>
  <si>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</si>
  <si>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</si>
  <si>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</si>
  <si>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</si>
  <si>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</si>
  <si>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</si>
  <si>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</si>
  <si>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</si>
  <si>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</si>
  <si>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</si>
  <si>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</si>
  <si>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</si>
  <si>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</si>
  <si>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</si>
  <si>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</si>
  <si>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</si>
  <si>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</si>
  <si>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</si>
  <si>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</si>
  <si>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</si>
  <si>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</si>
  <si>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</si>
  <si>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</si>
  <si>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</si>
  <si>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</si>
  <si>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</si>
  <si>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</si>
  <si>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</si>
  <si>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</si>
  <si>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</si>
  <si>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</si>
  <si>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</si>
  <si>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</si>
  <si>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</si>
  <si>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</si>
  <si>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</si>
  <si>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</si>
  <si>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</si>
  <si>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</si>
  <si>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</si>
  <si>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</si>
  <si>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</si>
  <si>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</si>
  <si>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</si>
  <si>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</si>
  <si>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</si>
  <si>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</si>
  <si>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</si>
  <si>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</si>
  <si>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</si>
  <si>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</si>
  <si>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</si>
  <si>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</si>
  <si>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</si>
  <si>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</si>
  <si>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</si>
  <si>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</si>
  <si>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</si>
  <si>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</si>
  <si>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</si>
  <si>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</si>
  <si>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</si>
  <si>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</si>
  <si>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</si>
  <si>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</si>
  <si>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</si>
  <si>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</si>
  <si>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</si>
  <si>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</si>
  <si>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</si>
  <si>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</si>
  <si>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</si>
  <si>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</si>
  <si>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</si>
  <si>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</si>
  <si>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</si>
  <si>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</si>
  <si>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</si>
  <si>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</si>
  <si>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</si>
  <si>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</si>
  <si>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</si>
  <si>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</si>
  <si>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</si>
  <si>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</si>
  <si>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</si>
  <si>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</si>
  <si>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</si>
  <si>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</si>
  <si>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</si>
  <si>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</si>
  <si>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</si>
  <si>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</si>
  <si>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</si>
  <si>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</si>
  <si>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</si>
  <si>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</si>
  <si>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</si>
  <si>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</si>
  <si>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</si>
  <si>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</si>
  <si>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</si>
  <si>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</si>
  <si>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</si>
  <si>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</si>
  <si>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</si>
  <si>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</si>
  <si>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</si>
  <si>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</si>
  <si>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</si>
  <si>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</si>
  <si>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</si>
  <si>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</si>
  <si>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</si>
  <si>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</si>
  <si>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</si>
  <si>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</si>
  <si>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</si>
  <si>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</si>
  <si>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</si>
  <si>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</si>
  <si>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</si>
  <si>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</si>
  <si>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</si>
  <si>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</si>
  <si>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</si>
  <si>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</si>
  <si>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</si>
  <si>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</si>
  <si>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</si>
  <si>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</si>
  <si>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</si>
  <si>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</si>
  <si>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</si>
  <si>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</si>
  <si>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</si>
  <si>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</si>
  <si>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</si>
  <si>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</si>
  <si>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</si>
  <si>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</si>
  <si>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</si>
  <si>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</si>
  <si>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</si>
  <si>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</si>
  <si>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</si>
  <si>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</si>
  <si>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</si>
  <si>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</si>
  <si>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</si>
  <si>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</si>
  <si>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</si>
  <si>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</si>
  <si>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</si>
  <si>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PAS Center</t>
  </si>
  <si>
    <t>January 01, 2010</t>
  </si>
  <si>
    <t>Number of people living with HIV/AIDS reached with care and support services</t>
  </si>
  <si>
    <t>Number of children infected and affected by HIV/AIDS who receive social support</t>
  </si>
  <si>
    <t>Number of medical (doctors and nurses) and non-medical staff (psychologists, social assistants, peer consultants) trained in HIV/AIDS</t>
  </si>
  <si>
    <t>Number and percentage of individuals currently on OST who have been on OST continuously at least 6 months for the past 12 months</t>
  </si>
  <si>
    <t>n/a</t>
  </si>
  <si>
    <t>Reducing HIV-related burden in the Republic of Moldova</t>
  </si>
  <si>
    <t>SSF (Round 8)</t>
  </si>
  <si>
    <t>Tatiana Vinichenko</t>
  </si>
  <si>
    <t>Indicator refers to training of ART and MDT medical specialists, infectious diseases and PHC specialists, social assistants and MDT non-medical specialists. 
This is a composite indicator, related activities: 3.1.1., 3.1.2., 3.1.4. &amp; 3.1.5</t>
  </si>
  <si>
    <t>A person is considered trained if he/she has attended the course not less than 80% and signed the list of participation at training (people signed the list of attendance twice a day along the course).</t>
  </si>
  <si>
    <t>Training records (daily attendance lists signed by trainees)</t>
  </si>
  <si>
    <t>Number of PLHIV receiving food parcels to improve ARV treatment adherence</t>
  </si>
  <si>
    <t>Patients on ART treatment will receive quarterly incentives (food parcels) for better adherence to treatment, in both civilian and penitentiary sectors. A PLHIV is considered "reached" if s/he has received a food package per quarter at least one quarter. Quarterly will be distributed 800 food parcels based on the socio-economic vulnerability criteria. Targets for this indicator are annual and have been calculated based on an estimated quarterly increase by 10% in the number of new beneficiaries.  
Related activity: 4.1.1</t>
  </si>
  <si>
    <t xml:space="preserve">New persons who received a food package per quarter at least quart. </t>
  </si>
  <si>
    <t xml:space="preserve">Register of people reached and SR program reports </t>
  </si>
  <si>
    <t xml:space="preserve">The beneficiaries are provided with the following services: psycho-social counseling and support, medical counseling and refferal, distribution of information materials, peer counseling, self-support groups and food support, etc. The beneficiary is considered "reached" if s/he has received at least one of the listed services. Related activity 4.1.2,4.1.3 &amp; 4.4.1-4.4.3. Target include baseline. </t>
  </si>
  <si>
    <t>The beneficiaries are provided with the following services: psycho-social counseling and support, medical counseling and referral, distribution of information materials and peer counseling. The beneficiary is considered "reached" if he/she has received at least one of the listed services.</t>
  </si>
  <si>
    <t>The social support includes food parcels and clothing and school supplies for HIV infected children and food support for children born from HIV positive mothers with unknown status. Quarterly will be distributed 230 food parcels. Targets for this indicator are annual and have been calculated based on an estimated quarterly increase by 10% in number of new born to HIV positive mothers. 
It is a composite indicator, related activities: 4.3.1.&amp; 4.3.2.</t>
  </si>
  <si>
    <t>A child is considered "reached" if she/he has received a social support (food parcels and clothing and school supplies for HIV infected children and food support for children born from HIV positive mothers with unknown status) per quarter at least quart.</t>
  </si>
  <si>
    <t>Register of people reached and SR program reports</t>
  </si>
  <si>
    <t>Number of Injecting drug users on oppoid substitution therapy that receive at least 3 support services from NGOs working in DUs rehabilitation</t>
  </si>
  <si>
    <t xml:space="preserve">The beneficiary is considered "reached" if s/he has received at least three of the services listed (psycho-social support, self-support groups, peer to peer education, distributions of information materials, food support,etc.). Related activity 4.2.1-4.2.3 Target include baseline. </t>
  </si>
  <si>
    <t>The beneficiary is considered "reached" if he/she has received at least three of the services listed (psycho-social support, self-support groups, peer to peer education, distributions of information materials, food support, etc.).</t>
  </si>
  <si>
    <t xml:space="preserve">Numerator: number of individuals completing at least 6 months of continuous treatment on OST that initiated treatment 6-12 months prior to the end of the reporting period.  
Denominator:  total number of individuals that initiated treatment 6-12 months prior to the end of reporting period. 
The indicator is linked to percentage and absolute numbers will be provided when reporting results. The targets refer to the patient cohort (both new and repeated cases) that initiated treatment in the first 6 months of the last 12 months period. NOTE: PAS Center is responsible for data collection and validation. </t>
  </si>
  <si>
    <t xml:space="preserve">Determine the number of people who initiated OST (first or repeated) in the first six months of the last 12 months and evaluated how many of these people remained in OST at least 6 months continuously. 6 months cohort based evaluations. </t>
  </si>
  <si>
    <t>OST centers administrative records (RND, Balti municipal hospital and DPI)</t>
  </si>
  <si>
    <t>Number of human rights strategic litigation cases for PLHIV initiated</t>
  </si>
  <si>
    <t>Indicator refers to cases of PLHIV rights violation initiated for strategic litigation in order to change the existing practices. 
Related activity 5.2.2-5.2.4</t>
  </si>
  <si>
    <t>Total number of human rights strategic litigation cases registered in the register</t>
  </si>
  <si>
    <t>List of human rights strategic litigation cases</t>
  </si>
  <si>
    <t>Number of PLHIV assisted by legal aid (consultancies offered by legal network)</t>
  </si>
  <si>
    <t>The indicator refers to legal assistance provided remotely to PLHIV on issues of legal, civil (including disclosure of HIV status), administrative nature. 
Related activity 5.2.1&amp;5.2.4</t>
  </si>
  <si>
    <t>Person is considered "reached" if he/she receives at least one consultation offered by legal network.</t>
  </si>
  <si>
    <t>List of PLHIV assisted by legal aid</t>
  </si>
  <si>
    <t xml:space="preserve">Number of members of the civil society trained in services provision to PLHIV </t>
  </si>
  <si>
    <t>Indicator refers to training of members of the civil society in services provision to PLHIV. 
Related activities: 5.3.9.</t>
  </si>
  <si>
    <t>MOL-H-PAS</t>
  </si>
  <si>
    <t>EUR 12057410</t>
  </si>
  <si>
    <t>P13</t>
  </si>
  <si>
    <t>P14</t>
  </si>
  <si>
    <t>P13 (Q1.2013)</t>
  </si>
  <si>
    <t>P14 (Q2.2013)</t>
  </si>
  <si>
    <t>P1-P12 (Q1.2010-Q4.2012)</t>
  </si>
  <si>
    <r>
      <t>Number of children infected and affected by HIV/AIDS who receive social support</t>
    </r>
    <r>
      <rPr>
        <i/>
        <sz val="10"/>
        <rFont val="Arial"/>
        <family val="2"/>
      </rPr>
      <t xml:space="preserve"> 
(Numărul de copii infectaţi şi afectaţi de HIV/SIDA care primesc suport social)</t>
    </r>
  </si>
  <si>
    <r>
      <t>Number of Injecting drug users on opioid substitution therapy that receive at least 3 support services from NGOs working in DUs rehabilitation 
(</t>
    </r>
    <r>
      <rPr>
        <i/>
        <sz val="10"/>
        <rFont val="Arial"/>
        <family val="2"/>
      </rPr>
      <t>Numărul de CDI care sunt în terapia de substituţie cu metadonă şi primesc cel puţin 3 servicii de suport din partea ONG-urilor care lucrează la reabilitarea CDI)</t>
    </r>
    <r>
      <rPr>
        <sz val="10"/>
        <rFont val="Arial"/>
        <family val="2"/>
      </rPr>
      <t xml:space="preserve">           </t>
    </r>
  </si>
  <si>
    <r>
      <t xml:space="preserve">Number of PLHIV receiving food parcels to improve ARV treatment adherence 
</t>
    </r>
    <r>
      <rPr>
        <i/>
        <sz val="10"/>
        <rFont val="Arial"/>
        <family val="2"/>
      </rPr>
      <t>(Numărul de PTH care primesc pachete alimentare pentru a îmbunătăți aderenţa la tratamentul ARV)</t>
    </r>
  </si>
  <si>
    <r>
      <t xml:space="preserve">Number of members of the civil society trained in services provision to PLHIV 
</t>
    </r>
    <r>
      <rPr>
        <i/>
        <sz val="10"/>
        <rFont val="Arial"/>
        <family val="2"/>
      </rPr>
      <t>(Numărul de membri ai societăţii civile instruiţi în furnizarea de servicii pentru PTH)</t>
    </r>
  </si>
  <si>
    <r>
      <t xml:space="preserve">Number and percentage of individuals currently on OST who have been on OST continuously at least 6 months for the past 12 months 
</t>
    </r>
    <r>
      <rPr>
        <i/>
        <sz val="10"/>
        <rFont val="Arial"/>
        <family val="2"/>
      </rPr>
      <t xml:space="preserve">(Numărul şi procentul persoanelor aflate în tratamentul de substituție cu metadonă (TSO) care au fost în TSO continuu cel puțin 6 luni pe parcursul ultimelor 12 luni) </t>
    </r>
  </si>
  <si>
    <r>
      <t xml:space="preserve">Number of people living with HIV/AIDS reached with care and support services </t>
    </r>
    <r>
      <rPr>
        <i/>
        <sz val="10"/>
        <rFont val="Arial"/>
        <family val="2"/>
      </rPr>
      <t xml:space="preserve">
(Numărul persoanelor care trăiesc cu HIV/SIDA şi au primit suport social)</t>
    </r>
  </si>
  <si>
    <t>Number of people living with HIV/AIDS reached with care and support services 
(Numărul persoanelor care trăiesc cu HIV/SIDA şi au primit suport social)</t>
  </si>
  <si>
    <r>
      <t xml:space="preserve">Number of medical (doctors and nurses) and non-medical staff (psychologists, social assistants, peer consultants) trained in HIV/AIDS 
</t>
    </r>
    <r>
      <rPr>
        <i/>
        <sz val="10"/>
        <rFont val="Arial"/>
        <family val="2"/>
      </rPr>
      <t xml:space="preserve">(Numărul personalului medical (medici şi asistente medicale) şi non-medical (psihologi, asistenţi sociali, educatori de la egal la egal) instruiţi în HIV/SIDA) </t>
    </r>
  </si>
  <si>
    <r>
      <t xml:space="preserve">Number of human rights strategic litigation cases for PLWH initiated 
</t>
    </r>
    <r>
      <rPr>
        <i/>
        <sz val="10"/>
        <rFont val="Arial"/>
        <family val="2"/>
      </rPr>
      <t>(Numărul de cazuri de încălcare a drepturilor PTH inițiate pentru litigare strategică)</t>
    </r>
  </si>
  <si>
    <r>
      <t xml:space="preserve">Number of PLHIV assisted by legal aid (consultancies offered by legal network) 
</t>
    </r>
    <r>
      <rPr>
        <i/>
        <sz val="10"/>
        <rFont val="Arial"/>
        <family val="2"/>
      </rPr>
      <t>(Numărul de PTH care au beneficiat de asistență juridică)</t>
    </r>
  </si>
  <si>
    <t>July 01, 2013</t>
  </si>
  <si>
    <t>December 31, 2013</t>
  </si>
  <si>
    <t>P15</t>
  </si>
  <si>
    <t>P16</t>
  </si>
  <si>
    <t>P15 (Q2.2013)</t>
  </si>
  <si>
    <t>P16 (Q2.2013)</t>
  </si>
  <si>
    <t>Support PLHIV, PWID and ensure institutionalization</t>
  </si>
  <si>
    <t xml:space="preserve">Ensure engagement of civil society and key affected population and promote human rights </t>
  </si>
  <si>
    <t>Develop capacity and ensure program sustainability</t>
  </si>
  <si>
    <t xml:space="preserve">By December 31, 2013, the total amount disbursed by TGF to PAS Center was EUR 10,565,583. The cumulative disbursement rate is 104.6%. The variance is due to the fact that the cumulative disbursement includes the  buffer for Q1, 2014 in a total amount of EUR 465,363.
(Până la 31 decembrie 2013, Centrului PAS i-au fost disbursate de către Fondul Global 10,565,583 Euro. Rata cumulativă a disbursării este de 104.6%. Variația este cauzată de faptul că disbursarea cumulativă include un buffer pentru Tr.1, 2014 în valoare totală de 465,363 Euro.)  </t>
  </si>
  <si>
    <t xml:space="preserve">Period 2 </t>
  </si>
  <si>
    <t>The cash outflow rate for the reporting period is 98.3% (actual: EUR 992,657, budget: EUR 1,009,491) of the semi-annual budget and the cumulative cash outflow as of December 31, 2013 is 100.56% (actual: EUR 10,159,549, budget: EUR 10,102,673). 
The cumulative variance mainly consist of payments afferent to commitments from Period 1,  payments the NGO "Youth for the Wright to Live" from year 2014 budget as per TGF approval dated February 20, 2013 for the renovation, and commitments that will be paid over next semester.
(Rata de absorbţie pentru perioada raportată este de 98.3% (Actual  992,657 Euro/Budget 1,009,491 Euro) din bugetul semianual şi rata cumulativă de absorbţie din buget la 31.12.2013 este 100.56% (actual: 10,159,549 Euro, budget: 10,102,673 Euro). 
Variația cumulativă se datorează în mare parte plăţilor aferente Perioadei 1, plăților din bugetul anului 2014 către ONG-ul "Tinerii pentru Dreptul la Viață" pentru renovare conform aprobării FG din data de 20 februarie 2013 și angajamentelor care vor fi plătite pe parcursul semestrului următor.)</t>
  </si>
  <si>
    <t xml:space="preserve"> </t>
  </si>
  <si>
    <t>March 10, 2014</t>
  </si>
  <si>
    <t>The PU for Semester 2, 2013 has been submitted to LFA in due terms (42 days after the end of reported period), on February 11, 2014. 
The disbursement requested with the previous PU/DR for S2, 2012 (submitted on February 15, 2013) reached the PR on 08 May, 2013 (83 days after the PU/DR) and include the budget for semester 2, 2013 and the buffer for Q1, 2014.
(Actualizarea progresului pentru Semestrul 2, 2013 a fost remisa Agentului Local al Fondului in termenii stabiliți (42 de zile după finisarea perioadei raportate) pe data de 11 februarie 2013.
Disbursarea solicitată cu  precedenta Actualizare de progres (PU/DR) pentru Semestrul 2, 2012 a fost primită de PR pe data de 08 mai 2013 (83 zile de la PU/DR). Disbursarea include bugetul pentru semestrul 2, 2013 și un buffer pentru Tr.1, 2014.)</t>
  </si>
  <si>
    <t>Two full time positions and 12 part time.
(Două poziţii cu normă plină şi 12 - parţială.)</t>
  </si>
  <si>
    <t>During S8 a total of 53 PWIDs on opioid substitution therapy (primarily reached) received at least 3 support services from the package (psycho-social support, self-support groups, peer to peer education, distributions of information materials, food support, etc.) offered by NGOs working in PWUDs rehabilitation. 
The number of PWIDs on OST covered with psycho-social support is directly dependent to the number of PWIDs enrolled in OST treatment (new patients) which is continuously decreasing. During S2, 2013, 50 new clients were enrolled in the substitution therapy program, the number of OST patients covered with support services (primarily reached) being 53 versus 40 planned.
The indicator is achieved in proportion of 89%. Reason for variance: The target for the period 8 (40 persons primarily reached) has been exceeded (53 people reached). The underachievement of the cumulative target for the reported period (over program term) is determined by the variation between targets settled and results registered for period one of grant implementation caused by continuously decreasing enrolment of new patients in OST. As the number of OST patients that can be covered with psycho-support services is directly tied to new patients enrolled in OST, the enrolment dynamics in period one has determined and directly impacted the achievement of targets for this indicator and is affecting the results for the reported period as the target is cumulative over program term.  
(Pe parcursul semestrului 8 un total de 53 CDI aflați în terapia de substituție cu metadonă (primar acoperiți) au primit cel puțin 3 servicii de suport din pachetul serviciilor (suport psiho-social, grupuri de ajutor reciproc, educație de la egal la egal, diseminarea materialelor informaționale, suport alimentar) oferite în cadrul centrelor de zi de către ONG-urile care lucrează în domeniul reabilitării CDI. Numărul de CDI aflați în TSO, acoperiți cu suport psiho-social este direct dependent de numărul CDI înrolați în TSO (cazuri noi), cifra care este în continuă scădere. Pe parcursul S2, 2013, 50 beneficiari noi au fost înrolați în terapia de substituție, numărul de pacienți în TSO acoperiți cu servicii de suport (primari acoperiți) fiind de 53 față de 40 planificați.
Indicatorul este atins în proporție de 89%. Cauza variației: Ținta pentru perioada 8 (40 persoane noi primar acoperite) a fost depășită (53 persoane acoperite). Neatingerea țintei cumulative pentru perioada raportată (pe toata perioada grantului) este determinată de variația între țintele stabilite și rezultatele înregistrate pentru perioada întâi de implementare a grantului cauzată de scăderea continua a pacienților înrolați în TSO. Numărul de pacienți în TSO care pot fi acoperiți cu servicii de suport psiho-social este direct proporțional cu numărul pacienților noi înrolați în TSO, dinamica înrolării în perioada întâi a determinat și a afectat direct atingerea țintei pentru acest indicator și afectează rezultatul pentru perioada raportată deoarece ținta propusă se calculează cumulativ pentru toată perioada grantului.)</t>
  </si>
  <si>
    <t xml:space="preserve">A total of 948 PLHIV received food parcels during year 2013, out of them 106 primarily reached during S8. Each quarter 800 PLHIV, from both civilian and penitentiary sectors, selected based on socio-economic vulnerability, benefit of food parcels for better adherence to treatment.
The indicator is substantially achieved. The reason for variance: The target for this indicator is annual and has been calculated based on an estimated quarterly increase by 10% in the number of new beneficiaries which usually come from the ranks of new ART enrolled patients. 800 food parcels are distributed quarterly to PLHIV, selected based on a set of unique socio-economic vulnerability criteria. Subject to the degree of vulnerability the ranking of potential beneficiaries changes from one quarter to another, including previously reached and primarily reached beneficiaries (mostly from those newly enrolled in ART) that ranks in the top 800 most vulnerable ART patients.                                                                                                                                                                                                                                                                                
(În total 948 PTH au primit pachete alimentare pe parcursul anului 2013, din ei 106 primar acoperiți pe parcursul S8. În fiecare trimestru 800 PTH, din sectorul civil şi penitenciar, selectate în baza vulnerabilității socio-economice, beneficiază de pachete alimentare pentru o aderență mai bună la tratament. 
Indicatorul este substanţial realizat. Cauza variației: ţinta pentru acest indicator este anuala şi a fost calculată în baza unei creşteri trimestriale estimate de 10% a număruuil de beneficiari noi care, de regulă, sunt slectaţi din răndul pacienţilor noi  înrolaţi în ARV.  800 pachete alimentare sunt distribuite trimestrial PTH, selectate pe baza unui set de criterii unice de vulnerabilitate socio-economice. În funcţie de gradul de vulnerabilitate, clasamentul potenţialilor beneficiari se schimbă de la un trimestru la altul, inclusiv pentru beneficiarii acoperiţi antrerior sau primar (mai ales din răndul pacienţiilor noi înrolaţi în ART) care se clasează în topul celor mai vulnerabili  800 pacienţii în ART.)  </t>
  </si>
  <si>
    <t>During S8 a total 359 PLHIV were primarily reached with care and support services through four social regional centers providing assistance to PLHIV and 10 territorial organizations that ensures outreach to PLHIV and their families. The beneficiaries are provided with the following services: psycho-social counseling and support, medical counseling and referral, distribution of information materials, peer counseling, self-support groups and food support, etc.
The indicator is achieved.
(Pe parcursul semestrului 8, un total de 359 PTH au fost primar acoperiți cu servicii de îngrijire şi suport prestate în cadrul celor patru Centre Sociale Regionale şi a 10 organizații teritoriale care prestează servicii direct PTH și membrilor familiilor lor. Beneficiarilor le sunt prestate următoarele servicii: suport și consiliere psiho-socială, consiliere medicală și referiri, diseminarea materialelor informaționale şi consiliere de la egal la egal, grupuri de ajutor reciproc și suport alimentar, etc. 
Indicatorul este atins.)</t>
  </si>
  <si>
    <t>10 litigation cases have been initiated during S8. The cases were related to disclosure of confidential medical information related to HIV status, unethical and unprofessional behavior of medical staff, refusal to offer medical services, adoption of children by HIV positive persons, inhuman/ degrading treatment of detained PLHIV, etc.
The indicator is achieved. 
(Pe parcursul semestrului 8, au fost inițiate 10 litigii. Cazurile au fost legate de divulgarea informației medicale confidențiale legate de statutul HIV, comportament neetic și neprofesional al personalului medical, refuzul de a acorda servicii medicale, problema adopției copiilor de către persoane HIV pozitive, tratament inuman/degradant față de deținuții HIV pozitivi, etc.
Indicatorul este atins.)</t>
  </si>
  <si>
    <t>A total of 114 consultancies were offered remotely by traveling to project sites of 4 lawyers, during S8; they offered legal assistance related to issues of legal, civil (including disclosure of HIV status), administrative nature to all PLHIV in need. 
The indicator is overachieved. Reason for variance: The number of consultancies offered by project lawyers is determined by the request of legal support from PLHIV and can vary from one period to another. With the opening of Social Regional Centers project lawyer provide services within the Centers facilities (with a specific periodicity) bringing this way services closer to the beneficiary and increasing their access to legal support. The increase in number of consultancies provided has no financial impact as the layers are fool day project consultants with fix remuneration.
(Pe parcursul semestrului 8 au fost prestate 114 consultații în teren de către 4 avocați. Ei au oferit asistență juridică pe aspecte de natură legală, civilă (inclusiv divulgarea statutului HIV) şi administrative tuturor PTH care au solicitat asistență juridici).
Indicatorul este depășit. Cauza variației: Numărul de consultații oferite de către avocații proiectului este determinat de cererea de asistență juridică din partea PTH și poate varia de la o perioadă la alta. Odată cu deschiderea Centrelor Sociale Regionale avocații prestează servicii în cadrul centrelor (cu o anumită periodicitate) aducând astfel serviciile mai aproape de beneficiar și crescând accesul la asistența juridică. Creșterea numărului de servicii de consultanță juridică prestate nu are impact financiar deoarece avocații sunt angajați în proiect cu zi deplină de lucru şi au remunerare fixă.)</t>
  </si>
  <si>
    <t>A total number of 54 representatives of organizations that provide services to PLHIV and key populations were trained in S8, from them: 27 people were trained in Communication and Advocacy and 27 people were trained in Case management. 
The indicator is overachieved. Reason for variance: due the interest from community organizations and the fact that the costs for the selected venue allowed to increase the number of participants, a higher number of people (27) have been included in each events compared to 25 planned.  
(În total 54 reprezentanți ai organizațiilor care prestează servicii PTH şi ai populațiilor cheie au fost instruiți pe parcursul S8. 27 reprezentanți ai societății civile au fost instruiți în Comunicare și Advocacy și 27 membri în Managementul Cazului cu HIV.
Indicatorul este depășit. Cauza variației: numărul persoanelor interesate în tematica instruirii a fost mai mare decât cel planificat şi datorită faptului că costurile de desfășurare ale evenimentului au permis încadrarea mai multor participanţi, numărul participanților pentru fiecare instruire a fost mai mare (27) faţă de 25 planificaţi.)</t>
  </si>
  <si>
    <t>The cumulative cash outflow rate as of December 31, 2013 per Objectives range between 98% and 104% the variances being due to payments afferent to commitments from Period 1, advanced payments from year 2014 budget and commitments that will be paid over next semester.
(Rata cumulativă de absorbţie din buget la 31.12.2013 per Obiective este între 98% şi 104% variaţia datorînduse în mare parte plăţilor aferente Perioadei 1, plăților în avans din bugetul anului 2014 și angajamentelor care vor fi plătite pe parcursul semestrului următor.)</t>
  </si>
  <si>
    <t xml:space="preserve">A total of 325 children (109 infected and 216 affected by HIV) received social support during year 2013 (primarily reached), out of them 61 (13 infected and 48 affected by HIV) primarily reached during S8.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During reported period the number of HIV positive children that benefited of clothing and school supplies was 109, exceeding by 14 the planned number of 95. This fact has determined the need to reallocate additional budget (from savings under other budget lines targeted at PLHIV support) in order to cover fourteen additional sets of clothing and school supplies.
The indicator is overachieved. Reason for variance: The number of children primarily reached with social support is determined by the number of children diagnosed with HIV that are reached and by the number of children born from HIV positive mothers immediately before and during the reported period. During reported period the number of HIV positive children reached was 109, exceeding by fourteen the planned number of 95.
Note: In Peroada 1 the targets were cumulative over program term, but starting with Period 2 - the targets are cumulative annually.
(Un total de 325 copii (109 copii HIV infectați și 216 copii afectați de HIV) au beneficiat de suport social  pe parcursul anului 2013 (acoperiți primar), dintre care 61 (13 infectati și 48 afectati de HIV) primari acoperiti in S8. În același timp, în fiecare trimestru, 230 copii (toți copiii infectați cu HIV, care pot fi acoperiți cu servicii, și majoritatea copiilor născuți din mame HIV pozitive) beneficiază semestrial de un set de haine şi rechizite școlare ca parte a programului de acordare a suportului social. Pe parcursul perioadei de raportare, numărul de copii HIV infectați care au primit cîte un set de haine şi rechizite școlare a crescut la 109, depășind cu 14 unități numărul planificat de 95. Acest fapt a determinat necesitatea realocării unui buget adițional (din economiile obținute în cadrul altor linii bugetare orientate către suportul PTH) pentru a acoperi patrusprezece seturi suplimentare de îmbrăcăminte şi rechizite școlare. 
Indicatorul este depășit. Cauza variației: Numărul de copii primar acoperiți cu suport social este determinat de numărul de copii diagnosticați cu HIV și numărul copiilor născuți din mame HIV pozitive imediat înainte și în perioada de raportate. Pe parcursul perioadei de raportare numarul copiilor HIV pozitivi acoperiți cu servicii a fost 109, depasit cu 14 numarul planificat de 95.) 
Notă: În Peroada 1, tintele erau cumulative pe durata programului, iar începînd cu Perioada 2 - tintele sunt cumulative anual. </t>
  </si>
  <si>
    <t xml:space="preserve">The two special conditions afferent to Period 2 have been fulfilled  in strict accordance with their provisions. 
(Cele două condiții speciale aferente Perioadei 2 au fost îndeplinite, în strictă conformitate cu prevederile contractuale.)  </t>
  </si>
  <si>
    <r>
      <t>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For the SR SFM the Sub-subrecipients financial reports are due quarterly and can be submitted during the followin</t>
    </r>
    <r>
      <rPr>
        <sz val="8"/>
        <rFont val="Calibri"/>
        <family val="2"/>
      </rPr>
      <t>g quarter, the activity reports are due not later than 10 days from the end of each month and are generally submitted in time except one Ssr - NGO Master in Public Health – that is constantly late in reporting. During the reporting period reflected in this dashboard 16 reports from 17 due were submited in time. 
For the SR New Life the reports (financial, activity and indicators) are due not later than 15 days after the close of each quarter and are generally submitted in time.
(Rapoartele trimestriale ale SR-ului  (raport financiar, raport de activitate și cadrul de performanță) urmează a fi transmise  RP nu mai târziu de 25 de zile de la încheierea fiecărui trimestru. Rapoartele sunt de regulă prezentate la timp. Perioada de verificare şi aprobare variază de la un SR la altul în funcţie de exhaustivitatea și consistența rapoartelor.
Pentru SR-ul FSM rapoartele financiare ale Sub-subrecipienţilor (Ssr) urmează a fi transmise trimestrial și pot fi prezentate în trimestrul următor, rapoartele de activitate urmează a fi prezentate nu mai târziu de 10 zile de la sfârșitul fiecărei luni și sunt  în general prezentate la timp cu excepția unui Ssr - ONG-ul Master în Sănătatea Publică - care întârzie raportarea în mod constant . Pe parcursul perioadei de raportare reflectată în aces raport, 16 raporte din 17 planificate au fost transmise la timp. 
Pentru SR-ul Viaţa Nouă rapoartele (financiar, de activitate și indicatorii) urmează a fi prezentate nu mai târziu de 15 zile de la încheierea fiecărui trimestru și sunt, de regulă, prezentate la timp.)</t>
    </r>
  </si>
  <si>
    <t>Four Sub-recipients (SRs) have been identified initialy (2010)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by PAS Center the last one (League of people living with HIV of Moldova) by TGF Local Fund Agent. Four sub-grant agreements have been signe following the assessment. In September 2011, due to lack of capacity for adequate implementation of the grant portion contracted the sub-grant agreement with one of the SRs (League of people living with HIV) was terminated and the management of activities has been entrusted to an other SR ( SFM).  Respectively three sub-recipients continued to receive funds till the end of Period one (December 31, 2012). During renewal one SR component has been reorganised and starting with Period two  (2013) there are two SRs that receiv funds within the grant. 
(Patru Sub-Recipienţi (SR), au fost identificaţi inițial (2010) pentru a implementa diferite componente în cadrul programului: Fundația Soros-Moldova (FSM), Liga persoanelor care trăiesc cu HIV din Moldova, Viaţa Nouă, Institutul pentru Drepturile Omului din Moldova. Un SR (SFM) a fost evaluat anterior de către RP guvernamental, deoarece activează în calitate de SR începănd cu Runda 1. Alţi doi SR au fost evaluaţi (Viaţa Nouă și Institutul pentru Drepturile Omului din Moldova) de către Centrul PAS iar ultimul (Liga persoanelor care trăiesc cu HIV din Republica Moldova) de către Agentul Local al Fondului Global. Urmare a evaluării au fost semnate patru acorduri de sub-grant. În septembrie 2011, din cauza lipsei capacității de  implementare adecvată a componentului de grant contractat, acordul de sub-finantare cu unul dintre SR (Liga persoanelor care trăiesc cu HIV) a fost reziliat și gestionarea activităților a fost încredințată altui SR (SFM). Respectiv  trei SR au primit fonduri până la finele Perioadei unu (31 decembrie  2012). La etapa de reînoire a grantului, componentul implementat de unul dintre acesti SR a fost reorganizat și începănd cu Perioada 2 (2013) doi SR primesc resurse din cadrul grantului trei SR.</t>
  </si>
  <si>
    <t>A total of 86 persons were trained in S8, from them: 15 medical staff were trained in international training in Clinica Lavra in Disorders of the CNS, 25 non-medical specialists from south region NRS MDTs, Social regional center and NGO providing care and support to PLHIV were trained in protection and assistance of people living with HIV within the NRS; 15 representatives from NGO that provide HR services to PWIDs, CSWs, LGBT and care to PLHIV were trained in Voluntary counseling and testing; 31 social workers were trained in HIV/TB.
The indicator is substantially achieved. Reason for variance: one training for infectious diseases specialists planned under budget line 3.1.4 for S2, 2013, has been conducted in S1, 2013, the organization in advance being conditioned by the fact that the trainings for infectious diseases specialists planned under budget line 3.1.4 were directly related to the reform and reorganization of the HIV medical service provision system, and all three events planned for year 2013 (2 in S1 and 1 in S2) have been organised in S1, 2013. 
At the same time one additional event has been conducted from savings, with TGF approval (training course on VCT for 15 people).  
(În total 86 persoane au fost instruite în semestrul 8, dintre care: 15 lucrători medicali au participat la curs de instruire internațional organizat la Clinica Lavra pe Maladiile sistemului nervos central în cadrul infecţiei cu HIV; 25 lucrători non-medicali din echipele multidisciplinare ale SNR din regiunea de sud, din CSR și ONG care oferă servicii de îngrijirea şi suportul PTH au fost instruiţi în protecţia şi asistenţa persoanelor care trăiesc cu HIV în cadrul CSR; 15 reprezentanți ai ONG-urilor care oferă servicii pentru PCDI, LSC, BSM și îngrijire și suport PTH au fost instruiți în consiliere şi testare voluntară, 31 lucrători sociali au fost instruiți în HIV/TB.
Indicatorul este substanţial atins. Cauza variației: o instruire pentru medicii infecţionişti planificată în cadrul liniei bugetare 3. 1. 4 pentru S2, 2013, a fost organizată în S1, 2013, organizarea în avans fiind condiţionată de faptul că instruirile pentru infecţionişti planificate în cadrul liniei bugetare 3. 1. 4 au fost direct legate de reforma şi de reorganizarea sistemului de prestare a serviciilor medicale HIV şi toate trei evenimente planificate pentru anul 2013 (două în S1 şi unul în S2) au fost organizate în timpul S1, 2013.
În acelaşi timp un eveniment adiţional a fost organizat din economii, cu aprobarea FG (curs de instruire în VCT pentru 15 persoane)</t>
  </si>
  <si>
    <t>A total of 47 individuals out of 100 that initiated OST during Semester 1, 2013 have completing at least 6 months of continuous treatment on OST. Currently OST is provided in three sites: Republican Narcological Dispensary, Balti Municipal Hospital and the Department of Penitentiary Institutions (in 12 penitentiary institutions: #1 Taraclia, #3 Leova, #4 Cricova, #6 Soroca, #7 Rusca, #9 Pruncul, #11 Balti, #15 Cricova, #16 Pruncul, #17 Rezina, #18 Branesti, #13 Chisinau).
The indicator is partially achieved (78%). Reason for variance: the rate of retention in treatment is determined by a series of factors, namely: seasonal migration of patients (both abroad and in country), emergency of seasonal illicit drugs on black market, low doses of methadone (below recommended 60mg minimal average dose), and concurrent use of illicit drugs, methadone distribution restricted to OST site or all patients including for drug users in stable remission, repeated enrollment in treatment without prior psycho-social support to prepare the patient for the next attempt, misconceptions about OST in both medical and psych-social support teams, negative image of OST among PWID, etc.
(În total 47 persoane din 100 care au inițiat TSO în timpul semestrului 1, 2013 au finalizat cel puțin 6 luni de TSO continuu. Actualmente TSO este distribuită in trei site-uri: Dispensarul Republican de Narcologie, Spitalul Municipal Bălţi şi Departamentul Instituțiilor Penitenciare (în 12 institutii penitenciare: #1 Taraclia, #3 Leova, #4 Cricova, #6 Soroca, #7 Rusca, #9 Pruncul, #11 Balti, #15 Cricova, #16 Pruncul, #17 Rezina, #18 Brănești, #13 Chișinău). 
Indicatorul este atins parțial (78%). Cauza variației: rata de retenție în tratament este determinată de o serie de factori, și anume: migrația sezonieră a pacienților (atât peste hotare cât și în interiorul țarii), apariţia drogurilor ilicite sezoniere pe piața neagră, doze mici de metadonă (mai puțin decât doza minimă recomandată de 60mg), precum și utilizarea concomitentă a drogurilor ilicite, distribuția metadonei limitată la punctul de distribuţie a TSO, inclusiv pentru consumatorii de droguri în remisie stabila, înrolare repetată în tratament fără suport psiho-social preventiv pentru a pregăti pacientul pentru următoarea încercare, concepții greșite despre TSO atât în echipele medicale cat și cele de asistență psiho-socială, imaginea negativă a TSO printre CDI, etc.)</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</si>
</sst>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SFr.&quot;\ #,##0;&quot;SFr.&quot;\ \-#,##0"/>
    <numFmt numFmtId="195" formatCode="&quot;SFr.&quot;\ #,##0;[Red]&quot;SFr.&quot;\ \-#,##0"/>
    <numFmt numFmtId="196" formatCode="&quot;SFr.&quot;\ #,##0.00;&quot;SFr.&quot;\ \-#,##0.00"/>
    <numFmt numFmtId="197" formatCode="&quot;SFr.&quot;\ #,##0.00;[Red]&quot;SFr.&quot;\ \-#,##0.00"/>
    <numFmt numFmtId="198" formatCode="_ &quot;SFr.&quot;\ * #,##0_ ;_ &quot;SFr.&quot;\ * \-#,##0_ ;_ &quot;SFr.&quot;\ * &quot;-&quot;_ ;_ @_ "/>
    <numFmt numFmtId="199" formatCode="_ * #,##0_ ;_ * \-#,##0_ ;_ * &quot;-&quot;_ ;_ @_ "/>
    <numFmt numFmtId="200" formatCode="_ &quot;SFr.&quot;\ * #,##0.00_ ;_ &quot;SFr.&quot;\ * \-#,##0.00_ ;_ &quot;SFr.&quot;\ * &quot;-&quot;??_ ;_ @_ "/>
    <numFmt numFmtId="201" formatCode="_ * #,##0.00_ ;_ * \-#,##0.00_ ;_ * &quot;-&quot;??_ ;_ @_ "/>
    <numFmt numFmtId="202" formatCode="&quot;Q&quot;#,##0_);[Red]\(&quot;Q&quot;#,##0\)"/>
    <numFmt numFmtId="203" formatCode="_(&quot;Q&quot;* #,##0_);_(&quot;Q&quot;* \(#,##0\);_(&quot;Q&quot;* &quot;-&quot;_);_(@_)"/>
    <numFmt numFmtId="204" formatCode="_(&quot;Q&quot;* #,##0.00_);_(&quot;Q&quot;* \(#,##0.00\);_(&quot;Q&quot;* &quot;-&quot;??_);_(@_)"/>
    <numFmt numFmtId="205" formatCode="_(* #,##0_);_(* \(#,##0\);_(* &quot;-&quot;??_);_(@_)"/>
    <numFmt numFmtId="206" formatCode=";;;"/>
    <numFmt numFmtId="207" formatCode="0.0"/>
    <numFmt numFmtId="208" formatCode=";;;&quot;Financial Variance in %&quot;"/>
    <numFmt numFmtId="209" formatCode=";;;&quot;Revenue in $&quot;"/>
    <numFmt numFmtId="210" formatCode="_([$€]* #,##0.00_);_([$€]* \(#,##0.00\);_([$€]* &quot;-&quot;??_);_(@_)"/>
    <numFmt numFmtId="211" formatCode="[$$-409]#,##0"/>
    <numFmt numFmtId="212" formatCode="[$-409]d/mmm/yyyy;@"/>
    <numFmt numFmtId="213" formatCode="[$$-409]#,##0.00"/>
    <numFmt numFmtId="214" formatCode="[$$-409]#,##0_);\([$$-409]#,##0\)"/>
    <numFmt numFmtId="215" formatCode="[$$-409]#,##0.0"/>
    <numFmt numFmtId="216" formatCode="&quot;Yes&quot;;&quot;Yes&quot;;&quot;No&quot;"/>
    <numFmt numFmtId="217" formatCode="&quot;True&quot;;&quot;True&quot;;&quot;False&quot;"/>
    <numFmt numFmtId="218" formatCode="&quot;On&quot;;&quot;On&quot;;&quot;Off&quot;"/>
    <numFmt numFmtId="219" formatCode="[$€-2]\ #,##0.00_);[Red]\([$€-2]\ #,##0.00\)"/>
    <numFmt numFmtId="220" formatCode="[$-FC19]d\ mmmm\ yyyy\ &quot;г.&quot;"/>
    <numFmt numFmtId="221" formatCode="#,##0.0"/>
    <numFmt numFmtId="222" formatCode="#,##0.000"/>
    <numFmt numFmtId="223" formatCode="0.0%"/>
  </numFmts>
  <fonts count="147">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i/>
      <sz val="10"/>
      <name val="Arial"/>
      <family val="2"/>
    </font>
    <font>
      <sz val="5.75"/>
      <color indexed="8"/>
      <name val="Arial"/>
      <family val="0"/>
    </font>
    <font>
      <sz val="6"/>
      <color indexed="8"/>
      <name val="Arial"/>
      <family val="0"/>
    </font>
    <font>
      <sz val="4"/>
      <color indexed="8"/>
      <name val="Arial"/>
      <family val="0"/>
    </font>
    <font>
      <sz val="5.7"/>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b/>
      <sz val="8"/>
      <color indexed="8"/>
      <name val="Arial"/>
      <family val="0"/>
    </font>
    <font>
      <sz val="5.5"/>
      <color indexed="8"/>
      <name val="Arial"/>
      <family val="0"/>
    </font>
    <font>
      <sz val="5.7"/>
      <color indexed="8"/>
      <name val="Calibri"/>
      <family val="0"/>
    </font>
    <font>
      <sz val="6.75"/>
      <color indexed="8"/>
      <name val="Arial"/>
      <family val="0"/>
    </font>
    <font>
      <sz val="4.2"/>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sz val="10"/>
      <color indexed="56"/>
      <name val="Arial"/>
      <family val="2"/>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b/>
      <sz val="11"/>
      <color theme="1"/>
      <name val="Calibri"/>
      <family val="2"/>
    </font>
    <font>
      <sz val="10"/>
      <color theme="1"/>
      <name val="Arial"/>
      <family val="2"/>
    </font>
    <font>
      <sz val="11"/>
      <color rgb="FFFF0000"/>
      <name val="Calibri"/>
      <family val="2"/>
    </font>
    <font>
      <sz val="10"/>
      <color rgb="FF002060"/>
      <name val="Arial"/>
      <family val="2"/>
    </font>
    <font>
      <sz val="8"/>
      <color theme="1"/>
      <name val="Calibri"/>
      <family val="2"/>
    </font>
    <font>
      <b/>
      <sz val="8"/>
      <name val="Calibri"/>
      <family val="2"/>
    </font>
  </fonts>
  <fills count="4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indexed="65"/>
        <bgColor indexed="64"/>
      </patternFill>
    </fill>
    <fill>
      <patternFill patternType="gray0625">
        <fgColor indexed="51"/>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solid">
        <fgColor indexed="43"/>
        <bgColor indexed="64"/>
      </patternFill>
    </fill>
    <fill>
      <patternFill patternType="solid">
        <fgColor indexed="13"/>
        <bgColor indexed="64"/>
      </patternFill>
    </fill>
  </fills>
  <borders count="2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style="thin"/>
      <top style="thin"/>
      <bottom style="mediu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thin"/>
      <top style="thin"/>
      <bottom style="medium">
        <color indexed="16"/>
      </bottom>
    </border>
    <border>
      <left style="thin"/>
      <right style="medium">
        <color indexed="60"/>
      </right>
      <top style="thin"/>
      <bottom style="thin"/>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color indexed="63"/>
      </bottom>
    </border>
    <border>
      <left style="thin"/>
      <right style="medium">
        <color indexed="16"/>
      </right>
      <top style="thin"/>
      <bottom style="medium">
        <color indexed="16"/>
      </bottom>
    </border>
    <border>
      <left style="medium">
        <color indexed="51"/>
      </left>
      <right style="medium">
        <color indexed="51"/>
      </right>
      <top>
        <color indexed="63"/>
      </top>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51"/>
      </left>
      <right style="medium">
        <color indexed="51"/>
      </right>
      <top style="medium">
        <color indexed="51"/>
      </top>
      <bottom>
        <color indexed="63"/>
      </bottom>
    </border>
    <border>
      <left>
        <color indexed="63"/>
      </left>
      <right style="thin"/>
      <top style="medium">
        <color indexed="51"/>
      </top>
      <bottom>
        <color indexed="63"/>
      </bottom>
    </border>
    <border>
      <left style="thin"/>
      <right style="thin"/>
      <top style="medium">
        <color indexed="51"/>
      </top>
      <bottom>
        <color indexed="63"/>
      </bottom>
    </border>
    <border>
      <left style="thin">
        <color indexed="16"/>
      </left>
      <right style="thin">
        <color indexed="16"/>
      </right>
      <top style="medium">
        <color indexed="51"/>
      </top>
      <bottom>
        <color indexed="63"/>
      </bottom>
    </border>
    <border>
      <left style="thin">
        <color indexed="16"/>
      </left>
      <right style="medium">
        <color indexed="51"/>
      </right>
      <top style="medium">
        <color indexed="51"/>
      </top>
      <bottom>
        <color indexed="63"/>
      </bottom>
    </border>
    <border>
      <left style="thin">
        <color indexed="60"/>
      </left>
      <right style="thin">
        <color indexed="60"/>
      </right>
      <top style="thin">
        <color indexed="60"/>
      </top>
      <bottom style="medium">
        <color indexed="60"/>
      </bottom>
    </border>
    <border>
      <left style="medium">
        <color indexed="16"/>
      </left>
      <right style="thin"/>
      <top style="thin"/>
      <bottom style="medium">
        <color indexed="16"/>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thin"/>
      <right style="thin"/>
      <top>
        <color indexed="63"/>
      </top>
      <bottom style="thin"/>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204" fontId="1" fillId="0" borderId="0" applyFont="0" applyFill="0" applyBorder="0" applyAlignment="0" applyProtection="0"/>
    <xf numFmtId="20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10" fontId="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 fillId="8" borderId="0" applyNumberFormat="0" applyBorder="0" applyAlignment="0" applyProtection="0"/>
    <xf numFmtId="0" fontId="75" fillId="0" borderId="4"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0" fillId="3"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171" fontId="2" fillId="0" borderId="0" applyFill="0" applyBorder="0" applyAlignment="0" applyProtection="0"/>
    <xf numFmtId="0" fontId="140" fillId="27" borderId="0" applyNumberFormat="0" applyBorder="0" applyAlignment="0" applyProtection="0"/>
    <xf numFmtId="171"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0" fillId="0" borderId="0">
      <alignment/>
      <protection/>
    </xf>
    <xf numFmtId="171" fontId="1"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1" fontId="0" fillId="0" borderId="0">
      <alignment/>
      <protection/>
    </xf>
    <xf numFmtId="0"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1" fillId="0" borderId="1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cellStyleXfs>
  <cellXfs count="862">
    <xf numFmtId="0" fontId="0" fillId="0" borderId="0" xfId="0" applyFont="1" applyAlignment="1">
      <alignment/>
    </xf>
    <xf numFmtId="171" fontId="19" fillId="0" borderId="0" xfId="126"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126" applyFont="1" applyFill="1" applyAlignment="1" applyProtection="1">
      <alignment vertical="center"/>
      <protection/>
    </xf>
    <xf numFmtId="0" fontId="24" fillId="0" borderId="0" xfId="0" applyFont="1" applyAlignment="1" applyProtection="1">
      <alignment/>
      <protection/>
    </xf>
    <xf numFmtId="171" fontId="22" fillId="0" borderId="0" xfId="139" applyFont="1" applyFill="1" applyAlignment="1" applyProtection="1">
      <alignment/>
      <protection/>
    </xf>
    <xf numFmtId="171" fontId="22" fillId="0" borderId="0" xfId="139" applyFont="1" applyFill="1" applyAlignment="1" applyProtection="1">
      <alignment horizontal="center"/>
      <protection/>
    </xf>
    <xf numFmtId="171" fontId="22" fillId="0" borderId="0" xfId="139" applyFont="1" applyFill="1" applyAlignment="1" applyProtection="1">
      <alignment horizontal="right"/>
      <protection/>
    </xf>
    <xf numFmtId="171" fontId="22" fillId="0" borderId="0" xfId="139" applyFont="1" applyFill="1" applyBorder="1" applyAlignment="1" applyProtection="1">
      <alignment horizontal="center"/>
      <protection/>
    </xf>
    <xf numFmtId="171" fontId="0" fillId="0" borderId="0" xfId="137" applyProtection="1">
      <alignment/>
      <protection/>
    </xf>
    <xf numFmtId="171" fontId="18" fillId="0" borderId="0" xfId="137" applyFont="1" applyProtection="1">
      <alignment/>
      <protection/>
    </xf>
    <xf numFmtId="0" fontId="21" fillId="0" borderId="0" xfId="137" applyNumberFormat="1" applyFont="1" applyBorder="1" applyProtection="1">
      <alignment/>
      <protection/>
    </xf>
    <xf numFmtId="171" fontId="0" fillId="0" borderId="0" xfId="141" applyProtection="1">
      <alignment/>
      <protection/>
    </xf>
    <xf numFmtId="171" fontId="0" fillId="0" borderId="0" xfId="141" applyFill="1" applyBorder="1" applyAlignment="1" applyProtection="1">
      <alignment horizontal="left"/>
      <protection/>
    </xf>
    <xf numFmtId="0" fontId="0" fillId="0" borderId="0" xfId="0" applyFill="1" applyBorder="1" applyAlignment="1" applyProtection="1">
      <alignment/>
      <protection/>
    </xf>
    <xf numFmtId="171" fontId="0" fillId="0" borderId="0" xfId="141" applyFill="1" applyBorder="1" applyProtection="1">
      <alignment/>
      <protection/>
    </xf>
    <xf numFmtId="0" fontId="18" fillId="0" borderId="0" xfId="0" applyFont="1" applyAlignment="1" applyProtection="1">
      <alignment/>
      <protection/>
    </xf>
    <xf numFmtId="171" fontId="18" fillId="0" borderId="0" xfId="141"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205" fontId="31" fillId="0" borderId="0" xfId="91" applyNumberFormat="1" applyFont="1" applyAlignment="1">
      <alignment horizontal="left"/>
    </xf>
    <xf numFmtId="171" fontId="19" fillId="0" borderId="0" xfId="136"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55" applyNumberFormat="1" applyFont="1" applyFill="1" applyBorder="1" applyAlignment="1">
      <alignment horizontal="center"/>
    </xf>
    <xf numFmtId="10" fontId="9" fillId="0" borderId="0" xfId="155"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81" applyFill="1" applyBorder="1" applyAlignment="1" applyProtection="1">
      <alignment vertical="center"/>
      <protection locked="0"/>
    </xf>
    <xf numFmtId="202" fontId="36" fillId="0" borderId="0" xfId="0" applyNumberFormat="1" applyFont="1" applyFill="1" applyBorder="1" applyAlignment="1">
      <alignment horizontal="center"/>
    </xf>
    <xf numFmtId="171" fontId="42" fillId="0" borderId="0" xfId="181"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74"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37" applyFont="1" applyProtection="1">
      <alignment/>
      <protection/>
    </xf>
    <xf numFmtId="171" fontId="71" fillId="0" borderId="0" xfId="141"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41"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91" applyNumberFormat="1" applyFont="1" applyFill="1" applyBorder="1" applyAlignment="1">
      <alignment/>
    </xf>
    <xf numFmtId="9" fontId="18" fillId="2" borderId="13" xfId="155" applyFont="1" applyFill="1" applyBorder="1" applyAlignment="1">
      <alignment/>
    </xf>
    <xf numFmtId="9" fontId="18" fillId="2" borderId="13" xfId="155" applyNumberFormat="1" applyFont="1" applyFill="1" applyBorder="1" applyAlignment="1">
      <alignment/>
    </xf>
    <xf numFmtId="0" fontId="18" fillId="2" borderId="13" xfId="0" applyFont="1" applyFill="1" applyBorder="1" applyAlignment="1">
      <alignment/>
    </xf>
    <xf numFmtId="9" fontId="18" fillId="2" borderId="13" xfId="155"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136"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49" applyNumberFormat="1" applyFont="1" applyFill="1" applyBorder="1" applyAlignment="1">
      <alignment horizontal="center" vertical="center" wrapText="1"/>
      <protection/>
    </xf>
    <xf numFmtId="0" fontId="78" fillId="8" borderId="15" xfId="149"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81"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81" applyFont="1" applyBorder="1" applyAlignment="1" applyProtection="1">
      <alignment/>
      <protection/>
    </xf>
    <xf numFmtId="171" fontId="0" fillId="0" borderId="16" xfId="181" applyFill="1" applyBorder="1" applyAlignment="1" applyProtection="1">
      <alignment vertical="center"/>
      <protection/>
    </xf>
    <xf numFmtId="171" fontId="1" fillId="0" borderId="16" xfId="181" applyFont="1" applyFill="1" applyBorder="1" applyAlignment="1" applyProtection="1">
      <alignment vertical="center"/>
      <protection/>
    </xf>
    <xf numFmtId="171" fontId="34" fillId="0" borderId="0" xfId="181" applyFont="1" applyBorder="1" applyAlignment="1" applyProtection="1">
      <alignment/>
      <protection/>
    </xf>
    <xf numFmtId="171" fontId="0" fillId="0" borderId="0" xfId="181" applyFill="1" applyBorder="1" applyAlignment="1" applyProtection="1">
      <alignment vertical="center"/>
      <protection/>
    </xf>
    <xf numFmtId="171" fontId="1" fillId="0" borderId="0" xfId="181"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205"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55"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171" fontId="41" fillId="0" borderId="21" xfId="181" applyFont="1" applyBorder="1" applyAlignment="1" applyProtection="1">
      <alignment/>
      <protection/>
    </xf>
    <xf numFmtId="171" fontId="42" fillId="0" borderId="21" xfId="181" applyFont="1" applyFill="1" applyBorder="1" applyAlignment="1" applyProtection="1">
      <alignment vertical="center"/>
      <protection/>
    </xf>
    <xf numFmtId="171" fontId="42" fillId="0" borderId="21" xfId="181" applyFont="1" applyFill="1" applyBorder="1" applyAlignment="1" applyProtection="1">
      <alignment horizontal="center" vertical="center"/>
      <protection/>
    </xf>
    <xf numFmtId="171" fontId="42" fillId="0" borderId="0" xfId="181" applyFont="1" applyFill="1" applyBorder="1" applyAlignment="1" applyProtection="1">
      <alignment vertical="center"/>
      <protection/>
    </xf>
    <xf numFmtId="171" fontId="41" fillId="0" borderId="0" xfId="181" applyFont="1" applyBorder="1" applyAlignment="1" applyProtection="1">
      <alignment/>
      <protection/>
    </xf>
    <xf numFmtId="171" fontId="43" fillId="0" borderId="0" xfId="181"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2" xfId="0" applyBorder="1" applyAlignment="1" applyProtection="1">
      <alignment horizontal="center"/>
      <protection/>
    </xf>
    <xf numFmtId="0" fontId="17" fillId="0" borderId="22" xfId="0" applyFont="1" applyBorder="1" applyAlignment="1" applyProtection="1">
      <alignment horizontal="center"/>
      <protection/>
    </xf>
    <xf numFmtId="0" fontId="17" fillId="0" borderId="22" xfId="0" applyFont="1" applyBorder="1" applyAlignment="1" applyProtection="1">
      <alignment horizontal="center" wrapText="1"/>
      <protection/>
    </xf>
    <xf numFmtId="0" fontId="17" fillId="0" borderId="23" xfId="0" applyFont="1" applyBorder="1" applyAlignment="1" applyProtection="1">
      <alignment horizontal="center"/>
      <protection/>
    </xf>
    <xf numFmtId="0" fontId="17" fillId="0" borderId="24" xfId="0" applyFont="1" applyBorder="1" applyAlignment="1" applyProtection="1">
      <alignment horizontal="center"/>
      <protection/>
    </xf>
    <xf numFmtId="1" fontId="24" fillId="2" borderId="25" xfId="0" applyNumberFormat="1" applyFont="1" applyFill="1" applyBorder="1" applyAlignment="1" applyProtection="1">
      <alignment horizontal="center"/>
      <protection/>
    </xf>
    <xf numFmtId="0" fontId="17" fillId="0" borderId="26" xfId="0" applyFont="1" applyBorder="1" applyAlignment="1" applyProtection="1">
      <alignment horizontal="center"/>
      <protection/>
    </xf>
    <xf numFmtId="1" fontId="24" fillId="2" borderId="27" xfId="0" applyNumberFormat="1" applyFont="1" applyFill="1" applyBorder="1" applyAlignment="1" applyProtection="1">
      <alignment horizontal="center"/>
      <protection/>
    </xf>
    <xf numFmtId="0" fontId="0" fillId="0" borderId="28" xfId="0" applyBorder="1" applyAlignment="1" applyProtection="1">
      <alignment/>
      <protection/>
    </xf>
    <xf numFmtId="0" fontId="0" fillId="0" borderId="23" xfId="0" applyBorder="1" applyAlignment="1" applyProtection="1">
      <alignment horizontal="center"/>
      <protection/>
    </xf>
    <xf numFmtId="0" fontId="0" fillId="0" borderId="26" xfId="0" applyBorder="1" applyAlignment="1" applyProtection="1">
      <alignment horizontal="center"/>
      <protection/>
    </xf>
    <xf numFmtId="0" fontId="36" fillId="0" borderId="22" xfId="0" applyFont="1" applyBorder="1" applyAlignment="1" applyProtection="1">
      <alignment horizontal="center"/>
      <protection/>
    </xf>
    <xf numFmtId="0" fontId="36" fillId="0" borderId="23"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91"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29" xfId="181" applyFont="1" applyFill="1" applyBorder="1" applyAlignment="1" applyProtection="1">
      <alignment/>
      <protection/>
    </xf>
    <xf numFmtId="171" fontId="42" fillId="0" borderId="29" xfId="181" applyFont="1" applyFill="1" applyBorder="1" applyAlignment="1" applyProtection="1">
      <alignment vertical="center"/>
      <protection/>
    </xf>
    <xf numFmtId="3" fontId="2" fillId="12" borderId="12"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205" fontId="31" fillId="0" borderId="0" xfId="91"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205" fontId="31" fillId="0" borderId="0" xfId="91"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3"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20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20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207" fontId="55" fillId="2" borderId="0" xfId="155"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0" xfId="0" applyNumberFormat="1" applyFont="1" applyFill="1" applyBorder="1" applyAlignment="1" applyProtection="1">
      <alignment horizontal="right"/>
      <protection/>
    </xf>
    <xf numFmtId="0" fontId="56" fillId="0" borderId="31" xfId="0" applyNumberFormat="1" applyFont="1" applyFill="1" applyBorder="1" applyAlignment="1" applyProtection="1">
      <alignment horizontal="right"/>
      <protection/>
    </xf>
    <xf numFmtId="0" fontId="56" fillId="0" borderId="32"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3"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38" fillId="0" borderId="36" xfId="0" applyNumberFormat="1" applyFont="1" applyFill="1" applyBorder="1" applyAlignment="1" applyProtection="1">
      <alignment vertical="center"/>
      <protection/>
    </xf>
    <xf numFmtId="0" fontId="38" fillId="0" borderId="37" xfId="0" applyNumberFormat="1" applyFont="1" applyFill="1" applyBorder="1" applyAlignment="1" applyProtection="1">
      <alignment vertical="center"/>
      <protection/>
    </xf>
    <xf numFmtId="0" fontId="38" fillId="0" borderId="38"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205" fontId="9" fillId="0" borderId="0" xfId="91" applyNumberFormat="1" applyFont="1" applyFill="1" applyBorder="1" applyAlignment="1" applyProtection="1">
      <alignment/>
      <protection locked="0"/>
    </xf>
    <xf numFmtId="205" fontId="9" fillId="0" borderId="0" xfId="91"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202" fontId="18" fillId="2" borderId="0" xfId="0" applyNumberFormat="1" applyFont="1" applyFill="1" applyAlignment="1">
      <alignment/>
    </xf>
    <xf numFmtId="205" fontId="18" fillId="2" borderId="0" xfId="0" applyNumberFormat="1" applyFont="1" applyFill="1" applyAlignment="1">
      <alignment/>
    </xf>
    <xf numFmtId="3" fontId="18" fillId="2" borderId="0" xfId="0" applyNumberFormat="1" applyFont="1" applyFill="1" applyAlignment="1" applyProtection="1">
      <alignment/>
      <protection/>
    </xf>
    <xf numFmtId="20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39" xfId="0" applyFont="1" applyFill="1" applyBorder="1" applyAlignment="1" applyProtection="1">
      <alignment horizontal="center" wrapText="1"/>
      <protection/>
    </xf>
    <xf numFmtId="0" fontId="31" fillId="0" borderId="40" xfId="0" applyFont="1" applyFill="1" applyBorder="1" applyAlignment="1" applyProtection="1">
      <alignment horizontal="center" wrapText="1"/>
      <protection/>
    </xf>
    <xf numFmtId="0" fontId="0" fillId="0" borderId="40" xfId="0" applyBorder="1" applyAlignment="1" applyProtection="1">
      <alignment/>
      <protection/>
    </xf>
    <xf numFmtId="171" fontId="20" fillId="0" borderId="0" xfId="135" applyFont="1" applyFill="1" applyAlignment="1" applyProtection="1">
      <alignment horizontal="center" vertical="center"/>
      <protection/>
    </xf>
    <xf numFmtId="171" fontId="19" fillId="0" borderId="0" xfId="135"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1" xfId="174"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2"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3" xfId="0" applyNumberFormat="1" applyFont="1" applyFill="1" applyBorder="1" applyAlignment="1" applyProtection="1">
      <alignment vertical="center"/>
      <protection/>
    </xf>
    <xf numFmtId="171" fontId="0" fillId="0" borderId="0" xfId="143" applyFill="1" applyBorder="1" applyAlignment="1" applyProtection="1">
      <alignment horizontal="center"/>
      <protection/>
    </xf>
    <xf numFmtId="0" fontId="38" fillId="0" borderId="0" xfId="0" applyFont="1" applyAlignment="1" applyProtection="1" quotePrefix="1">
      <alignment/>
      <protection/>
    </xf>
    <xf numFmtId="0" fontId="66" fillId="0" borderId="44" xfId="0" applyFont="1" applyBorder="1" applyAlignment="1">
      <alignment horizontal="justify" vertical="center" wrapText="1"/>
    </xf>
    <xf numFmtId="0" fontId="66" fillId="0" borderId="45" xfId="0" applyFont="1" applyBorder="1" applyAlignment="1">
      <alignment horizontal="justify" vertical="center" wrapText="1"/>
    </xf>
    <xf numFmtId="0" fontId="66" fillId="0" borderId="46" xfId="0" applyFont="1" applyBorder="1" applyAlignment="1">
      <alignment horizontal="justify" vertical="center" wrapText="1"/>
    </xf>
    <xf numFmtId="0" fontId="90" fillId="0" borderId="45" xfId="0" applyFont="1" applyBorder="1" applyAlignment="1">
      <alignment horizontal="justify" vertical="center" wrapText="1"/>
    </xf>
    <xf numFmtId="171" fontId="92" fillId="0" borderId="29" xfId="181" applyFont="1" applyFill="1" applyBorder="1" applyAlignment="1" applyProtection="1">
      <alignment/>
      <protection/>
    </xf>
    <xf numFmtId="171" fontId="12" fillId="0" borderId="29" xfId="181"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44" xfId="0" applyFont="1" applyBorder="1" applyAlignment="1">
      <alignment vertical="center" wrapText="1"/>
    </xf>
    <xf numFmtId="0" fontId="89" fillId="0" borderId="45" xfId="0" applyFont="1" applyBorder="1" applyAlignment="1">
      <alignment vertical="center" wrapText="1"/>
    </xf>
    <xf numFmtId="0" fontId="2" fillId="0" borderId="47"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171" fontId="94" fillId="0" borderId="29" xfId="181"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48" xfId="0" applyNumberFormat="1" applyFont="1" applyFill="1" applyBorder="1" applyAlignment="1" applyProtection="1">
      <alignment horizontal="center"/>
      <protection locked="0"/>
    </xf>
    <xf numFmtId="205" fontId="0" fillId="0" borderId="0" xfId="0" applyNumberFormat="1" applyAlignment="1" applyProtection="1">
      <alignment/>
      <protection/>
    </xf>
    <xf numFmtId="171" fontId="23" fillId="0" borderId="0" xfId="139" applyFont="1" applyFill="1" applyAlignment="1" applyProtection="1">
      <alignment horizontal="right" vertical="center"/>
      <protection/>
    </xf>
    <xf numFmtId="0" fontId="96" fillId="0" borderId="0" xfId="0" applyFont="1" applyFill="1" applyBorder="1" applyAlignment="1" applyProtection="1">
      <alignment horizontal="right"/>
      <protection/>
    </xf>
    <xf numFmtId="171" fontId="97" fillId="0" borderId="16" xfId="181"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6"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99" fillId="0" borderId="0" xfId="0" applyFont="1" applyFill="1" applyBorder="1" applyAlignment="1" applyProtection="1">
      <alignment horizontal="center" wrapText="1"/>
      <protection/>
    </xf>
    <xf numFmtId="0" fontId="96"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49"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0" xfId="0" applyFont="1" applyFill="1" applyBorder="1" applyAlignment="1" applyProtection="1">
      <alignment horizontal="center" vertical="center"/>
      <protection/>
    </xf>
    <xf numFmtId="0" fontId="96" fillId="0" borderId="0" xfId="0" applyFont="1" applyBorder="1" applyAlignment="1" applyProtection="1">
      <alignment horizontal="right"/>
      <protection/>
    </xf>
    <xf numFmtId="0" fontId="96" fillId="0" borderId="0" xfId="0" applyFont="1" applyAlignment="1" applyProtection="1">
      <alignment horizontal="right"/>
      <protection/>
    </xf>
    <xf numFmtId="0" fontId="96" fillId="0" borderId="51" xfId="0" applyFont="1" applyBorder="1" applyAlignment="1" applyProtection="1">
      <alignment horizontal="right"/>
      <protection/>
    </xf>
    <xf numFmtId="171" fontId="104" fillId="0" borderId="0" xfId="126" applyFont="1" applyFill="1" applyAlignment="1" applyProtection="1">
      <alignment vertical="center"/>
      <protection/>
    </xf>
    <xf numFmtId="0" fontId="96" fillId="0" borderId="0" xfId="0" applyFont="1" applyAlignment="1" applyProtection="1">
      <alignment/>
      <protection/>
    </xf>
    <xf numFmtId="0" fontId="96" fillId="0" borderId="0" xfId="0" applyFont="1" applyBorder="1" applyAlignment="1" applyProtection="1">
      <alignment/>
      <protection/>
    </xf>
    <xf numFmtId="15" fontId="1" fillId="0" borderId="12" xfId="174"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2" xfId="0" applyFont="1" applyBorder="1" applyAlignment="1" applyProtection="1">
      <alignment/>
      <protection/>
    </xf>
    <xf numFmtId="0" fontId="9" fillId="0" borderId="53" xfId="0" applyFont="1" applyBorder="1" applyAlignment="1" applyProtection="1">
      <alignment/>
      <protection/>
    </xf>
    <xf numFmtId="0" fontId="28" fillId="0" borderId="54" xfId="0" applyFont="1" applyBorder="1" applyAlignment="1" applyProtection="1">
      <alignment vertical="distributed"/>
      <protection/>
    </xf>
    <xf numFmtId="15" fontId="30" fillId="0" borderId="55"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0" fillId="0" borderId="0" xfId="0" applyFont="1" applyFill="1" applyBorder="1" applyAlignment="1" applyProtection="1">
      <alignment horizontal="left"/>
      <protection locked="0"/>
    </xf>
    <xf numFmtId="0" fontId="98" fillId="0" borderId="0" xfId="0" applyFont="1" applyFill="1" applyBorder="1" applyAlignment="1" applyProtection="1">
      <alignment horizontal="center" vertical="center"/>
      <protection/>
    </xf>
    <xf numFmtId="15" fontId="29" fillId="0" borderId="12" xfId="0" applyNumberFormat="1" applyFont="1" applyFill="1" applyBorder="1" applyAlignment="1" applyProtection="1">
      <alignment horizontal="center"/>
      <protection/>
    </xf>
    <xf numFmtId="15" fontId="29" fillId="0" borderId="56" xfId="0" applyNumberFormat="1" applyFont="1" applyFill="1" applyBorder="1" applyAlignment="1" applyProtection="1">
      <alignment horizontal="center"/>
      <protection/>
    </xf>
    <xf numFmtId="0" fontId="36" fillId="3" borderId="57" xfId="0" applyFont="1" applyFill="1" applyBorder="1" applyAlignment="1" applyProtection="1">
      <alignment horizontal="centerContinuous"/>
      <protection/>
    </xf>
    <xf numFmtId="15" fontId="101" fillId="0" borderId="40" xfId="0" applyNumberFormat="1" applyFont="1" applyFill="1" applyBorder="1" applyAlignment="1" applyProtection="1">
      <alignment horizontal="center" wrapText="1"/>
      <protection/>
    </xf>
    <xf numFmtId="15" fontId="101" fillId="0" borderId="58"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0" xfId="0"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2" xfId="0" applyBorder="1" applyAlignment="1" applyProtection="1">
      <alignment horizontal="center"/>
      <protection/>
    </xf>
    <xf numFmtId="0" fontId="0" fillId="0" borderId="40" xfId="0" applyFill="1" applyBorder="1" applyAlignment="1" applyProtection="1">
      <alignment horizontal="center"/>
      <protection/>
    </xf>
    <xf numFmtId="0" fontId="1" fillId="0" borderId="39" xfId="0" applyFont="1" applyFill="1" applyBorder="1" applyAlignment="1" applyProtection="1">
      <alignment horizontal="center" wrapText="1"/>
      <protection/>
    </xf>
    <xf numFmtId="0" fontId="0" fillId="0" borderId="39" xfId="0" applyBorder="1" applyAlignment="1">
      <alignment horizontal="center" wrapText="1"/>
    </xf>
    <xf numFmtId="0" fontId="31" fillId="0" borderId="39" xfId="0" applyFont="1" applyBorder="1" applyAlignment="1">
      <alignment horizontal="center" wrapText="1"/>
    </xf>
    <xf numFmtId="0" fontId="1" fillId="0" borderId="58" xfId="0" applyFont="1" applyFill="1" applyBorder="1" applyAlignment="1" applyProtection="1">
      <alignment horizontal="center" wrapText="1"/>
      <protection/>
    </xf>
    <xf numFmtId="3" fontId="2" fillId="28" borderId="12" xfId="0" applyNumberFormat="1" applyFont="1" applyFill="1" applyBorder="1" applyAlignment="1" applyProtection="1">
      <alignment horizontal="right" vertical="center"/>
      <protection locked="0"/>
    </xf>
    <xf numFmtId="0" fontId="78" fillId="0" borderId="63" xfId="0" applyFont="1" applyFill="1" applyBorder="1" applyAlignment="1" applyProtection="1">
      <alignment horizontal="center" vertical="center"/>
      <protection/>
    </xf>
    <xf numFmtId="171" fontId="105" fillId="0" borderId="21" xfId="181" applyFont="1" applyFill="1" applyBorder="1" applyAlignment="1" applyProtection="1">
      <alignment vertical="center"/>
      <protection/>
    </xf>
    <xf numFmtId="0" fontId="27" fillId="0" borderId="0" xfId="0" applyFont="1" applyAlignment="1" applyProtection="1">
      <alignment/>
      <protection/>
    </xf>
    <xf numFmtId="171" fontId="101" fillId="0" borderId="0" xfId="0" applyNumberFormat="1" applyFont="1" applyBorder="1" applyAlignment="1" applyProtection="1">
      <alignment vertical="center" wrapText="1"/>
      <protection/>
    </xf>
    <xf numFmtId="0" fontId="101" fillId="0" borderId="0" xfId="0" applyFont="1" applyFill="1" applyBorder="1" applyAlignment="1" applyProtection="1">
      <alignment wrapText="1"/>
      <protection/>
    </xf>
    <xf numFmtId="171" fontId="23" fillId="0" borderId="41" xfId="174" applyFont="1" applyFill="1" applyBorder="1" applyAlignment="1" applyProtection="1">
      <alignment horizontal="right"/>
      <protection/>
    </xf>
    <xf numFmtId="0" fontId="31" fillId="0" borderId="64" xfId="0" applyFont="1" applyFill="1" applyBorder="1" applyAlignment="1" applyProtection="1">
      <alignment wrapText="1"/>
      <protection/>
    </xf>
    <xf numFmtId="0" fontId="38" fillId="0" borderId="65" xfId="0" applyFont="1" applyFill="1" applyBorder="1" applyAlignment="1" applyProtection="1">
      <alignment horizontal="center" wrapText="1"/>
      <protection/>
    </xf>
    <xf numFmtId="0" fontId="24" fillId="2" borderId="44" xfId="0" applyFont="1" applyFill="1" applyBorder="1" applyAlignment="1" applyProtection="1">
      <alignment/>
      <protection/>
    </xf>
    <xf numFmtId="0" fontId="24" fillId="2" borderId="66" xfId="0" applyFont="1" applyFill="1" applyBorder="1" applyAlignment="1" applyProtection="1">
      <alignment/>
      <protection/>
    </xf>
    <xf numFmtId="0" fontId="31" fillId="0" borderId="0" xfId="0" applyFont="1" applyFill="1" applyBorder="1" applyAlignment="1" applyProtection="1">
      <alignment wrapText="1"/>
      <protection/>
    </xf>
    <xf numFmtId="9" fontId="103" fillId="14" borderId="12" xfId="155"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29" xfId="0" applyFill="1" applyBorder="1" applyAlignment="1" applyProtection="1">
      <alignment/>
      <protection/>
    </xf>
    <xf numFmtId="171" fontId="70" fillId="0" borderId="29" xfId="181" applyFont="1" applyFill="1" applyBorder="1" applyAlignment="1" applyProtection="1">
      <alignment vertical="center"/>
      <protection/>
    </xf>
    <xf numFmtId="0" fontId="0" fillId="0" borderId="29" xfId="0" applyBorder="1" applyAlignment="1" applyProtection="1">
      <alignment/>
      <protection/>
    </xf>
    <xf numFmtId="0" fontId="0" fillId="0" borderId="29" xfId="0" applyBorder="1" applyAlignment="1">
      <alignment/>
    </xf>
    <xf numFmtId="9" fontId="18" fillId="0" borderId="0" xfId="155" applyFont="1" applyAlignment="1" applyProtection="1">
      <alignment/>
      <protection/>
    </xf>
    <xf numFmtId="14" fontId="27" fillId="13" borderId="41" xfId="174" applyNumberFormat="1" applyFont="1" applyFill="1" applyBorder="1" applyAlignment="1" applyProtection="1">
      <alignment horizontal="center" vertical="center"/>
      <protection/>
    </xf>
    <xf numFmtId="171" fontId="27" fillId="13" borderId="41" xfId="174" applyFont="1" applyFill="1" applyBorder="1" applyAlignment="1" applyProtection="1">
      <alignment horizontal="center" vertical="center"/>
      <protection/>
    </xf>
    <xf numFmtId="15" fontId="27" fillId="13" borderId="41" xfId="174" applyNumberFormat="1" applyFont="1" applyFill="1" applyBorder="1" applyAlignment="1" applyProtection="1">
      <alignment horizontal="center" vertical="center"/>
      <protection/>
    </xf>
    <xf numFmtId="212" fontId="27" fillId="13" borderId="41" xfId="174" applyNumberFormat="1" applyFont="1" applyFill="1" applyBorder="1" applyAlignment="1" applyProtection="1">
      <alignment horizontal="center"/>
      <protection/>
    </xf>
    <xf numFmtId="3" fontId="27" fillId="13" borderId="41" xfId="174" applyNumberFormat="1" applyFont="1" applyFill="1" applyBorder="1" applyAlignment="1" applyProtection="1">
      <alignment horizontal="center"/>
      <protection/>
    </xf>
    <xf numFmtId="171" fontId="27" fillId="13" borderId="41" xfId="174" applyFont="1" applyFill="1" applyBorder="1" applyAlignment="1" applyProtection="1">
      <alignment horizontal="center"/>
      <protection/>
    </xf>
    <xf numFmtId="15" fontId="27" fillId="13" borderId="41" xfId="174" applyNumberFormat="1" applyFont="1" applyFill="1" applyBorder="1" applyAlignment="1" applyProtection="1">
      <alignment horizontal="center"/>
      <protection/>
    </xf>
    <xf numFmtId="171" fontId="91" fillId="0" borderId="0" xfId="0" applyNumberFormat="1" applyFont="1" applyAlignment="1">
      <alignment/>
    </xf>
    <xf numFmtId="0" fontId="38" fillId="0" borderId="39" xfId="0" applyFont="1" applyFill="1" applyBorder="1" applyAlignment="1" applyProtection="1">
      <alignment horizontal="center" wrapText="1"/>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48" xfId="0" applyNumberFormat="1" applyFill="1" applyBorder="1" applyAlignment="1" applyProtection="1">
      <alignment horizontal="center"/>
      <protection locked="0"/>
    </xf>
    <xf numFmtId="0" fontId="0" fillId="0" borderId="27" xfId="0" applyNumberFormat="1" applyFill="1" applyBorder="1" applyAlignment="1" applyProtection="1">
      <alignment horizontal="center"/>
      <protection/>
    </xf>
    <xf numFmtId="0" fontId="0" fillId="13" borderId="27"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67" xfId="0" applyNumberFormat="1" applyFill="1" applyBorder="1" applyAlignment="1" applyProtection="1">
      <alignment/>
      <protection locked="0"/>
    </xf>
    <xf numFmtId="211" fontId="24" fillId="2" borderId="0" xfId="0" applyNumberFormat="1" applyFont="1" applyFill="1" applyAlignment="1">
      <alignment/>
    </xf>
    <xf numFmtId="202" fontId="36" fillId="10" borderId="68" xfId="0" applyNumberFormat="1" applyFont="1" applyFill="1" applyBorder="1" applyAlignment="1" applyProtection="1">
      <alignment horizontal="center"/>
      <protection locked="0"/>
    </xf>
    <xf numFmtId="202" fontId="36" fillId="10" borderId="69" xfId="0" applyNumberFormat="1" applyFont="1" applyFill="1" applyBorder="1" applyAlignment="1" applyProtection="1">
      <alignment horizontal="center"/>
      <protection locked="0"/>
    </xf>
    <xf numFmtId="202" fontId="36" fillId="10" borderId="70" xfId="0" applyNumberFormat="1" applyFont="1" applyFill="1" applyBorder="1" applyAlignment="1" applyProtection="1">
      <alignment horizontal="center"/>
      <protection locked="0"/>
    </xf>
    <xf numFmtId="202" fontId="36" fillId="10" borderId="71" xfId="0" applyNumberFormat="1" applyFont="1" applyFill="1" applyBorder="1" applyAlignment="1" applyProtection="1">
      <alignment horizontal="center"/>
      <protection locked="0"/>
    </xf>
    <xf numFmtId="202" fontId="36" fillId="10" borderId="72" xfId="0" applyNumberFormat="1" applyFont="1" applyFill="1" applyBorder="1" applyAlignment="1" applyProtection="1">
      <alignment horizontal="center"/>
      <protection locked="0"/>
    </xf>
    <xf numFmtId="0" fontId="0" fillId="0" borderId="73"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1" xfId="174" applyFont="1" applyBorder="1" applyAlignment="1" applyProtection="1">
      <alignment horizontal="right"/>
      <protection/>
    </xf>
    <xf numFmtId="171" fontId="38" fillId="0" borderId="0" xfId="141" applyFont="1" applyFill="1" applyBorder="1" applyProtection="1">
      <alignment/>
      <protection/>
    </xf>
    <xf numFmtId="3" fontId="31" fillId="3" borderId="68" xfId="0" applyNumberFormat="1" applyFont="1" applyFill="1" applyBorder="1" applyAlignment="1" applyProtection="1">
      <alignment/>
      <protection locked="0"/>
    </xf>
    <xf numFmtId="3" fontId="31" fillId="3" borderId="74"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5" xfId="0" applyNumberFormat="1" applyFont="1" applyFill="1" applyBorder="1" applyAlignment="1" applyProtection="1">
      <alignment/>
      <protection/>
    </xf>
    <xf numFmtId="3" fontId="24" fillId="3" borderId="12" xfId="91" applyNumberFormat="1" applyFont="1" applyFill="1" applyBorder="1" applyAlignment="1" applyProtection="1">
      <alignment/>
      <protection locked="0"/>
    </xf>
    <xf numFmtId="3" fontId="24" fillId="3" borderId="12" xfId="91" applyNumberFormat="1" applyFont="1" applyFill="1" applyBorder="1" applyAlignment="1" applyProtection="1">
      <alignment/>
      <protection locked="0"/>
    </xf>
    <xf numFmtId="3" fontId="9" fillId="0" borderId="76" xfId="91" applyNumberFormat="1" applyFont="1" applyFill="1" applyBorder="1" applyAlignment="1" applyProtection="1">
      <alignment/>
      <protection/>
    </xf>
    <xf numFmtId="3" fontId="24" fillId="3" borderId="77" xfId="91" applyNumberFormat="1" applyFont="1" applyFill="1" applyBorder="1" applyAlignment="1" applyProtection="1">
      <alignment/>
      <protection locked="0"/>
    </xf>
    <xf numFmtId="202" fontId="17" fillId="10" borderId="78" xfId="0" applyNumberFormat="1" applyFont="1" applyFill="1" applyBorder="1" applyAlignment="1" applyProtection="1">
      <alignment horizontal="center"/>
      <protection locked="0"/>
    </xf>
    <xf numFmtId="202" fontId="17" fillId="10" borderId="79"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49" fontId="28" fillId="0" borderId="80" xfId="0" applyNumberFormat="1" applyFont="1" applyFill="1" applyBorder="1" applyAlignment="1" applyProtection="1">
      <alignment vertical="center" wrapText="1"/>
      <protection/>
    </xf>
    <xf numFmtId="0" fontId="28" fillId="0" borderId="81" xfId="0" applyNumberFormat="1" applyFont="1" applyFill="1" applyBorder="1" applyAlignment="1" applyProtection="1">
      <alignment horizontal="center" vertical="center" wrapText="1"/>
      <protection/>
    </xf>
    <xf numFmtId="0" fontId="28" fillId="0" borderId="82" xfId="0" applyNumberFormat="1" applyFont="1" applyFill="1" applyBorder="1" applyAlignment="1" applyProtection="1">
      <alignment horizontal="center" vertical="center" wrapText="1"/>
      <protection/>
    </xf>
    <xf numFmtId="0" fontId="0" fillId="0" borderId="83" xfId="0" applyBorder="1" applyAlignment="1" applyProtection="1">
      <alignment/>
      <protection/>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67" xfId="0" applyNumberFormat="1" applyFill="1" applyBorder="1" applyAlignment="1" applyProtection="1">
      <alignment horizontal="left"/>
      <protection locked="0"/>
    </xf>
    <xf numFmtId="0" fontId="0" fillId="13" borderId="67" xfId="0" applyNumberFormat="1" applyFill="1" applyBorder="1" applyAlignment="1" applyProtection="1">
      <alignment/>
      <protection locked="0"/>
    </xf>
    <xf numFmtId="0" fontId="0" fillId="13" borderId="67" xfId="0" applyNumberFormat="1" applyFill="1" applyBorder="1" applyAlignment="1" applyProtection="1">
      <alignment horizontal="center"/>
      <protection locked="0"/>
    </xf>
    <xf numFmtId="171" fontId="0" fillId="3" borderId="84" xfId="181" applyFill="1" applyBorder="1" applyAlignment="1" applyProtection="1">
      <alignment vertical="center"/>
      <protection/>
    </xf>
    <xf numFmtId="0" fontId="0" fillId="12" borderId="85" xfId="0" applyFill="1" applyBorder="1" applyAlignment="1">
      <alignment/>
    </xf>
    <xf numFmtId="0" fontId="0" fillId="0" borderId="21" xfId="0" applyBorder="1" applyAlignment="1" applyProtection="1">
      <alignment/>
      <protection/>
    </xf>
    <xf numFmtId="171" fontId="42" fillId="13" borderId="86" xfId="181" applyFont="1" applyFill="1" applyBorder="1" applyAlignment="1" applyProtection="1">
      <alignment horizontal="center" vertical="center"/>
      <protection/>
    </xf>
    <xf numFmtId="171" fontId="42" fillId="0" borderId="87" xfId="181" applyFont="1" applyFill="1" applyBorder="1" applyAlignment="1" applyProtection="1">
      <alignment vertical="center"/>
      <protection/>
    </xf>
    <xf numFmtId="0" fontId="0" fillId="0" borderId="88" xfId="0" applyNumberFormat="1" applyFill="1" applyBorder="1" applyAlignment="1">
      <alignment/>
    </xf>
    <xf numFmtId="15" fontId="30" fillId="0" borderId="89"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207" fontId="0" fillId="0" borderId="12" xfId="0" applyNumberFormat="1" applyFill="1" applyBorder="1" applyAlignment="1" applyProtection="1">
      <alignment horizontal="center"/>
      <protection/>
    </xf>
    <xf numFmtId="207" fontId="18" fillId="29" borderId="90" xfId="0" applyNumberFormat="1" applyFont="1" applyFill="1" applyBorder="1" applyAlignment="1" applyProtection="1">
      <alignment horizontal="center"/>
      <protection/>
    </xf>
    <xf numFmtId="207" fontId="24" fillId="29" borderId="90"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41"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91" xfId="0" applyFont="1" applyFill="1" applyBorder="1" applyAlignment="1" applyProtection="1">
      <alignment horizontal="center" vertical="center" wrapText="1"/>
      <protection/>
    </xf>
    <xf numFmtId="0" fontId="78" fillId="0" borderId="92" xfId="0" applyFont="1" applyFill="1" applyBorder="1" applyAlignment="1" applyProtection="1">
      <alignment horizontal="center"/>
      <protection/>
    </xf>
    <xf numFmtId="0" fontId="78" fillId="0" borderId="93" xfId="0" applyFont="1" applyFill="1" applyBorder="1" applyAlignment="1" applyProtection="1">
      <alignment horizontal="center"/>
      <protection/>
    </xf>
    <xf numFmtId="0" fontId="78" fillId="0" borderId="94" xfId="0" applyNumberFormat="1" applyFont="1" applyFill="1" applyBorder="1" applyAlignment="1" applyProtection="1">
      <alignment horizontal="center"/>
      <protection/>
    </xf>
    <xf numFmtId="0" fontId="78" fillId="0" borderId="95" xfId="0" applyNumberFormat="1" applyFont="1" applyFill="1" applyBorder="1" applyAlignment="1" applyProtection="1">
      <alignment horizontal="center"/>
      <protection/>
    </xf>
    <xf numFmtId="0" fontId="78" fillId="0" borderId="95" xfId="0" applyNumberFormat="1" applyFont="1" applyFill="1" applyBorder="1" applyAlignment="1" applyProtection="1">
      <alignment horizontal="center" vertical="center"/>
      <protection/>
    </xf>
    <xf numFmtId="0" fontId="78" fillId="0" borderId="96" xfId="0" applyNumberFormat="1" applyFont="1" applyFill="1" applyBorder="1" applyAlignment="1" applyProtection="1">
      <alignment horizontal="center" vertical="center"/>
      <protection/>
    </xf>
    <xf numFmtId="0" fontId="82" fillId="0" borderId="97" xfId="0" applyNumberFormat="1" applyFont="1" applyFill="1" applyBorder="1" applyAlignment="1" applyProtection="1">
      <alignment horizontal="center" vertical="center"/>
      <protection/>
    </xf>
    <xf numFmtId="0" fontId="82" fillId="0" borderId="98" xfId="0" applyNumberFormat="1" applyFont="1" applyFill="1" applyBorder="1" applyAlignment="1" applyProtection="1">
      <alignment horizontal="center" vertical="center"/>
      <protection/>
    </xf>
    <xf numFmtId="0" fontId="82" fillId="0" borderId="99" xfId="0" applyNumberFormat="1" applyFont="1" applyFill="1" applyBorder="1" applyAlignment="1" applyProtection="1">
      <alignment horizontal="center" vertical="center"/>
      <protection/>
    </xf>
    <xf numFmtId="207" fontId="0" fillId="2" borderId="12" xfId="0" applyNumberFormat="1" applyFill="1" applyBorder="1" applyAlignment="1" applyProtection="1">
      <alignment horizontal="center"/>
      <protection/>
    </xf>
    <xf numFmtId="207" fontId="0" fillId="0" borderId="12" xfId="0" applyNumberFormat="1" applyBorder="1" applyAlignment="1" applyProtection="1">
      <alignment horizontal="center"/>
      <protection/>
    </xf>
    <xf numFmtId="207" fontId="0" fillId="2" borderId="67" xfId="0" applyNumberFormat="1" applyFill="1" applyBorder="1" applyAlignment="1" applyProtection="1">
      <alignment horizontal="center"/>
      <protection/>
    </xf>
    <xf numFmtId="207" fontId="0" fillId="0" borderId="67"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67" xfId="0" applyNumberFormat="1" applyFill="1" applyBorder="1" applyAlignment="1" applyProtection="1">
      <alignment/>
      <protection/>
    </xf>
    <xf numFmtId="3" fontId="0" fillId="0" borderId="67" xfId="0" applyNumberFormat="1" applyFill="1" applyBorder="1" applyAlignment="1" applyProtection="1">
      <alignment/>
      <protection/>
    </xf>
    <xf numFmtId="207" fontId="0" fillId="0" borderId="67" xfId="0" applyNumberFormat="1" applyFill="1" applyBorder="1" applyAlignment="1" applyProtection="1">
      <alignment horizontal="center"/>
      <protection/>
    </xf>
    <xf numFmtId="0" fontId="0" fillId="0" borderId="60" xfId="0" applyBorder="1" applyAlignment="1" applyProtection="1">
      <alignment horizontal="center" wrapText="1"/>
      <protection/>
    </xf>
    <xf numFmtId="3" fontId="1" fillId="0" borderId="67" xfId="91" applyNumberFormat="1" applyFont="1" applyFill="1" applyBorder="1" applyAlignment="1" applyProtection="1">
      <alignment horizontal="right"/>
      <protection/>
    </xf>
    <xf numFmtId="3" fontId="0" fillId="0" borderId="67" xfId="0" applyNumberFormat="1" applyBorder="1" applyAlignment="1" applyProtection="1">
      <alignment horizontal="right" wrapText="1"/>
      <protection/>
    </xf>
    <xf numFmtId="3" fontId="0" fillId="13" borderId="57" xfId="0" applyNumberFormat="1" applyFill="1" applyBorder="1" applyAlignment="1" applyProtection="1">
      <alignment horizontal="right" wrapText="1"/>
      <protection locked="0"/>
    </xf>
    <xf numFmtId="3" fontId="0" fillId="0" borderId="57" xfId="0" applyNumberFormat="1" applyBorder="1" applyAlignment="1" applyProtection="1">
      <alignment horizontal="right" wrapText="1"/>
      <protection/>
    </xf>
    <xf numFmtId="3" fontId="0" fillId="0" borderId="61" xfId="0" applyNumberFormat="1" applyBorder="1" applyAlignment="1" applyProtection="1">
      <alignment horizontal="right" wrapText="1"/>
      <protection/>
    </xf>
    <xf numFmtId="207" fontId="0" fillId="0" borderId="57" xfId="0" applyNumberFormat="1" applyFill="1" applyBorder="1" applyAlignment="1" applyProtection="1">
      <alignment/>
      <protection/>
    </xf>
    <xf numFmtId="207" fontId="0" fillId="0" borderId="61" xfId="0" applyNumberFormat="1" applyFill="1" applyBorder="1" applyAlignment="1" applyProtection="1">
      <alignment/>
      <protection/>
    </xf>
    <xf numFmtId="0" fontId="38" fillId="12" borderId="0" xfId="0" applyFont="1" applyFill="1" applyBorder="1" applyAlignment="1" applyProtection="1">
      <alignment horizontal="left" vertical="top" wrapText="1"/>
      <protection locked="0"/>
    </xf>
    <xf numFmtId="3" fontId="2" fillId="32" borderId="12" xfId="0" applyNumberFormat="1" applyFont="1" applyFill="1" applyBorder="1" applyAlignment="1" applyProtection="1">
      <alignment vertical="center"/>
      <protection locked="0"/>
    </xf>
    <xf numFmtId="0" fontId="78" fillId="0" borderId="100"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2" fillId="33"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0" fontId="2" fillId="34" borderId="12" xfId="0" applyFont="1" applyFill="1" applyBorder="1" applyAlignment="1" applyProtection="1">
      <alignment horizontal="center"/>
      <protection/>
    </xf>
    <xf numFmtId="0" fontId="2" fillId="35"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49" fontId="0" fillId="0" borderId="12" xfId="0" applyNumberFormat="1" applyBorder="1" applyAlignment="1" applyProtection="1">
      <alignment horizontal="center"/>
      <protection locked="0"/>
    </xf>
    <xf numFmtId="1" fontId="0" fillId="3" borderId="12" xfId="0" applyNumberFormat="1" applyFill="1" applyBorder="1" applyAlignment="1" applyProtection="1">
      <alignment horizontal="center"/>
      <protection locked="0"/>
    </xf>
    <xf numFmtId="1" fontId="0" fillId="3" borderId="75" xfId="0" applyNumberFormat="1" applyFill="1" applyBorder="1" applyAlignment="1" applyProtection="1">
      <alignment horizontal="center"/>
      <protection locked="0"/>
    </xf>
    <xf numFmtId="1" fontId="0" fillId="3" borderId="101" xfId="0" applyNumberFormat="1" applyFill="1" applyBorder="1" applyAlignment="1" applyProtection="1">
      <alignment horizontal="center"/>
      <protection locked="0"/>
    </xf>
    <xf numFmtId="3" fontId="2" fillId="32" borderId="12" xfId="0" applyNumberFormat="1" applyFont="1" applyFill="1" applyBorder="1" applyAlignment="1" applyProtection="1">
      <alignment horizontal="right" vertical="center"/>
      <protection locked="0"/>
    </xf>
    <xf numFmtId="3" fontId="31" fillId="0" borderId="12" xfId="0" applyNumberFormat="1" applyFont="1" applyBorder="1" applyAlignment="1" applyProtection="1">
      <alignment horizontal="right" vertical="center" wrapText="1"/>
      <protection/>
    </xf>
    <xf numFmtId="3" fontId="31" fillId="0" borderId="12" xfId="0" applyNumberFormat="1" applyFont="1" applyBorder="1" applyAlignment="1" applyProtection="1" quotePrefix="1">
      <alignment horizontal="right" vertical="center" wrapText="1"/>
      <protection/>
    </xf>
    <xf numFmtId="9" fontId="31" fillId="0" borderId="12" xfId="155" applyFont="1" applyBorder="1" applyAlignment="1" applyProtection="1">
      <alignment horizontal="right" vertical="center" wrapText="1"/>
      <protection/>
    </xf>
    <xf numFmtId="0" fontId="78" fillId="0" borderId="102" xfId="0" applyFont="1" applyFill="1" applyBorder="1" applyAlignment="1" applyProtection="1">
      <alignment horizontal="center" vertical="center"/>
      <protection/>
    </xf>
    <xf numFmtId="0" fontId="78" fillId="0" borderId="103" xfId="0" applyFont="1" applyFill="1" applyBorder="1" applyAlignment="1" applyProtection="1">
      <alignment horizontal="center" vertical="center"/>
      <protection/>
    </xf>
    <xf numFmtId="0" fontId="2" fillId="0" borderId="88" xfId="0" applyFont="1" applyFill="1" applyBorder="1" applyAlignment="1" applyProtection="1">
      <alignment horizontal="center"/>
      <protection/>
    </xf>
    <xf numFmtId="202" fontId="17" fillId="10" borderId="0" xfId="0" applyNumberFormat="1" applyFont="1" applyFill="1" applyBorder="1" applyAlignment="1" applyProtection="1">
      <alignment horizontal="center"/>
      <protection locked="0"/>
    </xf>
    <xf numFmtId="202" fontId="17" fillId="10" borderId="104" xfId="0" applyNumberFormat="1" applyFont="1" applyFill="1" applyBorder="1" applyAlignment="1" applyProtection="1">
      <alignment horizontal="center"/>
      <protection locked="0"/>
    </xf>
    <xf numFmtId="3" fontId="142" fillId="12" borderId="12" xfId="0" applyNumberFormat="1" applyFont="1" applyFill="1" applyBorder="1" applyAlignment="1" applyProtection="1">
      <alignment vertical="center"/>
      <protection locked="0"/>
    </xf>
    <xf numFmtId="3" fontId="142" fillId="28" borderId="12" xfId="0" applyNumberFormat="1" applyFont="1" applyFill="1" applyBorder="1" applyAlignment="1" applyProtection="1">
      <alignment horizontal="right" vertical="center"/>
      <protection locked="0"/>
    </xf>
    <xf numFmtId="3" fontId="142" fillId="32" borderId="12" xfId="0" applyNumberFormat="1" applyFont="1" applyFill="1" applyBorder="1" applyAlignment="1" applyProtection="1">
      <alignment horizontal="right" vertical="center"/>
      <protection locked="0"/>
    </xf>
    <xf numFmtId="3" fontId="142" fillId="32" borderId="12" xfId="0" applyNumberFormat="1" applyFont="1" applyFill="1" applyBorder="1" applyAlignment="1" applyProtection="1">
      <alignment vertical="center"/>
      <protection locked="0"/>
    </xf>
    <xf numFmtId="0" fontId="78" fillId="0" borderId="105" xfId="0" applyFont="1" applyFill="1" applyBorder="1" applyAlignment="1" applyProtection="1">
      <alignment horizontal="center" vertical="center"/>
      <protection/>
    </xf>
    <xf numFmtId="0" fontId="78" fillId="0" borderId="106" xfId="0" applyFont="1" applyFill="1" applyBorder="1" applyAlignment="1" applyProtection="1">
      <alignment horizontal="center" vertical="center"/>
      <protection/>
    </xf>
    <xf numFmtId="0" fontId="2" fillId="0" borderId="107" xfId="0" applyFont="1" applyFill="1" applyBorder="1" applyAlignment="1" applyProtection="1">
      <alignment horizontal="center"/>
      <protection/>
    </xf>
    <xf numFmtId="202" fontId="17" fillId="10" borderId="108" xfId="0" applyNumberFormat="1" applyFont="1" applyFill="1" applyBorder="1" applyAlignment="1" applyProtection="1">
      <alignment horizontal="center"/>
      <protection locked="0"/>
    </xf>
    <xf numFmtId="202" fontId="17" fillId="10" borderId="109" xfId="0" applyNumberFormat="1" applyFont="1" applyFill="1" applyBorder="1" applyAlignment="1" applyProtection="1">
      <alignment horizontal="center"/>
      <protection locked="0"/>
    </xf>
    <xf numFmtId="0" fontId="2" fillId="0" borderId="12" xfId="0" applyFont="1" applyFill="1" applyBorder="1" applyAlignment="1" applyProtection="1">
      <alignment/>
      <protection/>
    </xf>
    <xf numFmtId="1" fontId="24" fillId="3" borderId="56" xfId="0" applyNumberFormat="1" applyFont="1" applyFill="1" applyBorder="1" applyAlignment="1" applyProtection="1">
      <alignment horizontal="center"/>
      <protection locked="0"/>
    </xf>
    <xf numFmtId="3" fontId="24" fillId="0" borderId="110" xfId="0" applyNumberFormat="1" applyFont="1" applyBorder="1" applyAlignment="1" applyProtection="1">
      <alignment/>
      <protection/>
    </xf>
    <xf numFmtId="3" fontId="100" fillId="3" borderId="68" xfId="0" applyNumberFormat="1" applyFont="1" applyFill="1" applyBorder="1" applyAlignment="1" applyProtection="1">
      <alignment/>
      <protection locked="0"/>
    </xf>
    <xf numFmtId="3" fontId="100" fillId="3" borderId="74" xfId="0" applyNumberFormat="1" applyFont="1" applyFill="1" applyBorder="1" applyAlignment="1" applyProtection="1">
      <alignment/>
      <protection locked="0"/>
    </xf>
    <xf numFmtId="202" fontId="36" fillId="10" borderId="68" xfId="0" applyNumberFormat="1" applyFont="1" applyFill="1" applyBorder="1" applyAlignment="1" applyProtection="1">
      <alignment horizontal="center" wrapText="1"/>
      <protection locked="0"/>
    </xf>
    <xf numFmtId="15" fontId="1" fillId="0" borderId="12" xfId="174" applyNumberFormat="1" applyFont="1" applyFill="1" applyBorder="1" applyAlignment="1" applyProtection="1">
      <alignment horizontal="center" wrapText="1"/>
      <protection locked="0"/>
    </xf>
    <xf numFmtId="3" fontId="2" fillId="28" borderId="12" xfId="0" applyNumberFormat="1" applyFont="1" applyFill="1" applyBorder="1" applyAlignment="1" applyProtection="1">
      <alignment horizontal="right" vertical="center"/>
      <protection locked="0"/>
    </xf>
    <xf numFmtId="10" fontId="2" fillId="28"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10" fontId="2" fillId="28" borderId="12" xfId="0" applyNumberFormat="1" applyFont="1" applyFill="1" applyBorder="1" applyAlignment="1" applyProtection="1">
      <alignment vertical="center" wrapText="1"/>
      <protection locked="0"/>
    </xf>
    <xf numFmtId="0" fontId="29" fillId="0" borderId="20" xfId="0" applyFont="1" applyFill="1" applyBorder="1" applyAlignment="1" applyProtection="1">
      <alignment vertical="top"/>
      <protection/>
    </xf>
    <xf numFmtId="0" fontId="29" fillId="0" borderId="59" xfId="0" applyFont="1" applyFill="1" applyBorder="1" applyAlignment="1" applyProtection="1">
      <alignment vertical="top"/>
      <protection/>
    </xf>
    <xf numFmtId="0" fontId="29" fillId="0" borderId="111" xfId="0" applyFont="1" applyFill="1" applyBorder="1" applyAlignment="1" applyProtection="1">
      <alignment vertical="top"/>
      <protection/>
    </xf>
    <xf numFmtId="49" fontId="0" fillId="0" borderId="12" xfId="0" applyNumberFormat="1" applyBorder="1" applyAlignment="1" applyProtection="1">
      <alignment horizontal="center"/>
      <protection locked="0"/>
    </xf>
    <xf numFmtId="0" fontId="0" fillId="0" borderId="0" xfId="0" applyAlignment="1" applyProtection="1">
      <alignment horizontal="left" vertical="center"/>
      <protection/>
    </xf>
    <xf numFmtId="4" fontId="0" fillId="0" borderId="0" xfId="0" applyNumberFormat="1" applyFill="1" applyBorder="1" applyAlignment="1" applyProtection="1">
      <alignment horizontal="left" vertical="center"/>
      <protection locked="0"/>
    </xf>
    <xf numFmtId="4" fontId="0" fillId="0" borderId="0" xfId="0" applyNumberFormat="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ill="1" applyBorder="1" applyAlignment="1">
      <alignment horizontal="left" vertical="center"/>
    </xf>
    <xf numFmtId="3" fontId="0" fillId="0" borderId="0" xfId="0" applyNumberFormat="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ill="1" applyBorder="1" applyAlignment="1" applyProtection="1">
      <alignment horizontal="left" vertical="center"/>
      <protection locked="0"/>
    </xf>
    <xf numFmtId="0" fontId="0" fillId="0" borderId="22" xfId="0" applyBorder="1" applyAlignment="1" applyProtection="1">
      <alignment horizontal="center"/>
      <protection/>
    </xf>
    <xf numFmtId="3" fontId="0" fillId="0" borderId="0" xfId="0" applyNumberFormat="1" applyFill="1" applyBorder="1" applyAlignment="1" applyProtection="1">
      <alignment horizontal="left" vertical="center"/>
      <protection/>
    </xf>
    <xf numFmtId="49" fontId="29" fillId="0" borderId="112" xfId="146" applyNumberFormat="1" applyFont="1" applyFill="1" applyBorder="1" applyAlignment="1" applyProtection="1">
      <alignment horizontal="left" vertical="center" wrapText="1"/>
      <protection locked="0"/>
    </xf>
    <xf numFmtId="3" fontId="24" fillId="3" borderId="113" xfId="93" applyNumberFormat="1" applyFont="1" applyFill="1" applyBorder="1" applyAlignment="1" applyProtection="1">
      <alignment horizontal="right" vertical="center"/>
      <protection locked="0"/>
    </xf>
    <xf numFmtId="3" fontId="24" fillId="3" borderId="114" xfId="93" applyNumberFormat="1" applyFont="1" applyFill="1" applyBorder="1" applyAlignment="1" applyProtection="1">
      <alignment horizontal="right" vertical="center"/>
      <protection locked="0"/>
    </xf>
    <xf numFmtId="9" fontId="143" fillId="0" borderId="0" xfId="155" applyFont="1" applyFill="1" applyBorder="1" applyAlignment="1" applyProtection="1">
      <alignment horizontal="left" vertical="center"/>
      <protection locked="0"/>
    </xf>
    <xf numFmtId="9" fontId="143" fillId="0" borderId="0" xfId="155" applyFont="1" applyFill="1" applyBorder="1" applyAlignment="1" applyProtection="1">
      <alignment horizontal="left" vertical="center"/>
      <protection/>
    </xf>
    <xf numFmtId="1" fontId="24" fillId="13" borderId="48" xfId="0" applyNumberFormat="1" applyFont="1" applyFill="1" applyBorder="1" applyAlignment="1" applyProtection="1">
      <alignment horizontal="center"/>
      <protection locked="0"/>
    </xf>
    <xf numFmtId="0" fontId="24" fillId="36" borderId="27" xfId="0" applyNumberFormat="1" applyFont="1" applyFill="1" applyBorder="1" applyAlignment="1" applyProtection="1">
      <alignment horizontal="center"/>
      <protection locked="0"/>
    </xf>
    <xf numFmtId="1" fontId="24" fillId="13" borderId="12" xfId="0" applyNumberFormat="1" applyFont="1" applyFill="1" applyBorder="1" applyAlignment="1" applyProtection="1">
      <alignment horizontal="center"/>
      <protection locked="0"/>
    </xf>
    <xf numFmtId="1" fontId="24" fillId="0" borderId="25" xfId="0" applyNumberFormat="1" applyFont="1" applyFill="1" applyBorder="1" applyAlignment="1" applyProtection="1">
      <alignment horizontal="center"/>
      <protection/>
    </xf>
    <xf numFmtId="171" fontId="20" fillId="37" borderId="0" xfId="126"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4" fillId="0" borderId="0" xfId="0" applyFont="1" applyAlignment="1">
      <alignment horizontal="center"/>
    </xf>
    <xf numFmtId="0" fontId="115" fillId="0" borderId="0" xfId="0" applyFont="1" applyAlignment="1">
      <alignment horizontal="center"/>
    </xf>
    <xf numFmtId="171" fontId="20" fillId="26" borderId="0" xfId="135" applyFont="1" applyFill="1" applyAlignment="1" applyProtection="1">
      <alignment horizontal="center" vertical="center"/>
      <protection/>
    </xf>
    <xf numFmtId="0" fontId="87" fillId="0" borderId="0" xfId="0" applyFont="1" applyAlignment="1">
      <alignment horizontal="center"/>
    </xf>
    <xf numFmtId="0" fontId="66" fillId="0" borderId="44" xfId="0" applyFont="1" applyBorder="1" applyAlignment="1">
      <alignment horizontal="left" vertical="center" wrapText="1"/>
    </xf>
    <xf numFmtId="0" fontId="66" fillId="0" borderId="45" xfId="0" applyFont="1" applyBorder="1" applyAlignment="1">
      <alignment horizontal="left" vertical="center" wrapText="1"/>
    </xf>
    <xf numFmtId="0" fontId="66" fillId="0" borderId="46" xfId="0" applyFont="1" applyBorder="1" applyAlignment="1">
      <alignment horizontal="left" vertical="center" wrapText="1"/>
    </xf>
    <xf numFmtId="0" fontId="88" fillId="3" borderId="44" xfId="0" applyFont="1" applyFill="1" applyBorder="1" applyAlignment="1">
      <alignment horizontal="center"/>
    </xf>
    <xf numFmtId="0" fontId="88" fillId="3" borderId="45" xfId="0" applyFont="1" applyFill="1" applyBorder="1" applyAlignment="1">
      <alignment horizontal="center"/>
    </xf>
    <xf numFmtId="0" fontId="88" fillId="3" borderId="46" xfId="0" applyFont="1" applyFill="1" applyBorder="1" applyAlignment="1">
      <alignment horizontal="center"/>
    </xf>
    <xf numFmtId="171" fontId="89" fillId="0" borderId="44" xfId="0" applyNumberFormat="1" applyFont="1" applyBorder="1" applyAlignment="1">
      <alignment horizontal="justify" vertical="center" wrapText="1"/>
    </xf>
    <xf numFmtId="0" fontId="89" fillId="0" borderId="45" xfId="0" applyFont="1" applyBorder="1" applyAlignment="1">
      <alignment horizontal="justify" vertical="center"/>
    </xf>
    <xf numFmtId="0" fontId="89" fillId="0" borderId="46" xfId="0" applyFont="1" applyBorder="1" applyAlignment="1">
      <alignment horizontal="justify" vertical="center"/>
    </xf>
    <xf numFmtId="171" fontId="89" fillId="0" borderId="44" xfId="0" applyNumberFormat="1" applyFont="1" applyBorder="1" applyAlignment="1">
      <alignment horizontal="left" vertical="center" wrapText="1"/>
    </xf>
    <xf numFmtId="0" fontId="89" fillId="0" borderId="45" xfId="0" applyFont="1" applyBorder="1" applyAlignment="1">
      <alignment horizontal="left" vertical="center"/>
    </xf>
    <xf numFmtId="0" fontId="89" fillId="0" borderId="46" xfId="0" applyFont="1" applyBorder="1" applyAlignment="1">
      <alignment horizontal="left" vertical="center"/>
    </xf>
    <xf numFmtId="0" fontId="89" fillId="0" borderId="45" xfId="0" applyFont="1" applyBorder="1" applyAlignment="1">
      <alignment horizontal="justify" vertical="center" wrapText="1"/>
    </xf>
    <xf numFmtId="0" fontId="89" fillId="0" borderId="46" xfId="0" applyFont="1" applyBorder="1" applyAlignment="1">
      <alignment horizontal="justify" vertical="center" wrapText="1"/>
    </xf>
    <xf numFmtId="0" fontId="66" fillId="0" borderId="44" xfId="0" applyFont="1" applyBorder="1" applyAlignment="1">
      <alignment horizontal="justify" vertical="center" wrapText="1"/>
    </xf>
    <xf numFmtId="0" fontId="90" fillId="0" borderId="45" xfId="0" applyFont="1" applyBorder="1" applyAlignment="1">
      <alignment horizontal="justify" vertical="center" wrapText="1"/>
    </xf>
    <xf numFmtId="0" fontId="90" fillId="0" borderId="46" xfId="0" applyFont="1" applyBorder="1" applyAlignment="1">
      <alignment horizontal="justify" vertical="center" wrapText="1"/>
    </xf>
    <xf numFmtId="0" fontId="90" fillId="0" borderId="44" xfId="0" applyFont="1" applyBorder="1" applyAlignment="1">
      <alignment horizontal="justify" vertical="center" wrapText="1"/>
    </xf>
    <xf numFmtId="0" fontId="0" fillId="0" borderId="0" xfId="0" applyBorder="1" applyAlignment="1">
      <alignment horizontal="center" wrapText="1"/>
    </xf>
    <xf numFmtId="0" fontId="88" fillId="13" borderId="44" xfId="0" applyFont="1" applyFill="1" applyBorder="1" applyAlignment="1">
      <alignment horizontal="center"/>
    </xf>
    <xf numFmtId="0" fontId="88" fillId="13" borderId="45" xfId="0" applyFont="1" applyFill="1" applyBorder="1" applyAlignment="1">
      <alignment horizontal="center"/>
    </xf>
    <xf numFmtId="0" fontId="88" fillId="13" borderId="46" xfId="0" applyFont="1" applyFill="1" applyBorder="1" applyAlignment="1">
      <alignment horizontal="center"/>
    </xf>
    <xf numFmtId="9" fontId="90" fillId="0" borderId="44" xfId="155" applyFont="1" applyBorder="1" applyAlignment="1">
      <alignment horizontal="justify" vertical="center" wrapText="1"/>
    </xf>
    <xf numFmtId="9" fontId="90" fillId="0" borderId="45" xfId="155" applyFont="1" applyBorder="1" applyAlignment="1">
      <alignment horizontal="justify" vertical="center" wrapText="1"/>
    </xf>
    <xf numFmtId="9" fontId="90" fillId="0" borderId="46" xfId="155" applyFont="1" applyBorder="1" applyAlignment="1">
      <alignment horizontal="justify" vertical="center" wrapText="1"/>
    </xf>
    <xf numFmtId="0" fontId="0" fillId="0" borderId="115" xfId="0" applyBorder="1" applyAlignment="1">
      <alignment horizontal="center" wrapText="1"/>
    </xf>
    <xf numFmtId="0" fontId="0" fillId="0" borderId="115" xfId="0" applyBorder="1" applyAlignment="1">
      <alignment horizontal="center"/>
    </xf>
    <xf numFmtId="0" fontId="89" fillId="0" borderId="45" xfId="0" applyFont="1" applyBorder="1" applyAlignment="1">
      <alignment horizontal="left" vertical="center" wrapText="1"/>
    </xf>
    <xf numFmtId="0" fontId="89" fillId="0" borderId="46" xfId="0" applyFont="1" applyBorder="1" applyAlignment="1">
      <alignment horizontal="left" vertical="center" wrapText="1"/>
    </xf>
    <xf numFmtId="0" fontId="0" fillId="0" borderId="0" xfId="0" applyBorder="1" applyAlignment="1">
      <alignment horizontal="center"/>
    </xf>
    <xf numFmtId="0" fontId="27" fillId="12" borderId="44" xfId="0" applyFont="1" applyFill="1" applyBorder="1" applyAlignment="1">
      <alignment horizontal="center" wrapText="1"/>
    </xf>
    <xf numFmtId="0" fontId="27" fillId="12" borderId="45" xfId="0" applyFont="1" applyFill="1" applyBorder="1" applyAlignment="1">
      <alignment horizontal="center" wrapText="1"/>
    </xf>
    <xf numFmtId="0" fontId="27" fillId="12" borderId="46" xfId="0" applyFont="1" applyFill="1" applyBorder="1" applyAlignment="1">
      <alignment horizontal="center" wrapText="1"/>
    </xf>
    <xf numFmtId="0" fontId="27" fillId="12" borderId="44" xfId="0" applyFont="1" applyFill="1" applyBorder="1" applyAlignment="1">
      <alignment horizontal="center"/>
    </xf>
    <xf numFmtId="0" fontId="27" fillId="12" borderId="45" xfId="0" applyFont="1" applyFill="1" applyBorder="1" applyAlignment="1">
      <alignment horizontal="center"/>
    </xf>
    <xf numFmtId="0" fontId="27" fillId="12" borderId="46" xfId="0" applyFont="1" applyFill="1" applyBorder="1" applyAlignment="1">
      <alignment horizont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7" fillId="12" borderId="44" xfId="0" applyFont="1" applyFill="1" applyBorder="1" applyAlignment="1">
      <alignment horizontal="center" vertical="center" wrapText="1"/>
    </xf>
    <xf numFmtId="0" fontId="17" fillId="12" borderId="45" xfId="0" applyFont="1" applyFill="1" applyBorder="1" applyAlignment="1">
      <alignment horizontal="center" vertical="center"/>
    </xf>
    <xf numFmtId="0" fontId="17" fillId="12" borderId="46" xfId="0" applyFont="1" applyFill="1" applyBorder="1" applyAlignment="1">
      <alignment horizontal="center" vertical="center"/>
    </xf>
    <xf numFmtId="0" fontId="27" fillId="12" borderId="44" xfId="0" applyFont="1" applyFill="1" applyBorder="1" applyAlignment="1">
      <alignment horizontal="center" vertical="center"/>
    </xf>
    <xf numFmtId="0" fontId="27" fillId="12" borderId="45" xfId="0" applyFont="1" applyFill="1" applyBorder="1" applyAlignment="1">
      <alignment horizontal="center" vertical="center"/>
    </xf>
    <xf numFmtId="0" fontId="27" fillId="12" borderId="46"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66" fillId="0" borderId="44" xfId="0" applyFont="1" applyBorder="1" applyAlignment="1" applyProtection="1">
      <alignment horizontal="left" vertical="center" wrapText="1"/>
      <protection locked="0"/>
    </xf>
    <xf numFmtId="0" fontId="66" fillId="0" borderId="45"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116"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17" xfId="0" applyFont="1" applyBorder="1" applyAlignment="1">
      <alignment horizontal="left" vertical="center" wrapText="1"/>
    </xf>
    <xf numFmtId="0" fontId="66" fillId="0" borderId="118" xfId="0" applyFont="1" applyBorder="1" applyAlignment="1">
      <alignment horizontal="left" vertical="center" wrapText="1"/>
    </xf>
    <xf numFmtId="0" fontId="66" fillId="0" borderId="119" xfId="0" applyFont="1" applyBorder="1" applyAlignment="1">
      <alignment horizontal="left" vertical="center" wrapText="1"/>
    </xf>
    <xf numFmtId="0" fontId="66" fillId="0" borderId="120" xfId="0" applyFont="1" applyBorder="1" applyAlignment="1">
      <alignment horizontal="left" vertical="center" wrapText="1"/>
    </xf>
    <xf numFmtId="0" fontId="111" fillId="0" borderId="44" xfId="0" applyFont="1" applyBorder="1" applyAlignment="1">
      <alignment horizontal="justify" vertical="center" wrapText="1"/>
    </xf>
    <xf numFmtId="0" fontId="111" fillId="0" borderId="45" xfId="0" applyFont="1" applyBorder="1" applyAlignment="1">
      <alignment horizontal="justify" vertical="center" wrapText="1"/>
    </xf>
    <xf numFmtId="0" fontId="111" fillId="0" borderId="46" xfId="0" applyFont="1" applyBorder="1" applyAlignment="1">
      <alignment horizontal="justify" vertical="center" wrapText="1"/>
    </xf>
    <xf numFmtId="0" fontId="111" fillId="0" borderId="118" xfId="0" applyFont="1" applyBorder="1" applyAlignment="1">
      <alignment horizontal="justify" vertical="center" wrapText="1"/>
    </xf>
    <xf numFmtId="0" fontId="111" fillId="0" borderId="119" xfId="0" applyFont="1" applyBorder="1" applyAlignment="1">
      <alignment horizontal="justify" vertical="center" wrapText="1"/>
    </xf>
    <xf numFmtId="0" fontId="111" fillId="0" borderId="120" xfId="0" applyFont="1" applyBorder="1" applyAlignment="1">
      <alignment horizontal="justify" vertical="center" wrapText="1"/>
    </xf>
    <xf numFmtId="0" fontId="66" fillId="0" borderId="44" xfId="0" applyFont="1" applyBorder="1" applyAlignment="1" applyProtection="1">
      <alignment horizontal="justify" vertical="center" wrapText="1"/>
      <protection locked="0"/>
    </xf>
    <xf numFmtId="0" fontId="90" fillId="0" borderId="45"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171" fontId="89" fillId="0" borderId="116" xfId="0" applyNumberFormat="1" applyFont="1" applyBorder="1" applyAlignment="1">
      <alignment horizontal="left" vertical="center" wrapText="1"/>
    </xf>
    <xf numFmtId="0" fontId="89" fillId="0" borderId="115" xfId="0" applyFont="1" applyBorder="1" applyAlignment="1">
      <alignment horizontal="left" vertical="center" wrapText="1"/>
    </xf>
    <xf numFmtId="0" fontId="89" fillId="0" borderId="117" xfId="0" applyFont="1" applyBorder="1" applyAlignment="1">
      <alignment horizontal="left" vertical="center" wrapText="1"/>
    </xf>
    <xf numFmtId="0" fontId="89" fillId="0" borderId="118" xfId="0" applyFont="1" applyBorder="1" applyAlignment="1">
      <alignment horizontal="left" vertical="center" wrapText="1"/>
    </xf>
    <xf numFmtId="0" fontId="89" fillId="0" borderId="119" xfId="0" applyFont="1" applyBorder="1" applyAlignment="1">
      <alignment horizontal="left" vertical="center" wrapText="1"/>
    </xf>
    <xf numFmtId="0" fontId="89" fillId="0" borderId="120" xfId="0" applyFont="1" applyBorder="1" applyAlignment="1">
      <alignment horizontal="left" vertical="center" wrapText="1"/>
    </xf>
    <xf numFmtId="0" fontId="66" fillId="0" borderId="45" xfId="0" applyFont="1" applyBorder="1" applyAlignment="1">
      <alignment horizontal="justify" vertical="center" wrapText="1"/>
    </xf>
    <xf numFmtId="0" fontId="66" fillId="0" borderId="46" xfId="0" applyFont="1" applyBorder="1" applyAlignment="1">
      <alignment horizontal="justify" vertical="center" wrapText="1"/>
    </xf>
    <xf numFmtId="0" fontId="90" fillId="0" borderId="118" xfId="0" applyFont="1" applyBorder="1" applyAlignment="1">
      <alignment horizontal="justify" vertical="center" wrapText="1"/>
    </xf>
    <xf numFmtId="0" fontId="90" fillId="0" borderId="119" xfId="0" applyFont="1" applyBorder="1" applyAlignment="1">
      <alignment horizontal="justify" vertical="center" wrapText="1"/>
    </xf>
    <xf numFmtId="0" fontId="90" fillId="0" borderId="120" xfId="0" applyFont="1" applyBorder="1" applyAlignment="1">
      <alignment horizontal="justify" vertical="center" wrapText="1"/>
    </xf>
    <xf numFmtId="0" fontId="111" fillId="0" borderId="44" xfId="0" applyFont="1" applyBorder="1" applyAlignment="1">
      <alignment horizontal="left" vertical="center" wrapText="1"/>
    </xf>
    <xf numFmtId="0" fontId="108" fillId="0" borderId="45" xfId="0" applyFont="1" applyBorder="1" applyAlignment="1">
      <alignment horizontal="left" vertical="center" wrapText="1"/>
    </xf>
    <xf numFmtId="0" fontId="108" fillId="0" borderId="46" xfId="0" applyFont="1" applyBorder="1" applyAlignment="1">
      <alignment horizontal="left" vertical="center" wrapText="1"/>
    </xf>
    <xf numFmtId="0" fontId="66" fillId="0" borderId="116" xfId="0" applyFont="1" applyBorder="1" applyAlignment="1">
      <alignment horizontal="justify" wrapText="1"/>
    </xf>
    <xf numFmtId="0" fontId="66" fillId="0" borderId="115" xfId="0" applyFont="1" applyBorder="1" applyAlignment="1">
      <alignment horizontal="justify" wrapText="1"/>
    </xf>
    <xf numFmtId="0" fontId="66" fillId="0" borderId="117" xfId="0" applyFont="1" applyBorder="1" applyAlignment="1">
      <alignment horizontal="justify" wrapText="1"/>
    </xf>
    <xf numFmtId="0" fontId="144" fillId="12" borderId="12" xfId="0" applyNumberFormat="1" applyFont="1" applyFill="1" applyBorder="1" applyAlignment="1" applyProtection="1">
      <alignment horizontal="center" vertical="center" wrapText="1"/>
      <protection locked="0"/>
    </xf>
    <xf numFmtId="0" fontId="2" fillId="12" borderId="1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xf>
    <xf numFmtId="9" fontId="37" fillId="0" borderId="121" xfId="155" applyFont="1" applyFill="1" applyBorder="1" applyAlignment="1" applyProtection="1">
      <alignment horizontal="center" vertical="center"/>
      <protection/>
    </xf>
    <xf numFmtId="9" fontId="37" fillId="0" borderId="122" xfId="155" applyFont="1" applyFill="1" applyBorder="1" applyAlignment="1" applyProtection="1">
      <alignment horizontal="center" vertical="center"/>
      <protection/>
    </xf>
    <xf numFmtId="9" fontId="37" fillId="0" borderId="123" xfId="155" applyFont="1" applyFill="1" applyBorder="1" applyAlignment="1" applyProtection="1">
      <alignment horizontal="center" vertical="center"/>
      <protection/>
    </xf>
    <xf numFmtId="49" fontId="2" fillId="12" borderId="12" xfId="0" applyNumberFormat="1" applyFont="1" applyFill="1" applyBorder="1" applyAlignment="1" applyProtection="1">
      <alignment horizontal="center" vertical="center" wrapText="1"/>
      <protection locked="0"/>
    </xf>
    <xf numFmtId="49" fontId="2" fillId="28" borderId="12" xfId="0" applyNumberFormat="1" applyFont="1" applyFill="1" applyBorder="1" applyAlignment="1" applyProtection="1">
      <alignment horizontal="center" vertical="center" wrapText="1"/>
      <protection locked="0"/>
    </xf>
    <xf numFmtId="49" fontId="2" fillId="28" borderId="12" xfId="0" applyNumberFormat="1" applyFont="1" applyFill="1" applyBorder="1" applyAlignment="1" applyProtection="1">
      <alignment horizontal="center" vertical="center" wrapText="1"/>
      <protection locked="0"/>
    </xf>
    <xf numFmtId="0" fontId="144" fillId="28" borderId="12" xfId="0" applyNumberFormat="1" applyFont="1" applyFill="1" applyBorder="1" applyAlignment="1" applyProtection="1">
      <alignment horizontal="center" vertical="center" wrapText="1"/>
      <protection locked="0"/>
    </xf>
    <xf numFmtId="0" fontId="0" fillId="24" borderId="124" xfId="0" applyFill="1" applyBorder="1" applyAlignment="1" applyProtection="1">
      <alignment horizontal="center"/>
      <protection/>
    </xf>
    <xf numFmtId="0" fontId="0" fillId="24" borderId="125" xfId="0" applyFill="1" applyBorder="1" applyAlignment="1" applyProtection="1">
      <alignment horizontal="center"/>
      <protection/>
    </xf>
    <xf numFmtId="0" fontId="0" fillId="24" borderId="126" xfId="0" applyFill="1" applyBorder="1" applyAlignment="1" applyProtection="1">
      <alignment horizontal="center"/>
      <protection/>
    </xf>
    <xf numFmtId="0" fontId="2" fillId="0" borderId="12" xfId="0" applyFont="1" applyFill="1" applyBorder="1" applyAlignment="1" applyProtection="1">
      <alignment horizontal="left" vertical="center" wrapText="1"/>
      <protection/>
    </xf>
    <xf numFmtId="0" fontId="2" fillId="30" borderId="12" xfId="0" applyFont="1" applyFill="1" applyBorder="1" applyAlignment="1" applyProtection="1">
      <alignment horizontal="center" vertical="center" wrapText="1"/>
      <protection/>
    </xf>
    <xf numFmtId="207" fontId="144" fillId="12" borderId="12" xfId="0" applyNumberFormat="1" applyFont="1" applyFill="1" applyBorder="1" applyAlignment="1" applyProtection="1">
      <alignment horizontal="center" vertical="center" wrapText="1"/>
      <protection locked="0"/>
    </xf>
    <xf numFmtId="11" fontId="2" fillId="38" borderId="12" xfId="0" applyNumberFormat="1" applyFont="1" applyFill="1" applyBorder="1" applyAlignment="1" applyProtection="1">
      <alignment horizontal="left" vertical="center" wrapText="1"/>
      <protection locked="0"/>
    </xf>
    <xf numFmtId="171" fontId="24" fillId="22" borderId="12" xfId="174"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32" borderId="12"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center" vertical="center" wrapText="1"/>
      <protection locked="0"/>
    </xf>
    <xf numFmtId="0" fontId="0" fillId="0" borderId="127" xfId="0" applyBorder="1" applyAlignment="1" applyProtection="1">
      <alignment horizontal="center"/>
      <protection/>
    </xf>
    <xf numFmtId="0" fontId="0" fillId="0" borderId="22" xfId="0" applyBorder="1" applyAlignment="1" applyProtection="1">
      <alignment horizontal="center"/>
      <protection/>
    </xf>
    <xf numFmtId="0" fontId="85" fillId="0" borderId="128" xfId="0" applyFont="1" applyBorder="1" applyAlignment="1" applyProtection="1">
      <alignment horizontal="right"/>
      <protection/>
    </xf>
    <xf numFmtId="0" fontId="17" fillId="0" borderId="128" xfId="0" applyFont="1" applyBorder="1" applyAlignment="1">
      <alignment/>
    </xf>
    <xf numFmtId="0" fontId="0" fillId="0" borderId="129" xfId="0" applyFill="1" applyBorder="1" applyAlignment="1" applyProtection="1">
      <alignment horizontal="center" vertical="center"/>
      <protection locked="0"/>
    </xf>
    <xf numFmtId="0" fontId="0" fillId="0" borderId="130" xfId="0" applyFill="1" applyBorder="1" applyAlignment="1" applyProtection="1">
      <alignment horizontal="center" vertical="center"/>
      <protection locked="0"/>
    </xf>
    <xf numFmtId="0" fontId="0" fillId="0" borderId="131" xfId="0" applyFill="1" applyBorder="1" applyAlignment="1" applyProtection="1">
      <alignment horizontal="center" vertical="center"/>
      <protection locked="0"/>
    </xf>
    <xf numFmtId="49" fontId="0" fillId="0" borderId="44" xfId="0" applyNumberFormat="1" applyBorder="1" applyAlignment="1" applyProtection="1">
      <alignment horizontal="center"/>
      <protection locked="0"/>
    </xf>
    <xf numFmtId="49" fontId="0" fillId="0" borderId="46" xfId="0" applyNumberFormat="1" applyBorder="1" applyAlignment="1" applyProtection="1">
      <alignment horizontal="center"/>
      <protection locked="0"/>
    </xf>
    <xf numFmtId="171" fontId="64" fillId="26" borderId="0" xfId="126" applyFont="1" applyFill="1" applyAlignment="1" applyProtection="1">
      <alignment horizontal="center" vertical="center"/>
      <protection/>
    </xf>
    <xf numFmtId="0" fontId="2" fillId="30" borderId="12" xfId="0" applyFont="1" applyFill="1" applyBorder="1" applyAlignment="1" applyProtection="1">
      <alignment horizontal="left" vertical="center" wrapText="1"/>
      <protection/>
    </xf>
    <xf numFmtId="49" fontId="2" fillId="39" borderId="12"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0" fontId="0" fillId="12" borderId="44" xfId="0" applyFill="1" applyBorder="1" applyAlignment="1" applyProtection="1">
      <alignment horizontal="center"/>
      <protection/>
    </xf>
    <xf numFmtId="0" fontId="0" fillId="12" borderId="46" xfId="0" applyFill="1" applyBorder="1" applyAlignment="1" applyProtection="1">
      <alignment horizontal="center"/>
      <protection/>
    </xf>
    <xf numFmtId="3" fontId="0" fillId="0" borderId="44" xfId="0" applyNumberFormat="1" applyBorder="1" applyAlignment="1" applyProtection="1">
      <alignment horizontal="center"/>
      <protection locked="0"/>
    </xf>
    <xf numFmtId="3" fontId="0" fillId="0" borderId="46"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5" xfId="0" applyNumberFormat="1" applyBorder="1" applyAlignment="1" applyProtection="1">
      <alignment horizontal="center"/>
      <protection locked="0"/>
    </xf>
    <xf numFmtId="0" fontId="96" fillId="0" borderId="0" xfId="0" applyFont="1" applyBorder="1" applyAlignment="1" applyProtection="1">
      <alignment horizontal="right"/>
      <protection/>
    </xf>
    <xf numFmtId="0" fontId="96" fillId="0" borderId="103" xfId="0" applyFont="1" applyBorder="1" applyAlignment="1" applyProtection="1">
      <alignment horizontal="right"/>
      <protection/>
    </xf>
    <xf numFmtId="0" fontId="96" fillId="0" borderId="51" xfId="0" applyFont="1" applyBorder="1" applyAlignment="1" applyProtection="1">
      <alignment horizontal="right"/>
      <protection/>
    </xf>
    <xf numFmtId="15" fontId="1" fillId="0" borderId="12" xfId="174" applyNumberFormat="1" applyFont="1" applyFill="1" applyBorder="1" applyAlignment="1" applyProtection="1">
      <alignment horizontal="center"/>
      <protection locked="0"/>
    </xf>
    <xf numFmtId="15" fontId="0" fillId="0" borderId="12" xfId="174" applyNumberFormat="1" applyFill="1" applyBorder="1" applyAlignment="1" applyProtection="1">
      <alignment horizontal="center"/>
      <protection locked="0"/>
    </xf>
    <xf numFmtId="0" fontId="96" fillId="0" borderId="0" xfId="0" applyFont="1" applyAlignment="1" applyProtection="1">
      <alignment horizontal="right"/>
      <protection/>
    </xf>
    <xf numFmtId="49" fontId="17" fillId="0" borderId="26" xfId="0" applyNumberFormat="1" applyFont="1" applyBorder="1" applyAlignment="1" applyProtection="1">
      <alignment horizontal="center"/>
      <protection/>
    </xf>
    <xf numFmtId="49" fontId="17" fillId="0" borderId="48" xfId="0" applyNumberFormat="1" applyFont="1" applyBorder="1" applyAlignment="1" applyProtection="1">
      <alignment horizontal="center"/>
      <protection/>
    </xf>
    <xf numFmtId="0" fontId="2" fillId="12" borderId="12" xfId="0" applyNumberFormat="1" applyFont="1" applyFill="1" applyBorder="1" applyAlignment="1" applyProtection="1">
      <alignment horizontal="center" vertical="center" wrapText="1"/>
      <protection locked="0"/>
    </xf>
    <xf numFmtId="0" fontId="78" fillId="0" borderId="132" xfId="0" applyFont="1" applyFill="1" applyBorder="1" applyAlignment="1" applyProtection="1">
      <alignment horizontal="center" vertical="center"/>
      <protection/>
    </xf>
    <xf numFmtId="0" fontId="78" fillId="0" borderId="133" xfId="0" applyFont="1" applyFill="1" applyBorder="1" applyAlignment="1" applyProtection="1">
      <alignment horizontal="center" vertical="center"/>
      <protection/>
    </xf>
    <xf numFmtId="0" fontId="78" fillId="0" borderId="134" xfId="0" applyFont="1" applyFill="1" applyBorder="1" applyAlignment="1" applyProtection="1">
      <alignment horizontal="center" vertical="center"/>
      <protection/>
    </xf>
    <xf numFmtId="49" fontId="17" fillId="0" borderId="24"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0" xfId="0" applyFill="1" applyBorder="1" applyAlignment="1" applyProtection="1">
      <alignment horizontal="center" vertical="center" textRotation="90"/>
      <protection/>
    </xf>
    <xf numFmtId="171" fontId="17" fillId="0" borderId="135" xfId="0" applyNumberFormat="1" applyFont="1" applyBorder="1" applyAlignment="1" applyProtection="1">
      <alignment horizontal="center"/>
      <protection/>
    </xf>
    <xf numFmtId="0" fontId="17" fillId="0" borderId="136" xfId="0" applyFont="1" applyBorder="1" applyAlignment="1" applyProtection="1">
      <alignment horizontal="center"/>
      <protection/>
    </xf>
    <xf numFmtId="0" fontId="17" fillId="0" borderId="137" xfId="0" applyFont="1" applyBorder="1" applyAlignment="1" applyProtection="1">
      <alignment horizontal="center"/>
      <protection/>
    </xf>
    <xf numFmtId="0" fontId="29" fillId="0" borderId="138" xfId="0" applyFont="1" applyBorder="1" applyAlignment="1" applyProtection="1">
      <alignment horizontal="center" wrapText="1"/>
      <protection/>
    </xf>
    <xf numFmtId="0" fontId="29" fillId="0" borderId="139" xfId="0" applyFont="1" applyBorder="1" applyAlignment="1" applyProtection="1">
      <alignment horizontal="center" wrapText="1"/>
      <protection/>
    </xf>
    <xf numFmtId="0" fontId="29" fillId="0" borderId="140" xfId="0" applyFont="1" applyBorder="1" applyAlignment="1" applyProtection="1">
      <alignment horizontal="center" wrapText="1"/>
      <protection/>
    </xf>
    <xf numFmtId="49" fontId="2" fillId="38" borderId="12" xfId="0" applyNumberFormat="1" applyFont="1" applyFill="1" applyBorder="1" applyAlignment="1" applyProtection="1">
      <alignment horizontal="left" vertical="center" wrapText="1"/>
      <protection locked="0"/>
    </xf>
    <xf numFmtId="11" fontId="2" fillId="39" borderId="12" xfId="0" applyNumberFormat="1" applyFont="1" applyFill="1" applyBorder="1" applyAlignment="1" applyProtection="1">
      <alignment horizontal="left" vertical="center" wrapText="1"/>
      <protection locked="0"/>
    </xf>
    <xf numFmtId="171" fontId="27" fillId="13" borderId="41" xfId="174" applyFont="1" applyFill="1" applyBorder="1" applyAlignment="1" applyProtection="1">
      <alignment horizontal="center"/>
      <protection/>
    </xf>
    <xf numFmtId="171" fontId="1" fillId="0" borderId="41" xfId="174" applyFont="1" applyFill="1" applyBorder="1" applyAlignment="1" applyProtection="1">
      <alignment horizontal="right"/>
      <protection/>
    </xf>
    <xf numFmtId="171" fontId="106" fillId="37" borderId="41" xfId="174" applyFont="1" applyFill="1" applyBorder="1" applyAlignment="1" applyProtection="1">
      <alignment horizontal="center"/>
      <protection/>
    </xf>
    <xf numFmtId="15" fontId="27" fillId="13" borderId="41" xfId="174" applyNumberFormat="1" applyFont="1" applyFill="1" applyBorder="1" applyAlignment="1" applyProtection="1">
      <alignment horizontal="center"/>
      <protection/>
    </xf>
    <xf numFmtId="0" fontId="0" fillId="0" borderId="41" xfId="0" applyBorder="1" applyAlignment="1">
      <alignment/>
    </xf>
    <xf numFmtId="171" fontId="20" fillId="26" borderId="0" xfId="126" applyFont="1" applyFill="1" applyAlignment="1" applyProtection="1">
      <alignment horizontal="center" vertical="center"/>
      <protection/>
    </xf>
    <xf numFmtId="171" fontId="37" fillId="13" borderId="0" xfId="139" applyFont="1" applyFill="1" applyAlignment="1" applyProtection="1">
      <alignment horizontal="center" vertical="center" wrapText="1"/>
      <protection/>
    </xf>
    <xf numFmtId="214" fontId="27" fillId="13" borderId="41" xfId="174" applyNumberFormat="1" applyFont="1" applyFill="1" applyBorder="1" applyAlignment="1" applyProtection="1">
      <alignment horizontal="center" vertical="center"/>
      <protection/>
    </xf>
    <xf numFmtId="171" fontId="1" fillId="0" borderId="41" xfId="174" applyFont="1" applyBorder="1" applyAlignment="1" applyProtection="1">
      <alignment horizontal="right"/>
      <protection/>
    </xf>
    <xf numFmtId="171" fontId="23" fillId="0" borderId="0" xfId="139" applyFont="1" applyFill="1" applyAlignment="1" applyProtection="1">
      <alignment horizontal="right" vertical="center"/>
      <protection/>
    </xf>
    <xf numFmtId="171" fontId="27" fillId="13" borderId="0" xfId="139" applyFont="1" applyFill="1" applyAlignment="1" applyProtection="1">
      <alignment horizontal="center" vertical="center" wrapText="1"/>
      <protection/>
    </xf>
    <xf numFmtId="0" fontId="107" fillId="0" borderId="141" xfId="0" applyFont="1" applyFill="1" applyBorder="1" applyAlignment="1" applyProtection="1">
      <alignment horizontal="left" wrapText="1"/>
      <protection/>
    </xf>
    <xf numFmtId="0" fontId="107" fillId="0" borderId="90" xfId="0" applyFont="1" applyFill="1" applyBorder="1" applyAlignment="1" applyProtection="1">
      <alignment horizontal="left" wrapText="1"/>
      <protection/>
    </xf>
    <xf numFmtId="0" fontId="107" fillId="0" borderId="142" xfId="0" applyFont="1" applyFill="1" applyBorder="1" applyAlignment="1" applyProtection="1">
      <alignment horizontal="left" wrapText="1"/>
      <protection/>
    </xf>
    <xf numFmtId="0" fontId="107" fillId="0" borderId="143"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7" borderId="0" xfId="174" applyFont="1" applyFill="1" applyBorder="1" applyAlignment="1" applyProtection="1">
      <alignment horizontal="center"/>
      <protection/>
    </xf>
    <xf numFmtId="0" fontId="102" fillId="0" borderId="0" xfId="0" applyFont="1" applyAlignment="1" applyProtection="1">
      <alignment horizontal="center"/>
      <protection/>
    </xf>
    <xf numFmtId="171" fontId="101" fillId="0" borderId="124" xfId="0" applyNumberFormat="1" applyFont="1" applyBorder="1" applyAlignment="1" applyProtection="1">
      <alignment horizontal="center" vertical="center" wrapText="1"/>
      <protection/>
    </xf>
    <xf numFmtId="171" fontId="101" fillId="0" borderId="125" xfId="0" applyNumberFormat="1" applyFont="1" applyBorder="1" applyAlignment="1" applyProtection="1">
      <alignment horizontal="center" vertical="center" wrapText="1"/>
      <protection/>
    </xf>
    <xf numFmtId="171" fontId="101" fillId="0" borderId="126" xfId="0" applyNumberFormat="1" applyFont="1" applyBorder="1" applyAlignment="1" applyProtection="1">
      <alignment horizontal="center" vertical="center" wrapText="1"/>
      <protection/>
    </xf>
    <xf numFmtId="0" fontId="0" fillId="0" borderId="144" xfId="0" applyBorder="1" applyAlignment="1" applyProtection="1">
      <alignment horizontal="center"/>
      <protection/>
    </xf>
    <xf numFmtId="0" fontId="0" fillId="0" borderId="65" xfId="0" applyBorder="1" applyAlignment="1" applyProtection="1">
      <alignment horizontal="center"/>
      <protection/>
    </xf>
    <xf numFmtId="0" fontId="38" fillId="12" borderId="44" xfId="0" applyFont="1" applyFill="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38" fillId="12" borderId="44" xfId="0" applyFont="1" applyFill="1"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46" xfId="0" applyBorder="1" applyAlignment="1" applyProtection="1">
      <alignment horizontal="left" wrapText="1"/>
      <protection locked="0"/>
    </xf>
    <xf numFmtId="171" fontId="31" fillId="0" borderId="0" xfId="0" applyNumberFormat="1" applyFont="1" applyAlignment="1">
      <alignment horizontal="left"/>
    </xf>
    <xf numFmtId="171" fontId="17" fillId="0" borderId="0" xfId="0" applyNumberFormat="1" applyFont="1" applyAlignment="1">
      <alignment horizontal="center"/>
    </xf>
    <xf numFmtId="0" fontId="0" fillId="0" borderId="129" xfId="0" applyFill="1" applyBorder="1" applyAlignment="1" applyProtection="1">
      <alignment horizontal="center" vertical="center"/>
      <protection/>
    </xf>
    <xf numFmtId="0" fontId="0" fillId="0" borderId="130" xfId="0" applyFill="1" applyBorder="1" applyAlignment="1" applyProtection="1">
      <alignment horizontal="center" vertical="center"/>
      <protection/>
    </xf>
    <xf numFmtId="0" fontId="0" fillId="0" borderId="131" xfId="0" applyFill="1" applyBorder="1" applyAlignment="1" applyProtection="1">
      <alignment horizontal="center" vertical="center"/>
      <protection/>
    </xf>
    <xf numFmtId="171" fontId="31" fillId="0" borderId="0" xfId="0" applyNumberFormat="1" applyFont="1" applyAlignment="1">
      <alignment horizontal="right"/>
    </xf>
    <xf numFmtId="15" fontId="31" fillId="0" borderId="0" xfId="0" applyNumberFormat="1" applyFont="1" applyAlignment="1">
      <alignment horizontal="right"/>
    </xf>
    <xf numFmtId="0" fontId="0" fillId="0" borderId="45" xfId="0" applyBorder="1" applyAlignment="1">
      <alignment horizontal="left" vertical="top" wrapText="1"/>
    </xf>
    <xf numFmtId="0" fontId="0" fillId="0" borderId="46" xfId="0" applyBorder="1" applyAlignment="1">
      <alignment horizontal="left" vertical="top" wrapText="1"/>
    </xf>
    <xf numFmtId="0" fontId="86" fillId="0" borderId="0" xfId="0" applyFont="1" applyAlignment="1">
      <alignment horizontal="left" wrapText="1"/>
    </xf>
    <xf numFmtId="0" fontId="33" fillId="12" borderId="44" xfId="0" applyFont="1" applyFill="1" applyBorder="1" applyAlignment="1" applyProtection="1">
      <alignment horizontal="left" wrapText="1"/>
      <protection locked="0"/>
    </xf>
    <xf numFmtId="0" fontId="0" fillId="0" borderId="45" xfId="0" applyBorder="1" applyAlignment="1">
      <alignment horizontal="left" wrapText="1"/>
    </xf>
    <xf numFmtId="0" fontId="0" fillId="0" borderId="46" xfId="0" applyBorder="1" applyAlignment="1">
      <alignment horizontal="left" wrapText="1"/>
    </xf>
    <xf numFmtId="171" fontId="64" fillId="26" borderId="0" xfId="136" applyFont="1" applyFill="1" applyAlignment="1">
      <alignment horizontal="center" vertical="center"/>
      <protection/>
    </xf>
    <xf numFmtId="0" fontId="102" fillId="0" borderId="0" xfId="0" applyFont="1" applyAlignment="1">
      <alignment horizontal="center"/>
    </xf>
    <xf numFmtId="0" fontId="33" fillId="12" borderId="44" xfId="0" applyFont="1" applyFill="1" applyBorder="1" applyAlignment="1" applyProtection="1">
      <alignment horizontal="left" vertical="top" wrapText="1"/>
      <protection locked="0"/>
    </xf>
    <xf numFmtId="0" fontId="33" fillId="12" borderId="45" xfId="0" applyFont="1" applyFill="1" applyBorder="1" applyAlignment="1" applyProtection="1">
      <alignment horizontal="left" vertical="top" wrapText="1"/>
      <protection locked="0"/>
    </xf>
    <xf numFmtId="0" fontId="33" fillId="12" borderId="46" xfId="0" applyFont="1" applyFill="1" applyBorder="1" applyAlignment="1" applyProtection="1">
      <alignment horizontal="left" vertical="top" wrapText="1"/>
      <protection locked="0"/>
    </xf>
    <xf numFmtId="0" fontId="38" fillId="12" borderId="45" xfId="0" applyFont="1" applyFill="1" applyBorder="1" applyAlignment="1" applyProtection="1">
      <alignment horizontal="left" wrapText="1"/>
      <protection locked="0"/>
    </xf>
    <xf numFmtId="0" fontId="38" fillId="12" borderId="46" xfId="0" applyFont="1" applyFill="1" applyBorder="1" applyAlignment="1" applyProtection="1">
      <alignment horizontal="left" wrapText="1"/>
      <protection locked="0"/>
    </xf>
    <xf numFmtId="0" fontId="17" fillId="0" borderId="0" xfId="0" applyFont="1" applyBorder="1" applyAlignment="1">
      <alignment horizontal="center"/>
    </xf>
    <xf numFmtId="0" fontId="38" fillId="0" borderId="115" xfId="0" applyFont="1" applyBorder="1" applyAlignment="1" applyProtection="1">
      <alignment horizontal="left" vertical="center" wrapText="1"/>
      <protection/>
    </xf>
    <xf numFmtId="9" fontId="31" fillId="0" borderId="44" xfId="155" applyFont="1" applyBorder="1" applyAlignment="1" applyProtection="1">
      <alignment horizontal="center" vertical="center" wrapText="1"/>
      <protection/>
    </xf>
    <xf numFmtId="9" fontId="31" fillId="0" borderId="45" xfId="155" applyFont="1" applyBorder="1" applyAlignment="1" applyProtection="1">
      <alignment horizontal="center" vertical="center" wrapText="1"/>
      <protection/>
    </xf>
    <xf numFmtId="9" fontId="31" fillId="0" borderId="46" xfId="155" applyFont="1" applyBorder="1" applyAlignment="1" applyProtection="1">
      <alignment horizontal="center" vertical="center" wrapText="1"/>
      <protection/>
    </xf>
    <xf numFmtId="9" fontId="145" fillId="12" borderId="44" xfId="155" applyFont="1" applyFill="1" applyBorder="1" applyAlignment="1" applyProtection="1">
      <alignment horizontal="left" vertical="center" wrapText="1"/>
      <protection locked="0"/>
    </xf>
    <xf numFmtId="9" fontId="145" fillId="12" borderId="45" xfId="155" applyFont="1" applyFill="1" applyBorder="1" applyAlignment="1" applyProtection="1">
      <alignment horizontal="left" vertical="center" wrapText="1"/>
      <protection locked="0"/>
    </xf>
    <xf numFmtId="9" fontId="145" fillId="12" borderId="46" xfId="155" applyFont="1" applyFill="1" applyBorder="1" applyAlignment="1" applyProtection="1">
      <alignment horizontal="left" vertical="center" wrapText="1"/>
      <protection locked="0"/>
    </xf>
    <xf numFmtId="9" fontId="33" fillId="12" borderId="44" xfId="0" applyNumberFormat="1" applyFont="1" applyFill="1" applyBorder="1" applyAlignment="1" applyProtection="1">
      <alignment horizontal="left" vertical="top" wrapText="1"/>
      <protection locked="0"/>
    </xf>
    <xf numFmtId="0" fontId="37" fillId="0" borderId="119"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171" fontId="64" fillId="26" borderId="0" xfId="136" applyFont="1" applyFill="1" applyAlignment="1" applyProtection="1">
      <alignment horizontal="center" vertical="center"/>
      <protection/>
    </xf>
    <xf numFmtId="171" fontId="102" fillId="0" borderId="0" xfId="0" applyNumberFormat="1" applyFont="1" applyAlignment="1" applyProtection="1">
      <alignment horizontal="center"/>
      <protection/>
    </xf>
    <xf numFmtId="9" fontId="33" fillId="12" borderId="44" xfId="155" applyFont="1" applyFill="1" applyBorder="1" applyAlignment="1" applyProtection="1">
      <alignment horizontal="left" vertical="center" wrapText="1"/>
      <protection locked="0"/>
    </xf>
    <xf numFmtId="9" fontId="33" fillId="12" borderId="45" xfId="155" applyFont="1" applyFill="1" applyBorder="1" applyAlignment="1" applyProtection="1">
      <alignment horizontal="left" vertical="center" wrapText="1"/>
      <protection locked="0"/>
    </xf>
    <xf numFmtId="9" fontId="33" fillId="12" borderId="46" xfId="155" applyFont="1" applyFill="1" applyBorder="1" applyAlignment="1" applyProtection="1">
      <alignment horizontal="left" vertical="center" wrapText="1"/>
      <protection locked="0"/>
    </xf>
    <xf numFmtId="171" fontId="37" fillId="0" borderId="0" xfId="0" applyNumberFormat="1" applyFont="1" applyAlignment="1" applyProtection="1">
      <alignment horizontal="center"/>
      <protection/>
    </xf>
    <xf numFmtId="171" fontId="18" fillId="37" borderId="0" xfId="176" applyFont="1" applyFill="1" applyBorder="1" applyAlignment="1" applyProtection="1">
      <alignment horizontal="center"/>
      <protection/>
    </xf>
    <xf numFmtId="0" fontId="38" fillId="0" borderId="12" xfId="0" applyFont="1" applyBorder="1" applyAlignment="1" applyProtection="1">
      <alignment vertical="center" wrapText="1"/>
      <protection/>
    </xf>
    <xf numFmtId="0" fontId="38" fillId="2" borderId="115" xfId="0" applyFont="1" applyFill="1" applyBorder="1" applyAlignment="1" applyProtection="1">
      <alignment horizontal="left" vertical="center" wrapText="1"/>
      <protection/>
    </xf>
    <xf numFmtId="0" fontId="38" fillId="0" borderId="44" xfId="0" applyFont="1" applyBorder="1" applyAlignment="1" applyProtection="1">
      <alignment horizontal="center" vertical="center"/>
      <protection/>
    </xf>
    <xf numFmtId="0" fontId="38" fillId="0" borderId="45" xfId="0" applyFont="1" applyBorder="1" applyAlignment="1" applyProtection="1">
      <alignment horizontal="center" vertical="center"/>
      <protection/>
    </xf>
    <xf numFmtId="0" fontId="38" fillId="0" borderId="46" xfId="0" applyFont="1" applyBorder="1" applyAlignment="1" applyProtection="1">
      <alignment horizontal="center" vertical="center"/>
      <protection/>
    </xf>
    <xf numFmtId="9" fontId="40" fillId="24" borderId="44" xfId="155" applyFont="1" applyFill="1" applyBorder="1" applyAlignment="1" applyProtection="1">
      <alignment horizontal="center" vertical="center" wrapText="1"/>
      <protection/>
    </xf>
    <xf numFmtId="9" fontId="40" fillId="24" borderId="46" xfId="155" applyFont="1" applyFill="1" applyBorder="1" applyAlignment="1" applyProtection="1">
      <alignment horizontal="center" vertical="center" wrapText="1"/>
      <protection/>
    </xf>
    <xf numFmtId="9" fontId="40" fillId="40" borderId="44" xfId="155" applyFont="1" applyFill="1" applyBorder="1" applyAlignment="1" applyProtection="1">
      <alignment horizontal="center" vertical="center" wrapText="1"/>
      <protection/>
    </xf>
    <xf numFmtId="9" fontId="40" fillId="40" borderId="46" xfId="155" applyFont="1" applyFill="1" applyBorder="1" applyAlignment="1" applyProtection="1">
      <alignment horizontal="center" vertical="center" wrapText="1"/>
      <protection/>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11" fontId="38" fillId="0" borderId="44" xfId="0" applyNumberFormat="1" applyFont="1" applyBorder="1" applyAlignment="1" applyProtection="1">
      <alignment vertical="center" wrapText="1"/>
      <protection/>
    </xf>
    <xf numFmtId="0" fontId="38" fillId="0" borderId="45" xfId="0" applyFont="1" applyBorder="1" applyAlignment="1" applyProtection="1">
      <alignment vertical="center" wrapText="1"/>
      <protection/>
    </xf>
    <xf numFmtId="0" fontId="38" fillId="0" borderId="46" xfId="0" applyFont="1" applyBorder="1" applyAlignment="1" applyProtection="1">
      <alignment vertical="center" wrapText="1"/>
      <protection/>
    </xf>
    <xf numFmtId="0" fontId="38" fillId="2" borderId="0" xfId="0" applyFont="1" applyFill="1" applyAlignment="1" applyProtection="1">
      <alignment horizontal="left"/>
      <protection locked="0"/>
    </xf>
    <xf numFmtId="0" fontId="38" fillId="2" borderId="42" xfId="0" applyFont="1" applyFill="1" applyBorder="1" applyAlignment="1" applyProtection="1">
      <alignment horizontal="left"/>
      <protection locked="0"/>
    </xf>
    <xf numFmtId="0" fontId="38" fillId="2" borderId="145"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49" fontId="38" fillId="0" borderId="12" xfId="0" applyNumberFormat="1" applyFont="1" applyBorder="1" applyAlignment="1" applyProtection="1">
      <alignment vertical="center" wrapText="1"/>
      <protection/>
    </xf>
    <xf numFmtId="0" fontId="38" fillId="2" borderId="115" xfId="0" applyFont="1" applyFill="1" applyBorder="1" applyAlignment="1" applyProtection="1">
      <alignment horizontal="left"/>
      <protection/>
    </xf>
    <xf numFmtId="11" fontId="38" fillId="0" borderId="12" xfId="0" applyNumberFormat="1" applyFont="1" applyBorder="1" applyAlignment="1" applyProtection="1">
      <alignment vertical="center" wrapText="1"/>
      <protection/>
    </xf>
    <xf numFmtId="9" fontId="33" fillId="12" borderId="44" xfId="155" applyFont="1" applyFill="1" applyBorder="1" applyAlignment="1" applyProtection="1">
      <alignment vertical="center" wrapText="1"/>
      <protection locked="0"/>
    </xf>
    <xf numFmtId="9" fontId="33" fillId="12" borderId="45" xfId="155" applyFont="1" applyFill="1" applyBorder="1" applyAlignment="1" applyProtection="1">
      <alignment vertical="center" wrapText="1"/>
      <protection locked="0"/>
    </xf>
    <xf numFmtId="9" fontId="33" fillId="12" borderId="46" xfId="155" applyFont="1" applyFill="1" applyBorder="1" applyAlignment="1" applyProtection="1">
      <alignment vertical="center" wrapText="1"/>
      <protection locked="0"/>
    </xf>
    <xf numFmtId="9" fontId="33" fillId="12" borderId="44" xfId="0" applyNumberFormat="1" applyFont="1" applyFill="1" applyBorder="1" applyAlignment="1" applyProtection="1">
      <alignment horizontal="left" vertical="top" wrapText="1"/>
      <protection locked="0"/>
    </xf>
    <xf numFmtId="0" fontId="24" fillId="0" borderId="45" xfId="0" applyFont="1" applyBorder="1" applyAlignment="1">
      <alignment horizontal="left" vertical="top" wrapText="1"/>
    </xf>
    <xf numFmtId="0" fontId="24" fillId="0" borderId="46" xfId="0" applyFont="1" applyBorder="1" applyAlignment="1">
      <alignment horizontal="left" vertical="top" wrapText="1"/>
    </xf>
    <xf numFmtId="0" fontId="24" fillId="0" borderId="45" xfId="0" applyFont="1" applyBorder="1" applyAlignment="1">
      <alignment horizontal="left" vertical="top" wrapText="1"/>
    </xf>
    <xf numFmtId="0" fontId="24" fillId="0" borderId="46" xfId="0" applyFont="1" applyBorder="1" applyAlignment="1">
      <alignment horizontal="left" vertical="top" wrapText="1"/>
    </xf>
    <xf numFmtId="0" fontId="2" fillId="12" borderId="146" xfId="0" applyFont="1" applyFill="1" applyBorder="1" applyAlignment="1" applyProtection="1">
      <alignment horizontal="center" vertical="top" wrapText="1"/>
      <protection locked="0"/>
    </xf>
    <xf numFmtId="0" fontId="2" fillId="12" borderId="147" xfId="0" applyFont="1" applyFill="1" applyBorder="1" applyAlignment="1" applyProtection="1">
      <alignment horizontal="center" vertical="top" wrapText="1"/>
      <protection locked="0"/>
    </xf>
    <xf numFmtId="0" fontId="2" fillId="12" borderId="148" xfId="0" applyFont="1" applyFill="1" applyBorder="1" applyAlignment="1" applyProtection="1">
      <alignment horizontal="center" vertical="top" wrapText="1"/>
      <protection locked="0"/>
    </xf>
    <xf numFmtId="0" fontId="2" fillId="12" borderId="149" xfId="0" applyFont="1" applyFill="1" applyBorder="1" applyAlignment="1" applyProtection="1">
      <alignment horizontal="center" vertical="top" wrapText="1"/>
      <protection locked="0"/>
    </xf>
    <xf numFmtId="0" fontId="2" fillId="12" borderId="150" xfId="0" applyFont="1" applyFill="1" applyBorder="1" applyAlignment="1" applyProtection="1">
      <alignment horizontal="center" vertical="top" wrapText="1"/>
      <protection locked="0"/>
    </xf>
    <xf numFmtId="0" fontId="2" fillId="12" borderId="151"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52" xfId="0" applyFont="1" applyFill="1" applyBorder="1" applyAlignment="1" applyProtection="1">
      <alignment horizontal="center" vertical="center"/>
      <protection/>
    </xf>
    <xf numFmtId="0" fontId="63" fillId="3" borderId="153" xfId="0" applyFont="1" applyFill="1" applyBorder="1" applyAlignment="1" applyProtection="1">
      <alignment horizontal="center" vertical="center"/>
      <protection/>
    </xf>
    <xf numFmtId="0" fontId="63" fillId="3" borderId="154" xfId="0" applyFont="1" applyFill="1" applyBorder="1" applyAlignment="1" applyProtection="1">
      <alignment horizontal="center" vertical="center"/>
      <protection/>
    </xf>
    <xf numFmtId="0" fontId="2" fillId="13" borderId="155" xfId="0" applyFont="1" applyFill="1" applyBorder="1" applyAlignment="1" applyProtection="1">
      <alignment horizontal="center" vertical="top" wrapText="1"/>
      <protection locked="0"/>
    </xf>
    <xf numFmtId="0" fontId="2" fillId="13" borderId="156" xfId="0" applyFont="1" applyFill="1" applyBorder="1" applyAlignment="1" applyProtection="1">
      <alignment horizontal="center" vertical="top" wrapText="1"/>
      <protection locked="0"/>
    </xf>
    <xf numFmtId="0" fontId="2" fillId="13" borderId="157" xfId="0" applyFont="1" applyFill="1" applyBorder="1" applyAlignment="1" applyProtection="1">
      <alignment horizontal="center" vertical="top" wrapText="1"/>
      <protection locked="0"/>
    </xf>
    <xf numFmtId="0" fontId="2" fillId="13" borderId="158" xfId="0" applyFont="1" applyFill="1" applyBorder="1" applyAlignment="1" applyProtection="1">
      <alignment horizontal="center" vertical="top" wrapText="1"/>
      <protection locked="0"/>
    </xf>
    <xf numFmtId="0" fontId="2" fillId="13" borderId="159" xfId="0" applyFont="1" applyFill="1" applyBorder="1" applyAlignment="1" applyProtection="1">
      <alignment horizontal="center" vertical="top" wrapText="1"/>
      <protection locked="0"/>
    </xf>
    <xf numFmtId="0" fontId="2" fillId="13" borderId="160" xfId="0" applyFont="1" applyFill="1" applyBorder="1" applyAlignment="1" applyProtection="1">
      <alignment horizontal="center" vertical="top" wrapText="1"/>
      <protection locked="0"/>
    </xf>
    <xf numFmtId="0" fontId="2" fillId="13" borderId="161" xfId="0" applyFont="1" applyFill="1" applyBorder="1" applyAlignment="1" applyProtection="1">
      <alignment horizontal="center" vertical="top" wrapText="1"/>
      <protection locked="0"/>
    </xf>
    <xf numFmtId="0" fontId="2" fillId="13" borderId="162" xfId="0" applyFont="1" applyFill="1" applyBorder="1" applyAlignment="1" applyProtection="1">
      <alignment horizontal="center" vertical="top" wrapText="1"/>
      <protection locked="0"/>
    </xf>
    <xf numFmtId="0" fontId="2" fillId="13" borderId="163" xfId="0" applyFont="1" applyFill="1" applyBorder="1" applyAlignment="1" applyProtection="1">
      <alignment horizontal="center" vertical="top" wrapText="1"/>
      <protection locked="0"/>
    </xf>
    <xf numFmtId="0" fontId="79" fillId="0" borderId="164" xfId="0" applyFont="1" applyFill="1" applyBorder="1" applyAlignment="1" applyProtection="1">
      <alignment horizontal="center"/>
      <protection/>
    </xf>
    <xf numFmtId="0" fontId="79" fillId="0" borderId="165" xfId="0" applyFont="1" applyFill="1" applyBorder="1" applyAlignment="1" applyProtection="1">
      <alignment horizontal="center"/>
      <protection/>
    </xf>
    <xf numFmtId="49" fontId="2" fillId="3" borderId="166" xfId="0" applyNumberFormat="1" applyFont="1" applyFill="1" applyBorder="1" applyAlignment="1" applyProtection="1">
      <alignment horizontal="center" vertical="center"/>
      <protection locked="0"/>
    </xf>
    <xf numFmtId="49" fontId="2" fillId="3" borderId="167" xfId="0" applyNumberFormat="1" applyFont="1" applyFill="1" applyBorder="1" applyAlignment="1" applyProtection="1">
      <alignment horizontal="center" vertical="center"/>
      <protection locked="0"/>
    </xf>
    <xf numFmtId="49" fontId="2" fillId="3" borderId="168" xfId="0" applyNumberFormat="1" applyFont="1" applyFill="1" applyBorder="1" applyAlignment="1" applyProtection="1">
      <alignment horizontal="center" vertical="center"/>
      <protection locked="0"/>
    </xf>
    <xf numFmtId="49" fontId="2" fillId="3" borderId="169"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70"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2" fillId="0" borderId="0" xfId="0" applyFont="1" applyBorder="1" applyAlignment="1" applyProtection="1">
      <alignment horizontal="center"/>
      <protection/>
    </xf>
    <xf numFmtId="0" fontId="81" fillId="0" borderId="171" xfId="0" applyNumberFormat="1" applyFont="1" applyFill="1" applyBorder="1" applyAlignment="1" applyProtection="1">
      <alignment horizontal="left" vertical="top" wrapText="1"/>
      <protection/>
    </xf>
    <xf numFmtId="0" fontId="81" fillId="0" borderId="172" xfId="0" applyNumberFormat="1" applyFont="1" applyFill="1" applyBorder="1" applyAlignment="1" applyProtection="1">
      <alignment horizontal="left" vertical="top" wrapText="1"/>
      <protection/>
    </xf>
    <xf numFmtId="0" fontId="81" fillId="0" borderId="173" xfId="0" applyNumberFormat="1" applyFont="1" applyFill="1" applyBorder="1" applyAlignment="1" applyProtection="1">
      <alignment horizontal="left" vertical="top" wrapText="1"/>
      <protection/>
    </xf>
    <xf numFmtId="0" fontId="81" fillId="0" borderId="174" xfId="0" applyNumberFormat="1" applyFont="1" applyFill="1" applyBorder="1" applyAlignment="1" applyProtection="1">
      <alignment horizontal="left" vertical="top" wrapText="1"/>
      <protection/>
    </xf>
    <xf numFmtId="49" fontId="2" fillId="3" borderId="175" xfId="0" applyNumberFormat="1" applyFont="1" applyFill="1" applyBorder="1" applyAlignment="1" applyProtection="1">
      <alignment horizontal="center" vertical="center"/>
      <protection locked="0"/>
    </xf>
    <xf numFmtId="49" fontId="2" fillId="3" borderId="176" xfId="0" applyNumberFormat="1" applyFont="1" applyFill="1" applyBorder="1" applyAlignment="1" applyProtection="1">
      <alignment horizontal="center" vertical="center"/>
      <protection locked="0"/>
    </xf>
    <xf numFmtId="49" fontId="2" fillId="3" borderId="177" xfId="0" applyNumberFormat="1" applyFont="1" applyFill="1" applyBorder="1" applyAlignment="1" applyProtection="1">
      <alignment horizontal="center" vertical="center"/>
      <protection locked="0"/>
    </xf>
    <xf numFmtId="9" fontId="2" fillId="0" borderId="178" xfId="155" applyNumberFormat="1" applyFont="1" applyFill="1" applyBorder="1" applyAlignment="1" applyProtection="1">
      <alignment horizontal="left" vertical="center" wrapText="1"/>
      <protection/>
    </xf>
    <xf numFmtId="0" fontId="2" fillId="0" borderId="167" xfId="155" applyNumberFormat="1" applyFont="1" applyFill="1" applyBorder="1" applyAlignment="1" applyProtection="1">
      <alignment horizontal="left" vertical="center" wrapText="1"/>
      <protection/>
    </xf>
    <xf numFmtId="0" fontId="2" fillId="0" borderId="179" xfId="155" applyNumberFormat="1" applyFont="1" applyFill="1" applyBorder="1" applyAlignment="1" applyProtection="1">
      <alignment horizontal="left" vertical="center" wrapText="1"/>
      <protection/>
    </xf>
    <xf numFmtId="0" fontId="2" fillId="12" borderId="180" xfId="0" applyFont="1" applyFill="1" applyBorder="1" applyAlignment="1" applyProtection="1">
      <alignment horizontal="center" vertical="top" wrapText="1"/>
      <protection locked="0"/>
    </xf>
    <xf numFmtId="0" fontId="2" fillId="12" borderId="181" xfId="0" applyFont="1" applyFill="1" applyBorder="1" applyAlignment="1" applyProtection="1">
      <alignment horizontal="center" vertical="top" wrapText="1"/>
      <protection locked="0"/>
    </xf>
    <xf numFmtId="0" fontId="2" fillId="12" borderId="182" xfId="0" applyFont="1" applyFill="1" applyBorder="1" applyAlignment="1" applyProtection="1">
      <alignment horizontal="center" vertical="top" wrapText="1"/>
      <protection locked="0"/>
    </xf>
    <xf numFmtId="0" fontId="81" fillId="0" borderId="183" xfId="0" applyNumberFormat="1" applyFont="1" applyFill="1" applyBorder="1" applyAlignment="1" applyProtection="1">
      <alignment horizontal="left" vertical="top" wrapText="1"/>
      <protection/>
    </xf>
    <xf numFmtId="0" fontId="112" fillId="13" borderId="184" xfId="0" applyFont="1" applyFill="1" applyBorder="1" applyAlignment="1" applyProtection="1">
      <alignment horizontal="center" vertical="center"/>
      <protection/>
    </xf>
    <xf numFmtId="0" fontId="112" fillId="13" borderId="185" xfId="0" applyFont="1" applyFill="1" applyBorder="1" applyAlignment="1" applyProtection="1">
      <alignment horizontal="center" vertical="center"/>
      <protection/>
    </xf>
    <xf numFmtId="0" fontId="0" fillId="0" borderId="185" xfId="0" applyBorder="1" applyAlignment="1">
      <alignment horizontal="center" vertical="center"/>
    </xf>
    <xf numFmtId="0" fontId="112" fillId="13" borderId="186" xfId="0" applyFont="1" applyFill="1" applyBorder="1" applyAlignment="1" applyProtection="1">
      <alignment horizontal="center" vertical="center"/>
      <protection/>
    </xf>
    <xf numFmtId="0" fontId="112" fillId="13" borderId="187" xfId="0" applyFont="1" applyFill="1" applyBorder="1" applyAlignment="1" applyProtection="1">
      <alignment horizontal="center" vertical="center"/>
      <protection/>
    </xf>
    <xf numFmtId="0" fontId="112" fillId="13" borderId="188" xfId="0" applyFont="1" applyFill="1" applyBorder="1" applyAlignment="1" applyProtection="1">
      <alignment horizontal="center" vertical="center"/>
      <protection/>
    </xf>
    <xf numFmtId="0" fontId="81" fillId="0" borderId="189" xfId="0" applyNumberFormat="1" applyFont="1" applyFill="1" applyBorder="1" applyAlignment="1" applyProtection="1">
      <alignment horizontal="left" vertical="top" wrapText="1"/>
      <protection/>
    </xf>
    <xf numFmtId="0" fontId="81" fillId="0" borderId="190" xfId="0" applyNumberFormat="1" applyFont="1" applyFill="1" applyBorder="1" applyAlignment="1" applyProtection="1">
      <alignment horizontal="left" vertical="top" wrapText="1"/>
      <protection/>
    </xf>
    <xf numFmtId="0" fontId="2" fillId="0" borderId="178" xfId="155" applyNumberFormat="1" applyFont="1" applyFill="1" applyBorder="1" applyAlignment="1" applyProtection="1">
      <alignment horizontal="left" vertical="center" wrapText="1"/>
      <protection/>
    </xf>
    <xf numFmtId="0" fontId="81" fillId="0" borderId="191" xfId="0" applyNumberFormat="1" applyFont="1" applyFill="1" applyBorder="1" applyAlignment="1" applyProtection="1">
      <alignment horizontal="left" vertical="top" wrapText="1"/>
      <protection/>
    </xf>
    <xf numFmtId="0" fontId="81" fillId="0" borderId="192" xfId="0" applyNumberFormat="1" applyFont="1" applyFill="1" applyBorder="1" applyAlignment="1" applyProtection="1">
      <alignment horizontal="left" vertical="top" wrapText="1"/>
      <protection/>
    </xf>
    <xf numFmtId="0" fontId="63" fillId="12" borderId="193" xfId="0" applyFont="1" applyFill="1" applyBorder="1" applyAlignment="1" applyProtection="1">
      <alignment horizontal="center" vertical="center"/>
      <protection/>
    </xf>
    <xf numFmtId="0" fontId="63" fillId="12" borderId="194" xfId="0" applyFont="1" applyFill="1" applyBorder="1" applyAlignment="1" applyProtection="1">
      <alignment horizontal="center" vertical="center"/>
      <protection/>
    </xf>
    <xf numFmtId="0" fontId="63" fillId="12" borderId="195" xfId="0" applyFont="1" applyFill="1" applyBorder="1" applyAlignment="1" applyProtection="1">
      <alignment horizontal="center" vertical="center"/>
      <protection/>
    </xf>
    <xf numFmtId="0" fontId="81" fillId="0" borderId="196" xfId="0" applyNumberFormat="1" applyFont="1" applyFill="1" applyBorder="1" applyAlignment="1" applyProtection="1">
      <alignment horizontal="left" vertical="center" wrapText="1"/>
      <protection/>
    </xf>
    <xf numFmtId="0" fontId="81" fillId="0" borderId="197" xfId="0" applyNumberFormat="1" applyFont="1" applyFill="1" applyBorder="1" applyAlignment="1" applyProtection="1">
      <alignment horizontal="left" vertical="center" wrapText="1"/>
      <protection/>
    </xf>
    <xf numFmtId="0" fontId="81" fillId="0" borderId="198" xfId="0" applyNumberFormat="1" applyFont="1" applyFill="1" applyBorder="1" applyAlignment="1" applyProtection="1">
      <alignment horizontal="left" vertical="center" wrapText="1"/>
      <protection/>
    </xf>
    <xf numFmtId="0" fontId="0" fillId="12" borderId="116"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0" fillId="12" borderId="117" xfId="0" applyFill="1" applyBorder="1" applyAlignment="1" applyProtection="1">
      <alignment horizontal="center"/>
      <protection locked="0"/>
    </xf>
    <xf numFmtId="0" fontId="0" fillId="12" borderId="118" xfId="0" applyFill="1" applyBorder="1" applyAlignment="1" applyProtection="1">
      <alignment horizontal="center"/>
      <protection locked="0"/>
    </xf>
    <xf numFmtId="0" fontId="0" fillId="12" borderId="119" xfId="0" applyFill="1" applyBorder="1" applyAlignment="1" applyProtection="1">
      <alignment horizontal="center"/>
      <protection locked="0"/>
    </xf>
    <xf numFmtId="0" fontId="0" fillId="12" borderId="120" xfId="0" applyFill="1" applyBorder="1" applyAlignment="1" applyProtection="1">
      <alignment horizontal="center"/>
      <protection locked="0"/>
    </xf>
    <xf numFmtId="0" fontId="78" fillId="8" borderId="15" xfId="149" applyNumberFormat="1" applyFont="1" applyFill="1" applyBorder="1" applyAlignment="1">
      <alignment horizontal="center" vertical="center" wrapText="1"/>
      <protection/>
    </xf>
    <xf numFmtId="0" fontId="78" fillId="8" borderId="199" xfId="149" applyNumberFormat="1" applyFont="1" applyFill="1" applyBorder="1" applyAlignment="1">
      <alignment horizontal="center" vertical="center" wrapText="1"/>
      <protection/>
    </xf>
    <xf numFmtId="0" fontId="24" fillId="0" borderId="167" xfId="0" applyFont="1" applyFill="1" applyBorder="1" applyAlignment="1" applyProtection="1">
      <alignment horizontal="left" vertical="center" wrapText="1"/>
      <protection locked="0"/>
    </xf>
    <xf numFmtId="0" fontId="24" fillId="0" borderId="200" xfId="0" applyFont="1" applyFill="1" applyBorder="1" applyAlignment="1" applyProtection="1">
      <alignment horizontal="left" vertical="center" wrapText="1"/>
      <protection locked="0"/>
    </xf>
    <xf numFmtId="0" fontId="24" fillId="0" borderId="201" xfId="0" applyFont="1" applyFill="1" applyBorder="1" applyAlignment="1" applyProtection="1">
      <alignment horizontal="left" vertical="center" wrapText="1"/>
      <protection locked="0"/>
    </xf>
    <xf numFmtId="0" fontId="24" fillId="0" borderId="202" xfId="0" applyFont="1" applyFill="1" applyBorder="1" applyAlignment="1" applyProtection="1">
      <alignment horizontal="left" vertical="center" wrapText="1"/>
      <protection locked="0"/>
    </xf>
    <xf numFmtId="0" fontId="24" fillId="0" borderId="20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204" xfId="0" applyFont="1" applyBorder="1" applyAlignment="1" applyProtection="1">
      <alignment horizontal="left"/>
      <protection locked="0"/>
    </xf>
    <xf numFmtId="0" fontId="24" fillId="0" borderId="205" xfId="0" applyFont="1" applyBorder="1" applyAlignment="1" applyProtection="1">
      <alignment horizontal="left"/>
      <protection locked="0"/>
    </xf>
    <xf numFmtId="0" fontId="24" fillId="0" borderId="205" xfId="0" applyFont="1" applyFill="1" applyBorder="1" applyAlignment="1" applyProtection="1">
      <alignment horizontal="left"/>
      <protection locked="0"/>
    </xf>
    <xf numFmtId="0" fontId="24" fillId="0" borderId="206" xfId="0" applyFont="1" applyFill="1" applyBorder="1" applyAlignment="1" applyProtection="1">
      <alignment horizontal="left"/>
      <protection locked="0"/>
    </xf>
    <xf numFmtId="0" fontId="24" fillId="0" borderId="207" xfId="0" applyFont="1" applyFill="1" applyBorder="1" applyAlignment="1" applyProtection="1">
      <alignment horizontal="left" vertical="top" wrapText="1"/>
      <protection locked="0"/>
    </xf>
    <xf numFmtId="0" fontId="24" fillId="0" borderId="208" xfId="0" applyFont="1" applyFill="1" applyBorder="1" applyAlignment="1" applyProtection="1">
      <alignment horizontal="left" vertical="top" wrapText="1"/>
      <protection locked="0"/>
    </xf>
    <xf numFmtId="0" fontId="24" fillId="0" borderId="209" xfId="0" applyFont="1" applyFill="1" applyBorder="1" applyAlignment="1" applyProtection="1">
      <alignment horizontal="left" vertical="top" wrapText="1"/>
      <protection locked="0"/>
    </xf>
    <xf numFmtId="0" fontId="24" fillId="0" borderId="210" xfId="0" applyFont="1" applyFill="1" applyBorder="1" applyAlignment="1" applyProtection="1">
      <alignment horizontal="left" vertical="top" wrapText="1"/>
      <protection locked="0"/>
    </xf>
    <xf numFmtId="0" fontId="24" fillId="0" borderId="176" xfId="0" applyFont="1" applyFill="1" applyBorder="1" applyAlignment="1" applyProtection="1">
      <alignment horizontal="left" vertical="top" wrapText="1"/>
      <protection locked="0"/>
    </xf>
    <xf numFmtId="0" fontId="24" fillId="0" borderId="211" xfId="0" applyFont="1" applyFill="1" applyBorder="1" applyAlignment="1" applyProtection="1">
      <alignment horizontal="left" vertical="top" wrapText="1"/>
      <protection locked="0"/>
    </xf>
    <xf numFmtId="0" fontId="78" fillId="8" borderId="212" xfId="149" applyNumberFormat="1" applyFont="1" applyFill="1" applyBorder="1" applyAlignment="1">
      <alignment horizontal="center" vertical="center" wrapText="1"/>
      <protection/>
    </xf>
    <xf numFmtId="0" fontId="95" fillId="8" borderId="213" xfId="0" applyFont="1" applyFill="1" applyBorder="1" applyAlignment="1">
      <alignment horizontal="center" vertical="center" textRotation="90"/>
    </xf>
    <xf numFmtId="0" fontId="0" fillId="8" borderId="88" xfId="0" applyFill="1" applyBorder="1" applyAlignment="1">
      <alignment horizontal="center" vertical="center" textRotation="90"/>
    </xf>
    <xf numFmtId="0" fontId="0" fillId="8" borderId="214" xfId="0" applyFill="1" applyBorder="1" applyAlignment="1">
      <alignment horizontal="center" vertical="center" textRotation="90"/>
    </xf>
    <xf numFmtId="0" fontId="24" fillId="0" borderId="204" xfId="0" applyFont="1" applyFill="1" applyBorder="1" applyAlignment="1" applyProtection="1">
      <alignment horizontal="left"/>
      <protection locked="0"/>
    </xf>
    <xf numFmtId="0" fontId="37" fillId="0" borderId="0" xfId="0" applyFont="1" applyAlignment="1">
      <alignment horizontal="center"/>
    </xf>
    <xf numFmtId="0" fontId="78" fillId="8" borderId="215" xfId="149" applyNumberFormat="1" applyFont="1" applyFill="1" applyBorder="1" applyAlignment="1">
      <alignment horizontal="center" vertical="center" wrapText="1"/>
      <protection/>
    </xf>
    <xf numFmtId="0" fontId="78" fillId="8" borderId="216" xfId="149" applyNumberFormat="1" applyFont="1" applyFill="1" applyBorder="1" applyAlignment="1">
      <alignment horizontal="center" vertical="center" wrapText="1"/>
      <protection/>
    </xf>
    <xf numFmtId="0" fontId="78" fillId="8" borderId="217" xfId="149" applyNumberFormat="1" applyFont="1" applyFill="1" applyBorder="1" applyAlignment="1">
      <alignment horizontal="center" vertical="center" wrapText="1"/>
      <protection/>
    </xf>
    <xf numFmtId="0" fontId="24" fillId="0" borderId="218"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220" xfId="0" applyFont="1" applyFill="1" applyBorder="1" applyAlignment="1" applyProtection="1">
      <alignment horizontal="left" vertical="top" wrapText="1"/>
      <protection locked="0"/>
    </xf>
    <xf numFmtId="0" fontId="24" fillId="0" borderId="221" xfId="0" applyFont="1" applyFill="1" applyBorder="1" applyAlignment="1" applyProtection="1">
      <alignment horizontal="left" vertical="top" wrapText="1"/>
      <protection locked="0"/>
    </xf>
    <xf numFmtId="0" fontId="24" fillId="0" borderId="222" xfId="0" applyFont="1" applyFill="1" applyBorder="1" applyAlignment="1" applyProtection="1">
      <alignment horizontal="left" vertical="top" wrapText="1"/>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protection locked="0"/>
    </xf>
    <xf numFmtId="0" fontId="24" fillId="0" borderId="167" xfId="0" applyFont="1" applyFill="1" applyBorder="1" applyAlignment="1" applyProtection="1">
      <alignment horizontal="left"/>
      <protection locked="0"/>
    </xf>
    <xf numFmtId="0" fontId="24" fillId="0" borderId="200" xfId="0" applyFont="1" applyFill="1" applyBorder="1" applyAlignment="1" applyProtection="1">
      <alignment horizontal="left"/>
      <protection locked="0"/>
    </xf>
    <xf numFmtId="0" fontId="24" fillId="0" borderId="225" xfId="0" applyFont="1" applyFill="1" applyBorder="1" applyAlignment="1" applyProtection="1">
      <alignment horizontal="left"/>
      <protection locked="0"/>
    </xf>
    <xf numFmtId="0" fontId="24" fillId="0" borderId="201" xfId="0" applyFont="1" applyFill="1" applyBorder="1" applyAlignment="1" applyProtection="1">
      <alignment horizontal="left"/>
      <protection locked="0"/>
    </xf>
    <xf numFmtId="0" fontId="24" fillId="0" borderId="202" xfId="0" applyFont="1" applyFill="1" applyBorder="1" applyAlignment="1" applyProtection="1">
      <alignment horizontal="left"/>
      <protection locked="0"/>
    </xf>
    <xf numFmtId="0" fontId="24" fillId="0" borderId="218"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37" xfId="0" applyFont="1" applyFill="1" applyBorder="1" applyAlignment="1" applyProtection="1">
      <alignment horizontal="left"/>
      <protection locked="0"/>
    </xf>
    <xf numFmtId="0" fontId="24" fillId="0" borderId="203" xfId="0" applyFont="1" applyFill="1" applyBorder="1" applyAlignment="1" applyProtection="1">
      <alignment horizontal="left"/>
      <protection locked="0"/>
    </xf>
    <xf numFmtId="171" fontId="18" fillId="37" borderId="0" xfId="177" applyFont="1" applyFill="1" applyBorder="1" applyAlignment="1" applyProtection="1">
      <alignment horizontal="center"/>
      <protection locked="0"/>
    </xf>
    <xf numFmtId="0" fontId="24" fillId="0" borderId="226"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06" xfId="0" applyFont="1" applyBorder="1" applyAlignment="1" applyProtection="1">
      <alignment horizontal="left"/>
      <protection locked="0"/>
    </xf>
    <xf numFmtId="0" fontId="24" fillId="0" borderId="227" xfId="0" applyFont="1" applyBorder="1" applyAlignment="1" applyProtection="1">
      <alignment horizontal="left"/>
      <protection locked="0"/>
    </xf>
    <xf numFmtId="0" fontId="24" fillId="0" borderId="226" xfId="0" applyFont="1" applyBorder="1" applyAlignment="1" applyProtection="1">
      <alignment horizontal="left"/>
      <protection locked="0"/>
    </xf>
    <xf numFmtId="171" fontId="20" fillId="26" borderId="0" xfId="126" applyFont="1" applyFill="1" applyAlignment="1">
      <alignment horizontal="center" vertical="center"/>
      <protection/>
    </xf>
  </cellXfs>
  <cellStyles count="17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Énfasis1" xfId="27"/>
    <cellStyle name="20% - Énfasis2" xfId="28"/>
    <cellStyle name="20% - Énfasis3" xfId="29"/>
    <cellStyle name="20% - Énfasis4" xfId="30"/>
    <cellStyle name="20% - Énfasis5" xfId="31"/>
    <cellStyle name="20% - Énfasis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Énfasis1" xfId="45"/>
    <cellStyle name="40% - Énfasis2" xfId="46"/>
    <cellStyle name="40% - Énfasis3" xfId="47"/>
    <cellStyle name="40% - Énfasis4" xfId="48"/>
    <cellStyle name="40% - Énfasis5" xfId="49"/>
    <cellStyle name="40% - Énfasis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Énfasis1" xfId="63"/>
    <cellStyle name="60% - Énfasis2" xfId="64"/>
    <cellStyle name="60% - Énfasis3" xfId="65"/>
    <cellStyle name="60% - Énfasis4" xfId="66"/>
    <cellStyle name="60% - Énfasis5" xfId="67"/>
    <cellStyle name="60% - Énfasis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Buena" xfId="83"/>
    <cellStyle name="Calculation" xfId="84"/>
    <cellStyle name="Calculation 2" xfId="85"/>
    <cellStyle name="Cálculo" xfId="86"/>
    <cellStyle name="Celda de comprobación" xfId="87"/>
    <cellStyle name="Celda vinculada" xfId="88"/>
    <cellStyle name="Check Cell" xfId="89"/>
    <cellStyle name="Check Cell 2" xfId="90"/>
    <cellStyle name="Comma" xfId="91"/>
    <cellStyle name="Comma [0]" xfId="92"/>
    <cellStyle name="Comma 2" xfId="93"/>
    <cellStyle name="Currency" xfId="94"/>
    <cellStyle name="Currency [0]" xfId="95"/>
    <cellStyle name="Encabezado 4" xfId="96"/>
    <cellStyle name="Énfasis1" xfId="97"/>
    <cellStyle name="Énfasis2" xfId="98"/>
    <cellStyle name="Énfasis3" xfId="99"/>
    <cellStyle name="Énfasis4" xfId="100"/>
    <cellStyle name="Énfasis5" xfId="101"/>
    <cellStyle name="Énfasis6" xfId="102"/>
    <cellStyle name="Entrada" xfId="103"/>
    <cellStyle name="Euro" xfId="104"/>
    <cellStyle name="Explanatory Text" xfId="105"/>
    <cellStyle name="Explanatory Text 2" xfId="106"/>
    <cellStyle name="Followed Hyperlink" xfId="107"/>
    <cellStyle name="Good" xfId="108"/>
    <cellStyle name="Good 2"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yperlink" xfId="118"/>
    <cellStyle name="Incorrecto" xfId="119"/>
    <cellStyle name="Input" xfId="120"/>
    <cellStyle name="Input 2" xfId="121"/>
    <cellStyle name="Linked Cell" xfId="122"/>
    <cellStyle name="Linked Cell 2" xfId="123"/>
    <cellStyle name="Millares 2" xfId="124"/>
    <cellStyle name="Neutral" xfId="125"/>
    <cellStyle name="Normal 2" xfId="126"/>
    <cellStyle name="Normal 2 2" xfId="127"/>
    <cellStyle name="Normal 2 3" xfId="128"/>
    <cellStyle name="Normal 2 4" xfId="129"/>
    <cellStyle name="Normal 2 5" xfId="130"/>
    <cellStyle name="Normal 2 6" xfId="131"/>
    <cellStyle name="Normal 2 7" xfId="132"/>
    <cellStyle name="Normal 2 8" xfId="133"/>
    <cellStyle name="Normal 2 9" xfId="134"/>
    <cellStyle name="Normal 2_Dashboard ver 2.2 ES" xfId="135"/>
    <cellStyle name="Normal 2_Prototipo" xfId="136"/>
    <cellStyle name="Normal 3" xfId="137"/>
    <cellStyle name="Normal 3 2" xfId="138"/>
    <cellStyle name="Normal 4" xfId="139"/>
    <cellStyle name="Normal 4 2" xfId="140"/>
    <cellStyle name="Normal 5" xfId="141"/>
    <cellStyle name="Normal 5 2" xfId="142"/>
    <cellStyle name="Normal 6" xfId="143"/>
    <cellStyle name="Normal 6 2" xfId="144"/>
    <cellStyle name="Normal 7" xfId="145"/>
    <cellStyle name="Normal 7 2" xfId="146"/>
    <cellStyle name="Normal 8" xfId="147"/>
    <cellStyle name="Normal 9" xfId="148"/>
    <cellStyle name="Normal_TZ_R3HIV_Phase_2_21_August_08" xfId="149"/>
    <cellStyle name="Notas" xfId="150"/>
    <cellStyle name="Note" xfId="151"/>
    <cellStyle name="Note 2" xfId="152"/>
    <cellStyle name="Output" xfId="153"/>
    <cellStyle name="Output 2" xfId="154"/>
    <cellStyle name="Percent" xfId="155"/>
    <cellStyle name="Percent 2" xfId="156"/>
    <cellStyle name="Porcentual 2" xfId="157"/>
    <cellStyle name="Porcentual 3" xfId="158"/>
    <cellStyle name="Porcentual 4" xfId="159"/>
    <cellStyle name="Porcentual 5" xfId="160"/>
    <cellStyle name="Porcentual 6" xfId="161"/>
    <cellStyle name="Porcentual 7" xfId="162"/>
    <cellStyle name="Porcentual 8" xfId="163"/>
    <cellStyle name="Salida" xfId="164"/>
    <cellStyle name="Texto de advertencia" xfId="165"/>
    <cellStyle name="Texto explicativo" xfId="166"/>
    <cellStyle name="Title" xfId="167"/>
    <cellStyle name="Title 2" xfId="168"/>
    <cellStyle name="Título" xfId="169"/>
    <cellStyle name="Título 1" xfId="170"/>
    <cellStyle name="Título 2" xfId="171"/>
    <cellStyle name="Título 3" xfId="172"/>
    <cellStyle name="Título 3 2" xfId="173"/>
    <cellStyle name="Título 3 3" xfId="174"/>
    <cellStyle name="Título 3 3 2" xfId="175"/>
    <cellStyle name="Título 3 3_Prototipo" xfId="176"/>
    <cellStyle name="Título 3 3_PrototipoRep1" xfId="177"/>
    <cellStyle name="Título 3 4" xfId="178"/>
    <cellStyle name="Título 3 5" xfId="179"/>
    <cellStyle name="Título 3 6" xfId="180"/>
    <cellStyle name="Título 3 7" xfId="181"/>
    <cellStyle name="Título 3 7 2" xfId="182"/>
    <cellStyle name="Título 3 8" xfId="183"/>
    <cellStyle name="Total" xfId="184"/>
    <cellStyle name="Warning Text" xfId="185"/>
    <cellStyle name="Warning Text 2" xfId="186"/>
  </cellStyles>
  <dxfs count="71">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indexed="9"/>
      </font>
      <fill>
        <patternFill>
          <bgColor indexed="8"/>
        </patternFill>
      </fill>
    </dxf>
    <dxf>
      <font>
        <color indexed="9"/>
      </font>
      <fill>
        <patternFill>
          <bgColor indexed="8"/>
        </patternFill>
      </fill>
    </dxf>
    <dxf>
      <fill>
        <patternFill>
          <bgColor indexed="42"/>
        </patternFill>
      </fill>
    </dxf>
    <dxf>
      <fill>
        <patternFill>
          <bgColor indexed="42"/>
        </patternFill>
      </fill>
    </dxf>
    <dxf>
      <font>
        <color indexed="9"/>
      </font>
      <fill>
        <patternFill>
          <bgColor indexed="8"/>
        </patternFill>
      </fill>
    </dxf>
    <dxf>
      <font>
        <color indexed="9"/>
      </font>
      <fill>
        <patternFill>
          <bgColor indexed="63"/>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
          <c:w val="0.942"/>
          <c:h val="0.795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3">
                  <c:v>8116137</c:v>
                </c:pt>
                <c:pt idx="4">
                  <c:v>8586249.82</c:v>
                </c:pt>
                <c:pt idx="5">
                  <c:v>9093181.99</c:v>
                </c:pt>
                <c:pt idx="6">
                  <c:v>9591664.06</c:v>
                </c:pt>
                <c:pt idx="7">
                  <c:v>10102673.09</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3">
                  <c:v>8116137</c:v>
                </c:pt>
                <c:pt idx="4">
                  <c:v>10565582.91</c:v>
                </c:pt>
                <c:pt idx="5">
                  <c:v>10565582.91</c:v>
                </c:pt>
                <c:pt idx="6">
                  <c:v>10565582.91</c:v>
                </c:pt>
                <c:pt idx="7">
                  <c:v>10565582.91</c:v>
                </c:pt>
              </c:numCache>
            </c:numRef>
          </c:val>
        </c:ser>
        <c:gapWidth val="70"/>
        <c:axId val="18884977"/>
        <c:axId val="35747066"/>
      </c:barChart>
      <c:catAx>
        <c:axId val="18884977"/>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35747066"/>
        <c:crosses val="autoZero"/>
        <c:auto val="1"/>
        <c:lblOffset val="100"/>
        <c:tickLblSkip val="1"/>
        <c:noMultiLvlLbl val="0"/>
      </c:catAx>
      <c:valAx>
        <c:axId val="3574706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884977"/>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570" b="0" i="0" u="none" baseline="0">
                <a:solidFill>
                  <a:srgbClr val="000000"/>
                </a:solidFill>
              </a:defRPr>
            </a:pPr>
          </a:p>
        </c:txPr>
      </c:legendEntry>
      <c:legendEntry>
        <c:idx val="1"/>
        <c:txPr>
          <a:bodyPr vert="horz" rot="0"/>
          <a:lstStyle/>
          <a:p>
            <a:pPr>
              <a:defRPr lang="en-US" cap="none" sz="570" b="0" i="0" u="none" baseline="0">
                <a:solidFill>
                  <a:srgbClr val="000000"/>
                </a:solidFill>
              </a:defRPr>
            </a:pPr>
          </a:p>
        </c:txPr>
      </c:legendEntry>
      <c:layout>
        <c:manualLayout>
          <c:xMode val="edge"/>
          <c:yMode val="edge"/>
          <c:x val="0.13125"/>
          <c:y val="0.891"/>
          <c:w val="0.866"/>
          <c:h val="0.1045"/>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265"/>
          <c:w val="0.929"/>
          <c:h val="0.834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Entry'!$H$118:$U$118</c:f>
              <c:numCache>
                <c:ptCount val="14"/>
                <c:pt idx="0">
                  <c:v>54</c:v>
                </c:pt>
                <c:pt idx="1">
                  <c:v>108</c:v>
                </c:pt>
                <c:pt idx="2">
                  <c:v>162</c:v>
                </c:pt>
                <c:pt idx="3">
                  <c:v>216</c:v>
                </c:pt>
                <c:pt idx="4">
                  <c:v>280</c:v>
                </c:pt>
                <c:pt idx="5">
                  <c:v>344</c:v>
                </c:pt>
                <c:pt idx="6">
                  <c:v>407</c:v>
                </c:pt>
                <c:pt idx="7">
                  <c:v>471</c:v>
                </c:pt>
                <c:pt idx="8">
                  <c:v>511</c:v>
                </c:pt>
                <c:pt idx="9">
                  <c:v>551</c:v>
                </c:pt>
                <c:pt idx="10">
                  <c:v>591</c:v>
                </c:pt>
                <c:pt idx="11">
                  <c:v>631</c:v>
                </c:pt>
                <c:pt idx="12">
                  <c:v>651</c:v>
                </c:pt>
                <c:pt idx="13">
                  <c:v>671</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layout>
                <c:manualLayout>
                  <c:x val="0"/>
                  <c:y val="0"/>
                </c:manualLayout>
              </c:layout>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Entry'!$H$119:$U$119</c:f>
              <c:numCache>
                <c:ptCount val="14"/>
                <c:pt idx="0">
                  <c:v>61</c:v>
                </c:pt>
                <c:pt idx="1">
                  <c:v>131</c:v>
                </c:pt>
                <c:pt idx="2">
                  <c:v>180</c:v>
                </c:pt>
                <c:pt idx="3">
                  <c:v>225</c:v>
                </c:pt>
                <c:pt idx="4">
                  <c:v>284</c:v>
                </c:pt>
                <c:pt idx="5">
                  <c:v>322</c:v>
                </c:pt>
                <c:pt idx="6">
                  <c:v>368</c:v>
                </c:pt>
                <c:pt idx="7">
                  <c:v>437</c:v>
                </c:pt>
                <c:pt idx="8">
                  <c:v>462</c:v>
                </c:pt>
                <c:pt idx="9">
                  <c:v>481</c:v>
                </c:pt>
                <c:pt idx="10">
                  <c:v>500</c:v>
                </c:pt>
                <c:pt idx="11">
                  <c:v>534</c:v>
                </c:pt>
                <c:pt idx="12">
                  <c:v>554</c:v>
                </c:pt>
                <c:pt idx="13">
                  <c:v>579</c:v>
                </c:pt>
              </c:numCache>
            </c:numRef>
          </c:val>
        </c:ser>
        <c:axId val="25607317"/>
        <c:axId val="29139262"/>
      </c:barChart>
      <c:catAx>
        <c:axId val="256073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9139262"/>
        <c:crosses val="autoZero"/>
        <c:auto val="1"/>
        <c:lblOffset val="100"/>
        <c:tickLblSkip val="1"/>
        <c:noMultiLvlLbl val="0"/>
      </c:catAx>
      <c:valAx>
        <c:axId val="2913926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5607317"/>
        <c:crossesAt val="1"/>
        <c:crossBetween val="between"/>
        <c:dispUnits/>
      </c:valAx>
      <c:spPr>
        <a:noFill/>
        <a:ln>
          <a:noFill/>
        </a:ln>
      </c:spPr>
    </c:plotArea>
    <c:legend>
      <c:legendPos val="r"/>
      <c:layout>
        <c:manualLayout>
          <c:xMode val="edge"/>
          <c:yMode val="edge"/>
          <c:x val="0.1745"/>
          <c:y val="0.9285"/>
          <c:w val="0.585"/>
          <c:h val="0.071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625"/>
          <c:w val="0.927"/>
          <c:h val="0.8315"/>
        </c:manualLayout>
      </c:layout>
      <c:barChart>
        <c:barDir val="col"/>
        <c:grouping val="clustered"/>
        <c:varyColors val="0"/>
        <c:ser>
          <c:idx val="2"/>
          <c:order val="0"/>
          <c:tx>
            <c:strRef>
              <c:f>'Data Entry'!$G$114</c:f>
              <c:strCache>
                <c:ptCount val="1"/>
                <c:pt idx="0">
                  <c:v>Target</c:v>
                </c:pt>
              </c:strCache>
            </c:strRef>
          </c:tx>
          <c:spPr>
            <a:solidFill>
              <a:srgbClr val="0070C0"/>
            </a:solidFill>
            <a:ln w="12700">
              <a:solidFill>
                <a:srgbClr val="0066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layout>
                <c:manualLayout>
                  <c:x val="0"/>
                  <c:y val="0"/>
                </c:manualLayout>
              </c:layout>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Entry'!$H$114:$U$114</c:f>
              <c:numCache>
                <c:ptCount val="14"/>
                <c:pt idx="0">
                  <c:v>3250</c:v>
                </c:pt>
                <c:pt idx="1">
                  <c:v>3500</c:v>
                </c:pt>
                <c:pt idx="2">
                  <c:v>3750</c:v>
                </c:pt>
                <c:pt idx="3">
                  <c:v>4000</c:v>
                </c:pt>
                <c:pt idx="4">
                  <c:v>4375</c:v>
                </c:pt>
                <c:pt idx="5">
                  <c:v>4750</c:v>
                </c:pt>
                <c:pt idx="6">
                  <c:v>4832</c:v>
                </c:pt>
                <c:pt idx="7">
                  <c:v>5207</c:v>
                </c:pt>
                <c:pt idx="8">
                  <c:v>5357</c:v>
                </c:pt>
                <c:pt idx="9">
                  <c:v>5507</c:v>
                </c:pt>
                <c:pt idx="10">
                  <c:v>5657</c:v>
                </c:pt>
                <c:pt idx="11">
                  <c:v>5807</c:v>
                </c:pt>
                <c:pt idx="12">
                  <c:v>5947</c:v>
                </c:pt>
                <c:pt idx="13">
                  <c:v>6087</c:v>
                </c:pt>
              </c:numCache>
            </c:numRef>
          </c:val>
        </c:ser>
        <c:ser>
          <c:idx val="3"/>
          <c:order val="1"/>
          <c:tx>
            <c:strRef>
              <c:f>'Data Entry'!$G$115</c:f>
              <c:strCache>
                <c:ptCount val="1"/>
                <c:pt idx="0">
                  <c:v>Achieved </c:v>
                </c:pt>
              </c:strCache>
            </c:strRef>
          </c:tx>
          <c:spPr>
            <a:solidFill>
              <a:srgbClr val="09B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layout>
                <c:manualLayout>
                  <c:x val="0"/>
                  <c:y val="0"/>
                </c:manualLayout>
              </c:layout>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Entry'!$H$115:$U$115</c:f>
              <c:numCache>
                <c:ptCount val="14"/>
                <c:pt idx="0">
                  <c:v>2093</c:v>
                </c:pt>
                <c:pt idx="1">
                  <c:v>2817</c:v>
                </c:pt>
                <c:pt idx="2">
                  <c:v>3197</c:v>
                </c:pt>
                <c:pt idx="3">
                  <c:v>3717</c:v>
                </c:pt>
                <c:pt idx="4">
                  <c:v>3976</c:v>
                </c:pt>
                <c:pt idx="5">
                  <c:v>4296</c:v>
                </c:pt>
                <c:pt idx="6">
                  <c:v>4564</c:v>
                </c:pt>
                <c:pt idx="7">
                  <c:v>4853</c:v>
                </c:pt>
                <c:pt idx="8">
                  <c:v>5107</c:v>
                </c:pt>
                <c:pt idx="9">
                  <c:v>5327</c:v>
                </c:pt>
                <c:pt idx="10">
                  <c:v>5519</c:v>
                </c:pt>
                <c:pt idx="11">
                  <c:v>5704</c:v>
                </c:pt>
                <c:pt idx="12">
                  <c:v>5874</c:v>
                </c:pt>
                <c:pt idx="13">
                  <c:v>6085</c:v>
                </c:pt>
              </c:numCache>
            </c:numRef>
          </c:val>
        </c:ser>
        <c:axId val="60926767"/>
        <c:axId val="11469992"/>
      </c:barChart>
      <c:catAx>
        <c:axId val="6092676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1469992"/>
        <c:crosses val="autoZero"/>
        <c:auto val="1"/>
        <c:lblOffset val="100"/>
        <c:tickLblSkip val="1"/>
        <c:noMultiLvlLbl val="0"/>
      </c:catAx>
      <c:valAx>
        <c:axId val="1146999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0926767"/>
        <c:crossesAt val="1"/>
        <c:crossBetween val="between"/>
        <c:dispUnits/>
      </c:valAx>
      <c:spPr>
        <a:noFill/>
        <a:ln>
          <a:noFill/>
        </a:ln>
      </c:spPr>
    </c:plotArea>
    <c:legend>
      <c:legendPos val="r"/>
      <c:layout>
        <c:manualLayout>
          <c:xMode val="edge"/>
          <c:yMode val="edge"/>
          <c:x val="0.17225"/>
          <c:y val="0.8865"/>
          <c:w val="0.69725"/>
          <c:h val="0.064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3">
                  <c:v>P1-P12 (Q1.2010-Q4.2012)</c:v>
                </c:pt>
                <c:pt idx="4">
                  <c:v>P13 (Q1.2013)</c:v>
                </c:pt>
                <c:pt idx="5">
                  <c:v>P14 (Q2.2013)</c:v>
                </c:pt>
                <c:pt idx="6">
                  <c:v>P15 (Q2.2013)</c:v>
                </c:pt>
                <c:pt idx="7">
                  <c:v>P16 (Q2.2013)</c:v>
                </c:pt>
              </c:strCache>
            </c:strRef>
          </c:cat>
          <c:val>
            <c:numRef>
              <c:f>'Data Entry'!$C$33:$M$33</c:f>
              <c:numCache>
                <c:ptCount val="11"/>
                <c:pt idx="3">
                  <c:v>8116137</c:v>
                </c:pt>
                <c:pt idx="4">
                  <c:v>8586249.82</c:v>
                </c:pt>
                <c:pt idx="5">
                  <c:v>9093181.99</c:v>
                </c:pt>
                <c:pt idx="6">
                  <c:v>9591664.06</c:v>
                </c:pt>
                <c:pt idx="7">
                  <c:v>10102673.09</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3">
                  <c:v>P1-P12 (Q1.2010-Q4.2012)</c:v>
                </c:pt>
                <c:pt idx="4">
                  <c:v>P13 (Q1.2013)</c:v>
                </c:pt>
                <c:pt idx="5">
                  <c:v>P14 (Q2.2013)</c:v>
                </c:pt>
                <c:pt idx="6">
                  <c:v>P15 (Q2.2013)</c:v>
                </c:pt>
                <c:pt idx="7">
                  <c:v>P16 (Q2.2013)</c:v>
                </c:pt>
              </c:strCache>
            </c:strRef>
          </c:cat>
          <c:val>
            <c:numRef>
              <c:f>'Data Entry'!$C$34:$M$34</c:f>
              <c:numCache>
                <c:ptCount val="11"/>
                <c:pt idx="3">
                  <c:v>8116137</c:v>
                </c:pt>
                <c:pt idx="4">
                  <c:v>10565582.91</c:v>
                </c:pt>
                <c:pt idx="5">
                  <c:v>10565582.91</c:v>
                </c:pt>
                <c:pt idx="6">
                  <c:v>10565582.91</c:v>
                </c:pt>
                <c:pt idx="7">
                  <c:v>10565582.91</c:v>
                </c:pt>
              </c:numCache>
            </c:numRef>
          </c:val>
        </c:ser>
        <c:dropLines>
          <c:spPr>
            <a:ln w="3175">
              <a:solidFill>
                <a:srgbClr val="000000"/>
              </a:solidFill>
            </a:ln>
          </c:spPr>
        </c:dropLines>
        <c:axId val="36121065"/>
        <c:axId val="56654130"/>
      </c:areaChart>
      <c:catAx>
        <c:axId val="361210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56654130"/>
        <c:crosses val="autoZero"/>
        <c:auto val="1"/>
        <c:lblOffset val="100"/>
        <c:tickLblSkip val="8"/>
        <c:noMultiLvlLbl val="0"/>
      </c:catAx>
      <c:valAx>
        <c:axId val="56654130"/>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6121065"/>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85"/>
          <c:w val="0.94425"/>
          <c:h val="0.8792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Entry'!$B$48:$B$51</c:f>
              <c:strCache>
                <c:ptCount val="4"/>
                <c:pt idx="0">
                  <c:v>Disbursed by Global Fund</c:v>
                </c:pt>
                <c:pt idx="1">
                  <c:v>PR expenditure and disbursement</c:v>
                </c:pt>
                <c:pt idx="2">
                  <c:v>Disbursed to SRs</c:v>
                </c:pt>
                <c:pt idx="3">
                  <c:v>SR expenditures</c:v>
                </c:pt>
              </c:strCache>
            </c:strRef>
          </c:cat>
          <c:val>
            <c:numRef>
              <c:f>'Data Entry'!$C$48:$C$51</c:f>
              <c:numCache>
                <c:ptCount val="4"/>
                <c:pt idx="0">
                  <c:v>10565582.91</c:v>
                </c:pt>
                <c:pt idx="1">
                  <c:v>9166901.1</c:v>
                </c:pt>
                <c:pt idx="2">
                  <c:v>5465034.68</c:v>
                </c:pt>
                <c:pt idx="3">
                  <c:v>5419427.21</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Entry'!$B$48:$B$51</c:f>
              <c:strCache>
                <c:ptCount val="4"/>
                <c:pt idx="0">
                  <c:v>Disbursed by Global Fund</c:v>
                </c:pt>
                <c:pt idx="1">
                  <c:v>PR expenditure and disbursement</c:v>
                </c:pt>
                <c:pt idx="2">
                  <c:v>Disbursed to SRs</c:v>
                </c:pt>
                <c:pt idx="3">
                  <c:v>SR expenditures</c:v>
                </c:pt>
              </c:strCache>
            </c:strRef>
          </c:cat>
          <c:val>
            <c:numRef>
              <c:f>'Data Entry'!$D$48:$D$51</c:f>
              <c:numCache>
                <c:ptCount val="4"/>
                <c:pt idx="1">
                  <c:v>992657.25</c:v>
                </c:pt>
                <c:pt idx="2">
                  <c:v>489889</c:v>
                </c:pt>
                <c:pt idx="3">
                  <c:v>479098</c:v>
                </c:pt>
              </c:numCache>
            </c:numRef>
          </c:val>
        </c:ser>
        <c:overlap val="100"/>
        <c:axId val="53288139"/>
        <c:axId val="9831204"/>
      </c:barChart>
      <c:catAx>
        <c:axId val="53288139"/>
        <c:scaling>
          <c:orientation val="minMax"/>
        </c:scaling>
        <c:axPos val="b"/>
        <c:delete val="0"/>
        <c:numFmt formatCode="General" sourceLinked="1"/>
        <c:majorTickMark val="out"/>
        <c:minorTickMark val="none"/>
        <c:tickLblPos val="nextTo"/>
        <c:spPr>
          <a:ln w="3175">
            <a:solidFill>
              <a:srgbClr val="808080"/>
            </a:solidFill>
          </a:ln>
        </c:spPr>
        <c:crossAx val="9831204"/>
        <c:crossesAt val="0"/>
        <c:auto val="1"/>
        <c:lblOffset val="100"/>
        <c:tickLblSkip val="1"/>
        <c:noMultiLvlLbl val="0"/>
      </c:catAx>
      <c:valAx>
        <c:axId val="983120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28813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4625"/>
          <c:w val="0.955"/>
          <c:h val="0.843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Entry'!$B$39:$B$42</c:f>
              <c:strCache>
                <c:ptCount val="4"/>
                <c:pt idx="0">
                  <c:v>Develop capacity and ensure program sustainability</c:v>
                </c:pt>
                <c:pt idx="1">
                  <c:v>Support PLHIV, PWID and ensure institutionalization</c:v>
                </c:pt>
                <c:pt idx="2">
                  <c:v>Ensure engagement of civil society and key affected population and promote human rights </c:v>
                </c:pt>
                <c:pt idx="3">
                  <c:v>Planning and administration</c:v>
                </c:pt>
              </c:strCache>
            </c:strRef>
          </c:cat>
          <c:val>
            <c:numRef>
              <c:f>'Data Entry'!$C$39:$C$42</c:f>
              <c:numCache>
                <c:ptCount val="4"/>
                <c:pt idx="0">
                  <c:v>1132167.45</c:v>
                </c:pt>
                <c:pt idx="1">
                  <c:v>6446522.9399999995</c:v>
                </c:pt>
                <c:pt idx="2">
                  <c:v>959092.28</c:v>
                </c:pt>
                <c:pt idx="3">
                  <c:v>1564890.42</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Entry'!$B$39:$B$42</c:f>
              <c:strCache>
                <c:ptCount val="4"/>
                <c:pt idx="0">
                  <c:v>Develop capacity and ensure program sustainability</c:v>
                </c:pt>
                <c:pt idx="1">
                  <c:v>Support PLHIV, PWID and ensure institutionalization</c:v>
                </c:pt>
                <c:pt idx="2">
                  <c:v>Ensure engagement of civil society and key affected population and promote human rights </c:v>
                </c:pt>
                <c:pt idx="3">
                  <c:v>Planning and administration</c:v>
                </c:pt>
              </c:strCache>
            </c:strRef>
          </c:cat>
          <c:val>
            <c:numRef>
              <c:f>'Data Entry'!$D$39:$D$42</c:f>
              <c:numCache>
                <c:ptCount val="4"/>
                <c:pt idx="0">
                  <c:v>1123553.7092174103</c:v>
                </c:pt>
                <c:pt idx="1">
                  <c:v>6478562.516014309</c:v>
                </c:pt>
                <c:pt idx="2">
                  <c:v>937070.4439617404</c:v>
                </c:pt>
                <c:pt idx="3">
                  <c:v>1620362.05906728</c:v>
                </c:pt>
              </c:numCache>
            </c:numRef>
          </c:val>
        </c:ser>
        <c:axId val="21371973"/>
        <c:axId val="58130030"/>
      </c:barChart>
      <c:catAx>
        <c:axId val="21371973"/>
        <c:scaling>
          <c:orientation val="minMax"/>
        </c:scaling>
        <c:axPos val="b"/>
        <c:delete val="0"/>
        <c:numFmt formatCode="General" sourceLinked="1"/>
        <c:majorTickMark val="out"/>
        <c:minorTickMark val="none"/>
        <c:tickLblPos val="nextTo"/>
        <c:spPr>
          <a:ln w="3175">
            <a:solidFill>
              <a:srgbClr val="000000"/>
            </a:solidFill>
          </a:ln>
        </c:spPr>
        <c:crossAx val="58130030"/>
        <c:crosses val="autoZero"/>
        <c:auto val="1"/>
        <c:lblOffset val="100"/>
        <c:tickLblSkip val="1"/>
        <c:noMultiLvlLbl val="0"/>
      </c:catAx>
      <c:valAx>
        <c:axId val="5813003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213719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725"/>
          <c:w val="0.95425"/>
          <c:h val="0.7515"/>
        </c:manualLayout>
      </c:layout>
      <c:barChart>
        <c:barDir val="col"/>
        <c:grouping val="clustered"/>
        <c:varyColors val="0"/>
        <c:ser>
          <c:idx val="0"/>
          <c:order val="0"/>
          <c:tx>
            <c:strRef>
              <c:f>'Data Entry'!$C$79</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Entry'!$C$80</c:f>
              <c:numCache>
                <c:ptCount val="1"/>
                <c:pt idx="0">
                  <c:v>4</c:v>
                </c:pt>
              </c:numCache>
            </c:numRef>
          </c:val>
        </c:ser>
        <c:ser>
          <c:idx val="1"/>
          <c:order val="1"/>
          <c:tx>
            <c:strRef>
              <c:f>'Data Entry'!$D$79</c:f>
              <c:strCache>
                <c:ptCount val="1"/>
                <c:pt idx="0">
                  <c:v>Assessed</c:v>
                </c:pt>
              </c:strCache>
            </c:strRef>
          </c:tx>
          <c:spPr>
            <a:solidFill>
              <a:srgbClr val="F2F2F2"/>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Entry'!$D$80</c:f>
              <c:numCache>
                <c:ptCount val="1"/>
                <c:pt idx="0">
                  <c:v>4</c:v>
                </c:pt>
              </c:numCache>
            </c:numRef>
          </c:val>
        </c:ser>
        <c:ser>
          <c:idx val="2"/>
          <c:order val="2"/>
          <c:tx>
            <c:strRef>
              <c:f>'Data Entry'!$E$79</c:f>
              <c:strCache>
                <c:ptCount val="1"/>
                <c:pt idx="0">
                  <c:v>Approved</c:v>
                </c:pt>
              </c:strCache>
            </c:strRef>
          </c:tx>
          <c:spPr>
            <a:solidFill>
              <a:srgbClr val="D9D9D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'Data Entry'!$E$80</c:f>
              <c:numCache>
                <c:ptCount val="1"/>
                <c:pt idx="0">
                  <c:v>4</c:v>
                </c:pt>
              </c:numCache>
            </c:numRef>
          </c:val>
        </c:ser>
        <c:ser>
          <c:idx val="3"/>
          <c:order val="3"/>
          <c:tx>
            <c:strRef>
              <c:f>'Data Entry'!$F$79</c:f>
              <c:strCache>
                <c:ptCount val="1"/>
                <c:pt idx="0">
                  <c:v>Signed</c:v>
                </c:pt>
              </c:strCache>
            </c:strRef>
          </c:tx>
          <c:spPr>
            <a:solidFill>
              <a:srgbClr val="BFBFB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'Data Entry'!$F$80</c:f>
              <c:numCache>
                <c:ptCount val="1"/>
                <c:pt idx="0">
                  <c:v>2</c:v>
                </c:pt>
              </c:numCache>
            </c:numRef>
          </c:val>
        </c:ser>
        <c:ser>
          <c:idx val="4"/>
          <c:order val="4"/>
          <c:tx>
            <c:strRef>
              <c:f>'Data Entry'!$G$79</c:f>
              <c:strCache>
                <c:ptCount val="1"/>
                <c:pt idx="0">
                  <c:v>Receiving Funding</c:v>
                </c:pt>
              </c:strCache>
            </c:strRef>
          </c:tx>
          <c:spPr>
            <a:solidFill>
              <a:srgbClr val="A6A6A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'Data Entry'!$G$80</c:f>
              <c:numCache>
                <c:ptCount val="1"/>
                <c:pt idx="0">
                  <c:v>2</c:v>
                </c:pt>
              </c:numCache>
            </c:numRef>
          </c:val>
        </c:ser>
        <c:overlap val="-20"/>
        <c:axId val="53408223"/>
        <c:axId val="10911960"/>
      </c:barChart>
      <c:catAx>
        <c:axId val="53408223"/>
        <c:scaling>
          <c:orientation val="minMax"/>
        </c:scaling>
        <c:axPos val="b"/>
        <c:delete val="0"/>
        <c:numFmt formatCode="General" sourceLinked="1"/>
        <c:majorTickMark val="none"/>
        <c:minorTickMark val="none"/>
        <c:tickLblPos val="none"/>
        <c:spPr>
          <a:ln w="3175">
            <a:solidFill>
              <a:srgbClr val="000000"/>
            </a:solidFill>
          </a:ln>
        </c:spPr>
        <c:crossAx val="10911960"/>
        <c:crosses val="autoZero"/>
        <c:auto val="0"/>
        <c:lblOffset val="100"/>
        <c:tickLblSkip val="1"/>
        <c:noMultiLvlLbl val="0"/>
      </c:catAx>
      <c:valAx>
        <c:axId val="10911960"/>
        <c:scaling>
          <c:orientation val="minMax"/>
        </c:scaling>
        <c:axPos val="l"/>
        <c:delete val="0"/>
        <c:numFmt formatCode="General" sourceLinked="1"/>
        <c:majorTickMark val="out"/>
        <c:minorTickMark val="none"/>
        <c:tickLblPos val="nextTo"/>
        <c:spPr>
          <a:ln w="3175">
            <a:solidFill>
              <a:srgbClr val="000000"/>
            </a:solidFill>
          </a:ln>
        </c:spPr>
        <c:crossAx val="53408223"/>
        <c:crossesAt val="1"/>
        <c:crossBetween val="between"/>
        <c:dispUnits/>
      </c:valAx>
      <c:spPr>
        <a:noFill/>
        <a:ln>
          <a:noFill/>
        </a:ln>
      </c:spPr>
    </c:plotArea>
    <c:legend>
      <c:legendPos val="r"/>
      <c:layout>
        <c:manualLayout>
          <c:xMode val="edge"/>
          <c:yMode val="edge"/>
          <c:x val="0.05275"/>
          <c:y val="0.84475"/>
          <c:w val="0.92075"/>
          <c:h val="0.1552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675"/>
          <c:w val="0.945"/>
          <c:h val="0.8375"/>
        </c:manualLayout>
      </c:layout>
      <c:barChart>
        <c:barDir val="bar"/>
        <c:grouping val="percentStacked"/>
        <c:varyColors val="0"/>
        <c:ser>
          <c:idx val="0"/>
          <c:order val="0"/>
          <c:tx>
            <c:strRef>
              <c:f>'Data Entry'!$D$67</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a:effectLst>
                <a:outerShdw dist="35921" dir="2700000" algn="br">
                  <a:prstClr val="black"/>
                </a:outerShdw>
              </a:effectLst>
            </c:spPr>
          </c:dP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Entry'!$B$68:$B$69</c:f>
              <c:strCache>
                <c:ptCount val="2"/>
                <c:pt idx="0">
                  <c:v>Conditions precedent (CPs)</c:v>
                </c:pt>
                <c:pt idx="1">
                  <c:v>Time Bound Actions (TBAs)</c:v>
                </c:pt>
              </c:strCache>
            </c:strRef>
          </c:cat>
          <c:val>
            <c:numRef>
              <c:f>'Data Entry'!$D$68:$D$69</c:f>
              <c:numCache>
                <c:ptCount val="2"/>
                <c:pt idx="0">
                  <c:v>2</c:v>
                </c:pt>
              </c:numCache>
            </c:numRef>
          </c:val>
        </c:ser>
        <c:ser>
          <c:idx val="1"/>
          <c:order val="1"/>
          <c:tx>
            <c:strRef>
              <c:f>'Data Entry'!$E$67</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Entry'!$B$68:$B$69</c:f>
              <c:strCache>
                <c:ptCount val="2"/>
                <c:pt idx="0">
                  <c:v>Conditions precedent (CPs)</c:v>
                </c:pt>
                <c:pt idx="1">
                  <c:v>Time Bound Actions (TBAs)</c:v>
                </c:pt>
              </c:strCache>
            </c:strRef>
          </c:cat>
          <c:val>
            <c:numRef>
              <c:f>'Data Entry'!$E$68:$E$69</c:f>
              <c:numCache>
                <c:ptCount val="2"/>
              </c:numCache>
            </c:numRef>
          </c:val>
        </c:ser>
        <c:ser>
          <c:idx val="2"/>
          <c:order val="2"/>
          <c:tx>
            <c:strRef>
              <c:f>'Data Entry'!$F$67</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Entry'!$B$68:$B$69</c:f>
              <c:strCache>
                <c:ptCount val="2"/>
                <c:pt idx="0">
                  <c:v>Conditions precedent (CPs)</c:v>
                </c:pt>
                <c:pt idx="1">
                  <c:v>Time Bound Actions (TBAs)</c:v>
                </c:pt>
              </c:strCache>
            </c:strRef>
          </c:cat>
          <c:val>
            <c:numRef>
              <c:f>'Data Entry'!$F$68:$F$69</c:f>
              <c:numCache>
                <c:ptCount val="2"/>
              </c:numCache>
            </c:numRef>
          </c:val>
        </c:ser>
        <c:overlap val="100"/>
        <c:gapWidth val="70"/>
        <c:axId val="31098777"/>
        <c:axId val="11453538"/>
      </c:barChart>
      <c:catAx>
        <c:axId val="310987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453538"/>
        <c:crosses val="autoZero"/>
        <c:auto val="1"/>
        <c:lblOffset val="100"/>
        <c:tickLblSkip val="1"/>
        <c:noMultiLvlLbl val="0"/>
      </c:catAx>
      <c:valAx>
        <c:axId val="114535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098777"/>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75"/>
          <c:y val="0.097"/>
          <c:w val="0.76475"/>
          <c:h val="0.7625"/>
        </c:manualLayout>
      </c:layout>
      <c:barChart>
        <c:barDir val="bar"/>
        <c:grouping val="percentStacked"/>
        <c:varyColors val="0"/>
        <c:ser>
          <c:idx val="1"/>
          <c:order val="0"/>
          <c:tx>
            <c:strRef>
              <c:f>'Data Entry'!$D$84</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Entry'!$B$85:$B$86</c:f>
              <c:strCache>
                <c:ptCount val="2"/>
                <c:pt idx="0">
                  <c:v>SSR to SR</c:v>
                </c:pt>
                <c:pt idx="1">
                  <c:v>SRs to PR</c:v>
                </c:pt>
              </c:strCache>
            </c:strRef>
          </c:cat>
          <c:val>
            <c:numRef>
              <c:f>'Data Entry'!$D$85:$D$86</c:f>
              <c:numCache>
                <c:ptCount val="2"/>
                <c:pt idx="0">
                  <c:v>18</c:v>
                </c:pt>
                <c:pt idx="1">
                  <c:v>2</c:v>
                </c:pt>
              </c:numCache>
            </c:numRef>
          </c:val>
        </c:ser>
        <c:ser>
          <c:idx val="2"/>
          <c:order val="1"/>
          <c:tx>
            <c:strRef>
              <c:f>'Data Entry'!$E$84</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Entry'!$B$85:$B$86</c:f>
              <c:strCache>
                <c:ptCount val="2"/>
                <c:pt idx="0">
                  <c:v>SSR to SR</c:v>
                </c:pt>
                <c:pt idx="1">
                  <c:v>SRs to PR</c:v>
                </c:pt>
              </c:strCache>
            </c:strRef>
          </c:cat>
          <c:val>
            <c:numRef>
              <c:f>'Data Entry'!$E$85:$E$86</c:f>
              <c:numCache>
                <c:ptCount val="2"/>
                <c:pt idx="0">
                  <c:v>1</c:v>
                </c:pt>
                <c:pt idx="1">
                  <c:v>0</c:v>
                </c:pt>
              </c:numCache>
            </c:numRef>
          </c:val>
        </c:ser>
        <c:overlap val="100"/>
        <c:gapWidth val="101"/>
        <c:axId val="35972979"/>
        <c:axId val="55321356"/>
      </c:barChart>
      <c:catAx>
        <c:axId val="35972979"/>
        <c:scaling>
          <c:orientation val="minMax"/>
        </c:scaling>
        <c:axPos val="l"/>
        <c:delete val="0"/>
        <c:numFmt formatCode="General" sourceLinked="1"/>
        <c:majorTickMark val="out"/>
        <c:minorTickMark val="none"/>
        <c:tickLblPos val="nextTo"/>
        <c:spPr>
          <a:ln w="3175">
            <a:solidFill>
              <a:srgbClr val="000000"/>
            </a:solidFill>
          </a:ln>
        </c:spPr>
        <c:crossAx val="55321356"/>
        <c:crosses val="autoZero"/>
        <c:auto val="1"/>
        <c:lblOffset val="100"/>
        <c:tickLblSkip val="1"/>
        <c:noMultiLvlLbl val="0"/>
      </c:catAx>
      <c:valAx>
        <c:axId val="5532135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5972979"/>
        <c:crosses val="max"/>
        <c:crossBetween val="between"/>
        <c:dispUnits/>
      </c:valAx>
      <c:spPr>
        <a:solidFill>
          <a:srgbClr val="FFFFFF"/>
        </a:solidFill>
        <a:ln w="3175">
          <a:noFill/>
        </a:ln>
      </c:spPr>
    </c:plotArea>
    <c:legend>
      <c:legendPos val="r"/>
      <c:layout>
        <c:manualLayout>
          <c:xMode val="edge"/>
          <c:yMode val="edge"/>
          <c:x val="0.31375"/>
          <c:y val="0.8255"/>
          <c:w val="0.36175"/>
          <c:h val="0.1337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04675"/>
          <c:w val="0.8535"/>
          <c:h val="0.75925"/>
        </c:manualLayout>
      </c:layout>
      <c:lineChart>
        <c:grouping val="standard"/>
        <c:varyColors val="0"/>
        <c:ser>
          <c:idx val="0"/>
          <c:order val="0"/>
          <c:tx>
            <c:strRef>
              <c:f>'Data Entry'!$B$94</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Entry'!$C$94:$N$94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Entry'!$B$95</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Entry'!$C$95:$N$95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Entry'!$B$96</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Entry'!$C$96:$N$96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8130157"/>
        <c:axId val="51844822"/>
      </c:lineChart>
      <c:catAx>
        <c:axId val="281301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51844822"/>
        <c:crosses val="autoZero"/>
        <c:auto val="1"/>
        <c:lblOffset val="100"/>
        <c:tickLblSkip val="1"/>
        <c:noMultiLvlLbl val="0"/>
      </c:catAx>
      <c:valAx>
        <c:axId val="518448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28130157"/>
        <c:crossesAt val="1"/>
        <c:crossBetween val="between"/>
        <c:dispUnits/>
      </c:valAx>
      <c:spPr>
        <a:solidFill>
          <a:srgbClr val="FFFFFF"/>
        </a:solidFill>
        <a:ln w="12700">
          <a:solidFill>
            <a:srgbClr val="808080"/>
          </a:solidFill>
        </a:ln>
      </c:spPr>
    </c:plotArea>
    <c:legend>
      <c:legendPos val="r"/>
      <c:layout>
        <c:manualLayout>
          <c:xMode val="edge"/>
          <c:yMode val="edge"/>
          <c:x val="0.04825"/>
          <c:y val="0.69375"/>
          <c:w val="0.944"/>
          <c:h val="0.179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71"/>
          <c:w val="0.95175"/>
          <c:h val="0.75325"/>
        </c:manualLayout>
      </c:layout>
      <c:barChart>
        <c:barDir val="bar"/>
        <c:grouping val="percentStacked"/>
        <c:varyColors val="0"/>
        <c:ser>
          <c:idx val="0"/>
          <c:order val="0"/>
          <c:tx>
            <c:strRef>
              <c:f>'[2]Data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1"/>
              <c:showPercent val="0"/>
            </c:dLbl>
            <c:numFmt formatCode="#,##0" sourceLinked="0"/>
            <c:spPr>
              <a:noFill/>
              <a:ln w="3175">
                <a:noFill/>
              </a:ln>
            </c:spPr>
            <c:showLegendKey val="0"/>
            <c:showVal val="1"/>
            <c:showBubbleSize val="0"/>
            <c:showCatName val="0"/>
            <c:showSerName val="1"/>
            <c:showPercent val="0"/>
          </c:dLbls>
          <c:val>
            <c:numRef>
              <c:f>'[2]Data Entry'!$C$79</c:f>
              <c:numCache>
                <c:ptCount val="1"/>
                <c:pt idx="0">
                  <c:v>14</c:v>
                </c:pt>
              </c:numCache>
            </c:numRef>
          </c:val>
        </c:ser>
        <c:overlap val="100"/>
        <c:gapWidth val="79"/>
        <c:axId val="63950215"/>
        <c:axId val="38681024"/>
      </c:barChart>
      <c:barChart>
        <c:barDir val="bar"/>
        <c:grouping val="percentStacked"/>
        <c:varyColors val="0"/>
        <c:ser>
          <c:idx val="1"/>
          <c:order val="1"/>
          <c:tx>
            <c:strRef>
              <c:f>'[2]Data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'[2]Data Entry'!$D$79</c:f>
              <c:numCache>
                <c:ptCount val="1"/>
                <c:pt idx="0">
                  <c:v>14</c:v>
                </c:pt>
              </c:numCache>
            </c:numRef>
          </c:val>
        </c:ser>
        <c:ser>
          <c:idx val="2"/>
          <c:order val="2"/>
          <c:tx>
            <c:strRef>
              <c:f>'[2]Data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'[2]Data Entry'!$E$79</c:f>
              <c:numCache>
                <c:ptCount val="1"/>
                <c:pt idx="0">
                  <c:v>0</c:v>
                </c:pt>
              </c:numCache>
            </c:numRef>
          </c:val>
        </c:ser>
        <c:overlap val="100"/>
        <c:gapWidth val="191"/>
        <c:axId val="12584897"/>
        <c:axId val="46155210"/>
      </c:barChart>
      <c:catAx>
        <c:axId val="63950215"/>
        <c:scaling>
          <c:orientation val="minMax"/>
        </c:scaling>
        <c:axPos val="l"/>
        <c:delete val="1"/>
        <c:majorTickMark val="out"/>
        <c:minorTickMark val="none"/>
        <c:tickLblPos val="nextTo"/>
        <c:crossAx val="38681024"/>
        <c:crosses val="autoZero"/>
        <c:auto val="1"/>
        <c:lblOffset val="100"/>
        <c:tickLblSkip val="1"/>
        <c:noMultiLvlLbl val="0"/>
      </c:catAx>
      <c:valAx>
        <c:axId val="3868102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3950215"/>
        <c:crosses val="max"/>
        <c:crossBetween val="between"/>
        <c:dispUnits/>
      </c:valAx>
      <c:catAx>
        <c:axId val="12584897"/>
        <c:scaling>
          <c:orientation val="minMax"/>
        </c:scaling>
        <c:axPos val="l"/>
        <c:delete val="1"/>
        <c:majorTickMark val="out"/>
        <c:minorTickMark val="none"/>
        <c:tickLblPos val="nextTo"/>
        <c:crossAx val="46155210"/>
        <c:crosses val="autoZero"/>
        <c:auto val="0"/>
        <c:lblOffset val="100"/>
        <c:tickLblSkip val="1"/>
        <c:noMultiLvlLbl val="0"/>
      </c:catAx>
      <c:valAx>
        <c:axId val="46155210"/>
        <c:scaling>
          <c:orientation val="minMax"/>
        </c:scaling>
        <c:axPos val="b"/>
        <c:delete val="0"/>
        <c:numFmt formatCode="General" sourceLinked="1"/>
        <c:majorTickMark val="none"/>
        <c:minorTickMark val="none"/>
        <c:tickLblPos val="none"/>
        <c:spPr>
          <a:ln w="3175">
            <a:solidFill>
              <a:srgbClr val="000000"/>
            </a:solidFill>
          </a:ln>
        </c:spPr>
        <c:crossAx val="12584897"/>
        <c:crossesAt val="1"/>
        <c:crossBetween val="between"/>
        <c:dispUnits/>
      </c:valAx>
      <c:spPr>
        <a:solidFill>
          <a:srgbClr val="FFFFFF"/>
        </a:solidFill>
        <a:ln w="3175">
          <a:noFill/>
        </a:ln>
      </c:spPr>
    </c:plotArea>
    <c:legend>
      <c:legendPos val="r"/>
      <c:legendEntry>
        <c:idx val="0"/>
        <c:delete val="1"/>
      </c:legendEntry>
      <c:layout>
        <c:manualLayout>
          <c:xMode val="edge"/>
          <c:yMode val="edge"/>
          <c:x val="0.2905"/>
          <c:y val="0.87725"/>
          <c:w val="0.19725"/>
          <c:h val="0.096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265"/>
          <c:w val="0.8875"/>
          <c:h val="0.83625"/>
        </c:manualLayout>
      </c:layout>
      <c:barChart>
        <c:barDir val="col"/>
        <c:grouping val="clustered"/>
        <c:varyColors val="0"/>
        <c:ser>
          <c:idx val="0"/>
          <c:order val="0"/>
          <c:tx>
            <c:strRef>
              <c:f>'Data Entry'!$G$116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layout>
                <c:manualLayout>
                  <c:x val="0"/>
                  <c:y val="0"/>
                </c:manualLayout>
              </c:layout>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Entry'!$H$116:$U$116</c:f>
              <c:numCache>
                <c:ptCount val="14"/>
                <c:pt idx="0">
                  <c:v>95</c:v>
                </c:pt>
                <c:pt idx="1">
                  <c:v>125</c:v>
                </c:pt>
                <c:pt idx="2">
                  <c:v>155</c:v>
                </c:pt>
                <c:pt idx="3">
                  <c:v>185</c:v>
                </c:pt>
                <c:pt idx="4">
                  <c:v>216</c:v>
                </c:pt>
                <c:pt idx="5">
                  <c:v>248</c:v>
                </c:pt>
                <c:pt idx="6">
                  <c:v>352</c:v>
                </c:pt>
                <c:pt idx="7">
                  <c:v>372</c:v>
                </c:pt>
                <c:pt idx="8">
                  <c:v>392</c:v>
                </c:pt>
                <c:pt idx="9">
                  <c:v>412</c:v>
                </c:pt>
                <c:pt idx="10">
                  <c:v>432</c:v>
                </c:pt>
                <c:pt idx="11">
                  <c:v>452</c:v>
                </c:pt>
                <c:pt idx="12">
                  <c:v>230</c:v>
                </c:pt>
                <c:pt idx="13">
                  <c:v>244</c:v>
                </c:pt>
              </c:numCache>
            </c:numRef>
          </c:val>
        </c:ser>
        <c:ser>
          <c:idx val="1"/>
          <c:order val="1"/>
          <c:tx>
            <c:strRef>
              <c:f>'Data Entry'!$G$117</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3"/>
              <c:layout>
                <c:manualLayout>
                  <c:x val="0"/>
                  <c:y val="0"/>
                </c:manualLayout>
              </c:layout>
              <c:txPr>
                <a:bodyPr vert="horz" rot="0" anchor="ctr"/>
                <a:lstStyle/>
                <a:p>
                  <a:pPr algn="ctr">
                    <a:defRPr lang="en-US" cap="none" sz="4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val>
            <c:numRef>
              <c:f>'Data Entry'!$H$117:$U$117</c:f>
              <c:numCache>
                <c:ptCount val="14"/>
                <c:pt idx="0">
                  <c:v>91</c:v>
                </c:pt>
                <c:pt idx="1">
                  <c:v>133</c:v>
                </c:pt>
                <c:pt idx="2">
                  <c:v>195</c:v>
                </c:pt>
                <c:pt idx="3">
                  <c:v>236</c:v>
                </c:pt>
                <c:pt idx="4">
                  <c:v>298</c:v>
                </c:pt>
                <c:pt idx="5">
                  <c:v>332</c:v>
                </c:pt>
                <c:pt idx="6">
                  <c:v>363</c:v>
                </c:pt>
                <c:pt idx="7">
                  <c:v>395</c:v>
                </c:pt>
                <c:pt idx="8">
                  <c:v>395</c:v>
                </c:pt>
                <c:pt idx="9">
                  <c:v>462</c:v>
                </c:pt>
                <c:pt idx="10">
                  <c:v>482</c:v>
                </c:pt>
                <c:pt idx="11">
                  <c:v>509</c:v>
                </c:pt>
                <c:pt idx="12">
                  <c:v>229</c:v>
                </c:pt>
                <c:pt idx="13">
                  <c:v>264</c:v>
                </c:pt>
              </c:numCache>
            </c:numRef>
          </c:val>
        </c:ser>
        <c:axId val="12743707"/>
        <c:axId val="47584500"/>
      </c:barChart>
      <c:catAx>
        <c:axId val="127437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7584500"/>
        <c:crosses val="autoZero"/>
        <c:auto val="1"/>
        <c:lblOffset val="100"/>
        <c:tickLblSkip val="1"/>
        <c:noMultiLvlLbl val="0"/>
      </c:catAx>
      <c:valAx>
        <c:axId val="4758450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2743707"/>
        <c:crossesAt val="1"/>
        <c:crossBetween val="between"/>
        <c:dispUnits/>
      </c:valAx>
      <c:spPr>
        <a:noFill/>
        <a:ln>
          <a:noFill/>
        </a:ln>
      </c:spPr>
    </c:plotArea>
    <c:legend>
      <c:legendPos val="r"/>
      <c:layout>
        <c:manualLayout>
          <c:xMode val="edge"/>
          <c:yMode val="edge"/>
          <c:x val="0.1725"/>
          <c:y val="0.92925"/>
          <c:w val="0.59025"/>
          <c:h val="0.070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hyperlink" Target="#Menu!A1" /><Relationship Id="rId6"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38</xdr:row>
      <xdr:rowOff>133350</xdr:rowOff>
    </xdr:from>
    <xdr:to>
      <xdr:col>6</xdr:col>
      <xdr:colOff>1000125</xdr:colOff>
      <xdr:row>41</xdr:row>
      <xdr:rowOff>190500</xdr:rowOff>
    </xdr:to>
    <xdr:sp>
      <xdr:nvSpPr>
        <xdr:cNvPr id="2" name="AutoShape 100"/>
        <xdr:cNvSpPr>
          <a:spLocks/>
        </xdr:cNvSpPr>
      </xdr:nvSpPr>
      <xdr:spPr>
        <a:xfrm>
          <a:off x="9324975" y="6886575"/>
          <a:ext cx="0" cy="12287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42</xdr:row>
      <xdr:rowOff>104775</xdr:rowOff>
    </xdr:from>
    <xdr:to>
      <xdr:col>4</xdr:col>
      <xdr:colOff>1057275</xdr:colOff>
      <xdr:row>42</xdr:row>
      <xdr:rowOff>104775</xdr:rowOff>
    </xdr:to>
    <xdr:sp>
      <xdr:nvSpPr>
        <xdr:cNvPr id="3" name="AutoShape 101"/>
        <xdr:cNvSpPr>
          <a:spLocks/>
        </xdr:cNvSpPr>
      </xdr:nvSpPr>
      <xdr:spPr>
        <a:xfrm rot="10800000">
          <a:off x="6067425" y="842010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152400</xdr:rowOff>
    </xdr:from>
    <xdr:to>
      <xdr:col>5</xdr:col>
      <xdr:colOff>781050</xdr:colOff>
      <xdr:row>20</xdr:row>
      <xdr:rowOff>47625</xdr:rowOff>
    </xdr:to>
    <xdr:graphicFrame>
      <xdr:nvGraphicFramePr>
        <xdr:cNvPr id="1" name="Chart 32"/>
        <xdr:cNvGraphicFramePr/>
      </xdr:nvGraphicFramePr>
      <xdr:xfrm>
        <a:off x="66675" y="207645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247650</xdr:colOff>
      <xdr:row>9</xdr:row>
      <xdr:rowOff>76200</xdr:rowOff>
    </xdr:from>
    <xdr:to>
      <xdr:col>11</xdr:col>
      <xdr:colOff>219075</xdr:colOff>
      <xdr:row>21</xdr:row>
      <xdr:rowOff>19050</xdr:rowOff>
    </xdr:to>
    <xdr:grpSp>
      <xdr:nvGrpSpPr>
        <xdr:cNvPr id="3" name="Group 489"/>
        <xdr:cNvGrpSpPr>
          <a:grpSpLocks/>
        </xdr:cNvGrpSpPr>
      </xdr:nvGrpSpPr>
      <xdr:grpSpPr>
        <a:xfrm>
          <a:off x="4124325" y="2190750"/>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161925</xdr:colOff>
      <xdr:row>23</xdr:row>
      <xdr:rowOff>47625</xdr:rowOff>
    </xdr:from>
    <xdr:to>
      <xdr:col>6</xdr:col>
      <xdr:colOff>171450</xdr:colOff>
      <xdr:row>32</xdr:row>
      <xdr:rowOff>95250</xdr:rowOff>
    </xdr:to>
    <xdr:grpSp>
      <xdr:nvGrpSpPr>
        <xdr:cNvPr id="6" name="Group 490"/>
        <xdr:cNvGrpSpPr>
          <a:grpSpLocks/>
        </xdr:cNvGrpSpPr>
      </xdr:nvGrpSpPr>
      <xdr:grpSpPr>
        <a:xfrm>
          <a:off x="161925" y="4857750"/>
          <a:ext cx="3886200"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5</xdr:col>
      <xdr:colOff>962025</xdr:colOff>
      <xdr:row>25</xdr:row>
      <xdr:rowOff>28575</xdr:rowOff>
    </xdr:to>
    <xdr:graphicFrame>
      <xdr:nvGraphicFramePr>
        <xdr:cNvPr id="1" name="Chart 1039"/>
        <xdr:cNvGraphicFramePr/>
      </xdr:nvGraphicFramePr>
      <xdr:xfrm>
        <a:off x="285750" y="8020050"/>
        <a:ext cx="4057650" cy="1743075"/>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2" name="Chart 1046"/>
        <xdr:cNvGraphicFramePr/>
      </xdr:nvGraphicFramePr>
      <xdr:xfrm>
        <a:off x="314325" y="2505075"/>
        <a:ext cx="4162425" cy="1190625"/>
      </xdr:xfrm>
      <a:graphic>
        <a:graphicData uri="http://schemas.openxmlformats.org/drawingml/2006/chart">
          <c:chart xmlns:c="http://schemas.openxmlformats.org/drawingml/2006/chart" r:id="rId2"/>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3" name="Chart 1054"/>
        <xdr:cNvGraphicFramePr/>
      </xdr:nvGraphicFramePr>
      <xdr:xfrm>
        <a:off x="5372100" y="8039100"/>
        <a:ext cx="5429250" cy="172402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4" name="Chart 1091"/>
        <xdr:cNvGraphicFramePr/>
      </xdr:nvGraphicFramePr>
      <xdr:xfrm>
        <a:off x="209550" y="10163175"/>
        <a:ext cx="3829050" cy="173355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5" name="AutoShape 50">
          <a:hlinkClick r:id="rId5"/>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7</xdr:col>
      <xdr:colOff>19050</xdr:colOff>
      <xdr:row>8</xdr:row>
      <xdr:rowOff>85725</xdr:rowOff>
    </xdr:from>
    <xdr:to>
      <xdr:col>12</xdr:col>
      <xdr:colOff>228600</xdr:colOff>
      <xdr:row>14</xdr:row>
      <xdr:rowOff>114300</xdr:rowOff>
    </xdr:to>
    <xdr:graphicFrame>
      <xdr:nvGraphicFramePr>
        <xdr:cNvPr id="6" name="Chart 1034"/>
        <xdr:cNvGraphicFramePr/>
      </xdr:nvGraphicFramePr>
      <xdr:xfrm>
        <a:off x="5353050" y="2571750"/>
        <a:ext cx="5495925" cy="1171575"/>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4295775" y="6648450"/>
        <a:ext cx="478155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323850</xdr:colOff>
      <xdr:row>9</xdr:row>
      <xdr:rowOff>76200</xdr:rowOff>
    </xdr:from>
    <xdr:to>
      <xdr:col>16</xdr:col>
      <xdr:colOff>2124075</xdr:colOff>
      <xdr:row>17</xdr:row>
      <xdr:rowOff>9525</xdr:rowOff>
    </xdr:to>
    <xdr:graphicFrame>
      <xdr:nvGraphicFramePr>
        <xdr:cNvPr id="3" name="Chart 488"/>
        <xdr:cNvGraphicFramePr/>
      </xdr:nvGraphicFramePr>
      <xdr:xfrm>
        <a:off x="9353550" y="6677025"/>
        <a:ext cx="4124325" cy="1819275"/>
      </xdr:xfrm>
      <a:graphic>
        <a:graphicData uri="http://schemas.openxmlformats.org/drawingml/2006/chart">
          <c:chart xmlns:c="http://schemas.openxmlformats.org/drawingml/2006/chart" r:id="rId3"/>
        </a:graphicData>
      </a:graphic>
    </xdr:graphicFrame>
    <xdr:clientData/>
  </xdr:twoCellAnchor>
  <xdr:twoCellAnchor>
    <xdr:from>
      <xdr:col>1</xdr:col>
      <xdr:colOff>76200</xdr:colOff>
      <xdr:row>9</xdr:row>
      <xdr:rowOff>95250</xdr:rowOff>
    </xdr:from>
    <xdr:to>
      <xdr:col>4</xdr:col>
      <xdr:colOff>238125</xdr:colOff>
      <xdr:row>17</xdr:row>
      <xdr:rowOff>57150</xdr:rowOff>
    </xdr:to>
    <xdr:graphicFrame>
      <xdr:nvGraphicFramePr>
        <xdr:cNvPr id="4" name="Chart 553"/>
        <xdr:cNvGraphicFramePr/>
      </xdr:nvGraphicFramePr>
      <xdr:xfrm>
        <a:off x="104775" y="6696075"/>
        <a:ext cx="3733800"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LIAN~1\AppData\Local\Temp\bat\HIV_CCM_Generic_Dashboard_sem1%202013)_15.11.13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_HIV_R8\Supravegherea%20generala%20a%20granturilor%20FG_CCM\Final%20sent%20to%20CCM%20for%20S1.2013\CCM_Dashboard_S1.2013_HIV%20SSF_P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iu"/>
      <sheetName val="Lista Indicatorilor"/>
      <sheetName val="Introducerea datelor"/>
      <sheetName val="Detalii despre Grant"/>
      <sheetName val="Financiar"/>
      <sheetName val="Management"/>
      <sheetName val="Programatic"/>
      <sheetName val="Recomandari"/>
      <sheetName val="Actions"/>
      <sheetName val="Setup"/>
    </sheetNames>
    <sheetDataSet>
      <sheetData sheetId="2">
        <row r="124">
          <cell r="I124">
            <v>0.6</v>
          </cell>
        </row>
        <row r="128">
          <cell r="I128">
            <v>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List of Indicators"/>
      <sheetName val="Data Entry"/>
      <sheetName val="Grant Detail"/>
      <sheetName val="Finance"/>
      <sheetName val="Management"/>
      <sheetName val="Programmatic"/>
      <sheetName val="Recommendations"/>
      <sheetName val="Actions"/>
      <sheetName val="Setup"/>
    </sheetNames>
    <sheetDataSet>
      <sheetData sheetId="2">
        <row r="78">
          <cell r="C78" t="str">
            <v>Planned</v>
          </cell>
          <cell r="D78" t="str">
            <v>Filled</v>
          </cell>
          <cell r="E78" t="str">
            <v>Vacant</v>
          </cell>
        </row>
        <row r="79">
          <cell r="C79">
            <v>14</v>
          </cell>
          <cell r="D79">
            <v>14</v>
          </cell>
          <cell r="E7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B4" sqref="B4:E4"/>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493" t="str">
        <f>+'Grant Detail'!B3:J3</f>
        <v>Dashboard:  Moldova - HIV / AIDS</v>
      </c>
      <c r="C2" s="493"/>
      <c r="D2" s="493"/>
      <c r="E2" s="493"/>
      <c r="F2" s="493"/>
      <c r="G2" s="493"/>
      <c r="H2" s="493"/>
      <c r="I2" s="493"/>
      <c r="J2" s="493"/>
      <c r="K2" s="493"/>
      <c r="L2" s="493"/>
      <c r="M2" s="1"/>
      <c r="N2" s="1"/>
      <c r="O2" s="1"/>
    </row>
    <row r="4" spans="2:12" ht="21">
      <c r="B4" s="494" t="str">
        <f>+IF('Data Entry'!G6="Please Select","",'Data Entry'!G6)&amp;"  "&amp;+IF('Data Entry'!G8="Please Select","",'Data Entry'!G8&amp;",  ")&amp;+IF('Data Entry'!I8="Please Select","",'Data Entry'!I8)</f>
        <v>HIV / AIDS  SSF (Round 8),  Period 2 </v>
      </c>
      <c r="C4" s="494"/>
      <c r="D4" s="494"/>
      <c r="E4" s="495"/>
      <c r="F4" s="225"/>
      <c r="G4" s="225"/>
      <c r="H4" s="332" t="str">
        <f>+'Data Entry'!B6&amp;" "&amp;+'Data Entry'!C6</f>
        <v>Grant No.: MOL-H-PAS</v>
      </c>
      <c r="I4" s="332"/>
      <c r="J4" s="224"/>
      <c r="K4" s="225"/>
      <c r="L4" s="225"/>
    </row>
    <row r="22" spans="2:12" ht="26.25">
      <c r="B22" s="496" t="s">
        <v>411</v>
      </c>
      <c r="C22" s="497"/>
      <c r="D22" s="497"/>
      <c r="E22" s="497"/>
      <c r="F22" s="497"/>
      <c r="G22" s="497"/>
      <c r="H22" s="497"/>
      <c r="I22" s="497"/>
      <c r="J22" s="497"/>
      <c r="K22" s="497"/>
      <c r="L22" s="497"/>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861" t="str">
        <f>'Grant Detail'!B3:J3</f>
        <v>Dashboard:  Moldova - HIV / AIDS</v>
      </c>
      <c r="C3" s="861"/>
      <c r="D3" s="861"/>
      <c r="E3" s="861"/>
      <c r="F3" s="861"/>
      <c r="G3" s="861"/>
      <c r="H3" s="861"/>
      <c r="I3" s="1"/>
    </row>
    <row r="6" spans="2:8" ht="18.75">
      <c r="B6" s="835" t="s">
        <v>323</v>
      </c>
      <c r="C6" s="835"/>
      <c r="D6" s="835"/>
      <c r="E6" s="835"/>
      <c r="F6" s="835"/>
      <c r="G6" s="835"/>
      <c r="H6" s="835"/>
    </row>
    <row r="8" spans="2:15" ht="18.75">
      <c r="B8" s="60" t="s">
        <v>38</v>
      </c>
      <c r="C8" s="60" t="s">
        <v>41</v>
      </c>
      <c r="D8" s="60" t="s">
        <v>42</v>
      </c>
      <c r="E8" s="60" t="s">
        <v>47</v>
      </c>
      <c r="F8" s="60" t="s">
        <v>291</v>
      </c>
      <c r="G8" s="60" t="s">
        <v>270</v>
      </c>
      <c r="H8" s="60" t="s">
        <v>298</v>
      </c>
      <c r="I8" s="61" t="s">
        <v>93</v>
      </c>
      <c r="J8" s="61" t="s">
        <v>134</v>
      </c>
      <c r="M8" s="19"/>
      <c r="N8" s="19"/>
      <c r="O8" s="19"/>
    </row>
    <row r="9" spans="2:15" ht="15">
      <c r="B9" s="84" t="s">
        <v>377</v>
      </c>
      <c r="C9" s="84" t="s">
        <v>377</v>
      </c>
      <c r="D9" s="84" t="s">
        <v>377</v>
      </c>
      <c r="E9" s="84" t="s">
        <v>377</v>
      </c>
      <c r="F9" s="84" t="s">
        <v>377</v>
      </c>
      <c r="G9" s="84" t="s">
        <v>377</v>
      </c>
      <c r="H9" s="84" t="s">
        <v>377</v>
      </c>
      <c r="I9" s="388" t="s">
        <v>377</v>
      </c>
      <c r="J9" s="84" t="s">
        <v>377</v>
      </c>
      <c r="M9" s="19"/>
      <c r="N9" s="19"/>
      <c r="O9" s="19"/>
    </row>
    <row r="10" spans="2:15" ht="15">
      <c r="B10" s="55" t="s">
        <v>33</v>
      </c>
      <c r="C10" s="55" t="s">
        <v>24</v>
      </c>
      <c r="D10" s="55" t="s">
        <v>22</v>
      </c>
      <c r="E10" s="55" t="s">
        <v>23</v>
      </c>
      <c r="F10" s="55" t="s">
        <v>110</v>
      </c>
      <c r="G10" s="395" t="s">
        <v>49</v>
      </c>
      <c r="H10" s="58" t="s">
        <v>54</v>
      </c>
      <c r="I10" s="27" t="s">
        <v>304</v>
      </c>
      <c r="J10" s="84" t="s">
        <v>135</v>
      </c>
      <c r="M10" s="19"/>
      <c r="N10" s="19"/>
      <c r="O10" s="19"/>
    </row>
    <row r="11" spans="2:15" ht="15">
      <c r="B11" s="55" t="s">
        <v>39</v>
      </c>
      <c r="C11" s="55" t="s">
        <v>19</v>
      </c>
      <c r="D11" s="55" t="s">
        <v>25</v>
      </c>
      <c r="E11" s="55" t="s">
        <v>21</v>
      </c>
      <c r="F11" s="55" t="s">
        <v>111</v>
      </c>
      <c r="G11" s="395" t="s">
        <v>50</v>
      </c>
      <c r="H11" s="58" t="s">
        <v>55</v>
      </c>
      <c r="I11" s="27" t="s">
        <v>305</v>
      </c>
      <c r="J11" s="84" t="s">
        <v>136</v>
      </c>
      <c r="M11" s="19"/>
      <c r="N11" s="19"/>
      <c r="O11" s="19"/>
    </row>
    <row r="12" spans="2:15" ht="15">
      <c r="B12" s="55" t="s">
        <v>40</v>
      </c>
      <c r="D12" s="55" t="s">
        <v>28</v>
      </c>
      <c r="E12" s="55" t="s">
        <v>29</v>
      </c>
      <c r="F12" s="55" t="s">
        <v>112</v>
      </c>
      <c r="G12" s="395" t="s">
        <v>51</v>
      </c>
      <c r="H12" s="58" t="s">
        <v>56</v>
      </c>
      <c r="I12" s="27" t="s">
        <v>306</v>
      </c>
      <c r="J12" s="84" t="s">
        <v>137</v>
      </c>
      <c r="M12" s="191"/>
      <c r="N12" s="19"/>
      <c r="O12" s="19"/>
    </row>
    <row r="13" spans="2:15" ht="15">
      <c r="B13" s="55" t="s">
        <v>89</v>
      </c>
      <c r="D13" s="55" t="s">
        <v>30</v>
      </c>
      <c r="E13" s="56"/>
      <c r="F13" s="55" t="s">
        <v>113</v>
      </c>
      <c r="G13" s="395" t="s">
        <v>52</v>
      </c>
      <c r="H13" s="58" t="s">
        <v>57</v>
      </c>
      <c r="I13" s="27" t="s">
        <v>307</v>
      </c>
      <c r="J13" s="84" t="s">
        <v>138</v>
      </c>
      <c r="M13" s="191"/>
      <c r="N13" s="19"/>
      <c r="O13" s="19"/>
    </row>
    <row r="14" spans="2:15" ht="15">
      <c r="B14" s="55" t="s">
        <v>90</v>
      </c>
      <c r="D14" s="55" t="s">
        <v>43</v>
      </c>
      <c r="F14" s="55" t="s">
        <v>125</v>
      </c>
      <c r="G14" s="395" t="s">
        <v>53</v>
      </c>
      <c r="H14" s="58" t="s">
        <v>58</v>
      </c>
      <c r="I14" s="27" t="s">
        <v>276</v>
      </c>
      <c r="J14" s="84" t="s">
        <v>139</v>
      </c>
      <c r="M14" s="191"/>
      <c r="N14" s="19"/>
      <c r="O14" s="19"/>
    </row>
    <row r="15" spans="4:15" ht="15">
      <c r="D15" s="55" t="s">
        <v>44</v>
      </c>
      <c r="F15" s="55" t="s">
        <v>126</v>
      </c>
      <c r="H15" s="58" t="s">
        <v>59</v>
      </c>
      <c r="I15" s="27" t="s">
        <v>76</v>
      </c>
      <c r="J15" s="84" t="s">
        <v>140</v>
      </c>
      <c r="M15" s="191"/>
      <c r="N15" s="19"/>
      <c r="O15" s="19"/>
    </row>
    <row r="16" spans="4:15" ht="15">
      <c r="D16" s="55" t="s">
        <v>45</v>
      </c>
      <c r="F16" s="55" t="s">
        <v>127</v>
      </c>
      <c r="H16" s="58" t="s">
        <v>60</v>
      </c>
      <c r="I16" s="27" t="s">
        <v>77</v>
      </c>
      <c r="J16" s="84" t="s">
        <v>141</v>
      </c>
      <c r="M16" s="191"/>
      <c r="N16" s="19"/>
      <c r="O16" s="19"/>
    </row>
    <row r="17" spans="4:15" ht="15">
      <c r="D17" s="55" t="s">
        <v>46</v>
      </c>
      <c r="F17" s="55" t="s">
        <v>128</v>
      </c>
      <c r="H17" s="58" t="s">
        <v>61</v>
      </c>
      <c r="I17" s="27" t="s">
        <v>78</v>
      </c>
      <c r="J17" s="84" t="s">
        <v>142</v>
      </c>
      <c r="M17" s="191"/>
      <c r="N17" s="19"/>
      <c r="O17" s="19"/>
    </row>
    <row r="18" spans="4:15" ht="15">
      <c r="D18" s="55" t="s">
        <v>20</v>
      </c>
      <c r="F18" s="55" t="s">
        <v>129</v>
      </c>
      <c r="H18" s="58" t="s">
        <v>62</v>
      </c>
      <c r="I18" s="27" t="s">
        <v>79</v>
      </c>
      <c r="J18" s="84" t="s">
        <v>143</v>
      </c>
      <c r="M18" s="191"/>
      <c r="N18" s="19"/>
      <c r="O18" s="19"/>
    </row>
    <row r="19" spans="4:15" ht="15">
      <c r="D19" s="394" t="s">
        <v>373</v>
      </c>
      <c r="F19" s="55" t="s">
        <v>130</v>
      </c>
      <c r="H19" s="58" t="s">
        <v>63</v>
      </c>
      <c r="I19" s="27" t="s">
        <v>80</v>
      </c>
      <c r="J19" s="84" t="s">
        <v>144</v>
      </c>
      <c r="M19" s="191"/>
      <c r="N19" s="19"/>
      <c r="O19" s="19"/>
    </row>
    <row r="20" spans="4:15" ht="15">
      <c r="D20" s="57"/>
      <c r="F20" s="55" t="s">
        <v>131</v>
      </c>
      <c r="H20" s="58" t="s">
        <v>267</v>
      </c>
      <c r="I20" s="27" t="s">
        <v>81</v>
      </c>
      <c r="J20" s="84" t="s">
        <v>145</v>
      </c>
      <c r="M20" s="19"/>
      <c r="N20" s="19"/>
      <c r="O20" s="19"/>
    </row>
    <row r="21" spans="4:15" ht="15">
      <c r="D21" s="59"/>
      <c r="F21" s="55" t="s">
        <v>292</v>
      </c>
      <c r="H21" s="59"/>
      <c r="I21" s="27" t="s">
        <v>83</v>
      </c>
      <c r="J21" s="84" t="s">
        <v>146</v>
      </c>
      <c r="M21" s="19"/>
      <c r="N21" s="19"/>
      <c r="O21" s="19"/>
    </row>
    <row r="22" spans="8:15" ht="15">
      <c r="H22" s="59"/>
      <c r="I22" s="27" t="s">
        <v>84</v>
      </c>
      <c r="J22" s="84" t="s">
        <v>147</v>
      </c>
      <c r="M22" s="19"/>
      <c r="N22" s="19"/>
      <c r="O22" s="19"/>
    </row>
    <row r="23" spans="9:15" ht="15">
      <c r="I23" s="27" t="s">
        <v>82</v>
      </c>
      <c r="J23" s="84" t="s">
        <v>148</v>
      </c>
      <c r="M23" s="19"/>
      <c r="N23" s="19"/>
      <c r="O23" s="19"/>
    </row>
    <row r="24" spans="9:15" ht="15">
      <c r="I24" s="27" t="s">
        <v>314</v>
      </c>
      <c r="J24" s="84" t="s">
        <v>149</v>
      </c>
      <c r="M24" s="19"/>
      <c r="N24" s="19"/>
      <c r="O24" s="19"/>
    </row>
    <row r="25" spans="9:10" ht="15">
      <c r="I25" s="43"/>
      <c r="J25" s="84" t="s">
        <v>150</v>
      </c>
    </row>
    <row r="26" spans="9:10" ht="15">
      <c r="I26" s="27" t="s">
        <v>318</v>
      </c>
      <c r="J26" s="84" t="s">
        <v>151</v>
      </c>
    </row>
    <row r="27" spans="9:10" ht="15">
      <c r="I27" s="27" t="s">
        <v>313</v>
      </c>
      <c r="J27" s="84" t="s">
        <v>152</v>
      </c>
    </row>
    <row r="28" spans="9:10" ht="15">
      <c r="I28" s="43"/>
      <c r="J28" s="84" t="s">
        <v>153</v>
      </c>
    </row>
    <row r="29" spans="9:10" ht="15">
      <c r="I29" s="43"/>
      <c r="J29" s="84" t="s">
        <v>154</v>
      </c>
    </row>
    <row r="30" spans="9:10" ht="15">
      <c r="I30" s="43"/>
      <c r="J30" s="84" t="s">
        <v>155</v>
      </c>
    </row>
    <row r="31" ht="15">
      <c r="J31" s="84" t="s">
        <v>156</v>
      </c>
    </row>
    <row r="32" ht="15">
      <c r="J32" s="84" t="s">
        <v>157</v>
      </c>
    </row>
    <row r="33" ht="15">
      <c r="J33" s="84" t="s">
        <v>158</v>
      </c>
    </row>
    <row r="34" ht="15">
      <c r="J34" s="84" t="s">
        <v>159</v>
      </c>
    </row>
    <row r="35" ht="15">
      <c r="J35" s="84" t="s">
        <v>160</v>
      </c>
    </row>
    <row r="36" ht="15">
      <c r="J36" s="84" t="s">
        <v>160</v>
      </c>
    </row>
    <row r="37" ht="15">
      <c r="J37" s="84" t="s">
        <v>161</v>
      </c>
    </row>
    <row r="38" ht="15">
      <c r="J38" s="84" t="s">
        <v>162</v>
      </c>
    </row>
    <row r="39" ht="15">
      <c r="J39" s="84" t="s">
        <v>163</v>
      </c>
    </row>
    <row r="40" ht="15">
      <c r="J40" s="84" t="s">
        <v>164</v>
      </c>
    </row>
    <row r="41" ht="15">
      <c r="J41" s="84" t="s">
        <v>165</v>
      </c>
    </row>
    <row r="42" ht="15">
      <c r="J42" s="84" t="s">
        <v>166</v>
      </c>
    </row>
    <row r="43" ht="15">
      <c r="J43" s="84" t="s">
        <v>167</v>
      </c>
    </row>
    <row r="44" ht="15">
      <c r="J44" s="84" t="s">
        <v>168</v>
      </c>
    </row>
    <row r="45" ht="15">
      <c r="J45" s="84" t="s">
        <v>169</v>
      </c>
    </row>
    <row r="46" ht="15">
      <c r="J46" s="84" t="s">
        <v>170</v>
      </c>
    </row>
    <row r="47" ht="15">
      <c r="J47" s="84" t="s">
        <v>171</v>
      </c>
    </row>
    <row r="48" ht="15">
      <c r="J48" s="84" t="s">
        <v>172</v>
      </c>
    </row>
    <row r="49" ht="15">
      <c r="J49" s="84" t="s">
        <v>173</v>
      </c>
    </row>
    <row r="50" ht="15">
      <c r="J50" s="84" t="s">
        <v>174</v>
      </c>
    </row>
    <row r="51" ht="15">
      <c r="J51" s="84" t="s">
        <v>175</v>
      </c>
    </row>
    <row r="52" ht="15">
      <c r="J52" s="84" t="s">
        <v>176</v>
      </c>
    </row>
    <row r="53" ht="15">
      <c r="J53" s="84" t="s">
        <v>177</v>
      </c>
    </row>
    <row r="54" ht="15">
      <c r="J54" s="84" t="s">
        <v>178</v>
      </c>
    </row>
    <row r="55" ht="15">
      <c r="J55" s="84" t="s">
        <v>179</v>
      </c>
    </row>
    <row r="56" ht="15">
      <c r="J56" s="84" t="s">
        <v>180</v>
      </c>
    </row>
    <row r="57" ht="15">
      <c r="J57" s="84" t="s">
        <v>181</v>
      </c>
    </row>
    <row r="58" ht="15">
      <c r="J58" s="84" t="s">
        <v>182</v>
      </c>
    </row>
    <row r="59" ht="15">
      <c r="J59" s="84" t="s">
        <v>183</v>
      </c>
    </row>
    <row r="60" ht="15">
      <c r="J60" s="84" t="s">
        <v>184</v>
      </c>
    </row>
    <row r="61" ht="15">
      <c r="J61" s="84" t="s">
        <v>185</v>
      </c>
    </row>
    <row r="62" ht="15">
      <c r="J62" s="84" t="s">
        <v>186</v>
      </c>
    </row>
    <row r="63" ht="15">
      <c r="J63" s="84" t="s">
        <v>187</v>
      </c>
    </row>
    <row r="64" ht="15">
      <c r="J64" s="84" t="s">
        <v>188</v>
      </c>
    </row>
    <row r="65" ht="15">
      <c r="J65" s="84" t="s">
        <v>189</v>
      </c>
    </row>
    <row r="66" ht="15">
      <c r="J66" s="84" t="s">
        <v>190</v>
      </c>
    </row>
    <row r="67" ht="15">
      <c r="J67" s="84" t="s">
        <v>191</v>
      </c>
    </row>
    <row r="68" ht="15">
      <c r="J68" s="84" t="s">
        <v>192</v>
      </c>
    </row>
    <row r="69" ht="15">
      <c r="J69" s="84" t="s">
        <v>193</v>
      </c>
    </row>
    <row r="70" ht="15">
      <c r="J70" s="84" t="s">
        <v>194</v>
      </c>
    </row>
    <row r="71" ht="15">
      <c r="J71" s="84" t="s">
        <v>195</v>
      </c>
    </row>
    <row r="72" ht="15">
      <c r="J72" s="84" t="s">
        <v>196</v>
      </c>
    </row>
    <row r="73" ht="15">
      <c r="J73" s="84" t="s">
        <v>197</v>
      </c>
    </row>
    <row r="74" ht="15">
      <c r="J74" s="84" t="s">
        <v>198</v>
      </c>
    </row>
    <row r="75" ht="15">
      <c r="J75" s="84" t="s">
        <v>199</v>
      </c>
    </row>
    <row r="76" ht="15">
      <c r="J76" s="84" t="s">
        <v>200</v>
      </c>
    </row>
    <row r="77" ht="15">
      <c r="J77" s="84" t="s">
        <v>201</v>
      </c>
    </row>
    <row r="78" ht="15">
      <c r="J78" s="84" t="s">
        <v>202</v>
      </c>
    </row>
    <row r="79" ht="15">
      <c r="J79" s="84" t="s">
        <v>203</v>
      </c>
    </row>
    <row r="80" ht="15">
      <c r="J80" s="84" t="s">
        <v>204</v>
      </c>
    </row>
    <row r="81" ht="15">
      <c r="J81" s="84" t="s">
        <v>205</v>
      </c>
    </row>
    <row r="82" ht="15">
      <c r="J82" s="84" t="s">
        <v>206</v>
      </c>
    </row>
    <row r="83" ht="15">
      <c r="J83" s="84" t="s">
        <v>207</v>
      </c>
    </row>
    <row r="84" ht="15">
      <c r="J84" s="84" t="s">
        <v>208</v>
      </c>
    </row>
    <row r="85" ht="15">
      <c r="J85" s="84" t="s">
        <v>209</v>
      </c>
    </row>
    <row r="86" ht="15">
      <c r="J86" s="84" t="s">
        <v>210</v>
      </c>
    </row>
    <row r="87" ht="15">
      <c r="J87" s="84" t="s">
        <v>211</v>
      </c>
    </row>
    <row r="88" ht="15">
      <c r="J88" s="84" t="s">
        <v>212</v>
      </c>
    </row>
    <row r="89" ht="15">
      <c r="J89" s="84" t="s">
        <v>213</v>
      </c>
    </row>
    <row r="90" ht="15">
      <c r="J90" s="84" t="s">
        <v>214</v>
      </c>
    </row>
    <row r="91" ht="15">
      <c r="J91" s="84" t="s">
        <v>215</v>
      </c>
    </row>
    <row r="92" ht="15">
      <c r="J92" s="84" t="s">
        <v>216</v>
      </c>
    </row>
    <row r="93" ht="15">
      <c r="J93" s="84" t="s">
        <v>217</v>
      </c>
    </row>
    <row r="94" ht="15">
      <c r="J94" s="84" t="s">
        <v>218</v>
      </c>
    </row>
    <row r="95" ht="15">
      <c r="J95" s="84" t="s">
        <v>219</v>
      </c>
    </row>
    <row r="96" ht="15">
      <c r="J96" s="84" t="s">
        <v>220</v>
      </c>
    </row>
    <row r="97" ht="15">
      <c r="J97" s="84" t="s">
        <v>221</v>
      </c>
    </row>
    <row r="98" ht="15">
      <c r="J98" s="84" t="s">
        <v>222</v>
      </c>
    </row>
    <row r="99" ht="15">
      <c r="J99" s="84" t="s">
        <v>223</v>
      </c>
    </row>
    <row r="100" ht="15">
      <c r="J100" s="84" t="s">
        <v>224</v>
      </c>
    </row>
    <row r="101" ht="15">
      <c r="J101" s="84" t="s">
        <v>225</v>
      </c>
    </row>
    <row r="102" ht="15">
      <c r="J102" s="84" t="s">
        <v>226</v>
      </c>
    </row>
    <row r="103" ht="15">
      <c r="J103" s="84" t="s">
        <v>227</v>
      </c>
    </row>
    <row r="104" ht="15">
      <c r="J104" s="84" t="s">
        <v>228</v>
      </c>
    </row>
    <row r="105" ht="15">
      <c r="J105" s="84" t="s">
        <v>229</v>
      </c>
    </row>
    <row r="106" ht="15">
      <c r="J106" s="84" t="s">
        <v>230</v>
      </c>
    </row>
    <row r="107" ht="15">
      <c r="J107" s="84" t="s">
        <v>231</v>
      </c>
    </row>
    <row r="108" ht="15">
      <c r="J108" s="84" t="s">
        <v>232</v>
      </c>
    </row>
    <row r="109" ht="15">
      <c r="J109" s="84" t="s">
        <v>233</v>
      </c>
    </row>
    <row r="110" ht="15">
      <c r="J110" s="84" t="s">
        <v>234</v>
      </c>
    </row>
    <row r="111" ht="15">
      <c r="J111" s="84" t="s">
        <v>86</v>
      </c>
    </row>
    <row r="112" ht="15">
      <c r="J112" s="84" t="s">
        <v>235</v>
      </c>
    </row>
    <row r="113" ht="15">
      <c r="J113" s="84" t="s">
        <v>236</v>
      </c>
    </row>
    <row r="114" ht="15">
      <c r="J114" s="84" t="s">
        <v>237</v>
      </c>
    </row>
    <row r="115" ht="15">
      <c r="J115" s="84" t="s">
        <v>238</v>
      </c>
    </row>
    <row r="116" ht="15">
      <c r="J116" s="84" t="s">
        <v>239</v>
      </c>
    </row>
    <row r="117" ht="15">
      <c r="J117" s="84" t="s">
        <v>240</v>
      </c>
    </row>
    <row r="118" ht="15">
      <c r="J118" s="84" t="s">
        <v>241</v>
      </c>
    </row>
    <row r="119" ht="15">
      <c r="J119" s="84" t="s">
        <v>242</v>
      </c>
    </row>
    <row r="120" ht="15">
      <c r="J120" s="84" t="s">
        <v>243</v>
      </c>
    </row>
    <row r="121" ht="15">
      <c r="J121" s="84" t="s">
        <v>244</v>
      </c>
    </row>
    <row r="122" ht="15">
      <c r="J122" s="84" t="s">
        <v>245</v>
      </c>
    </row>
    <row r="123" ht="15">
      <c r="J123" s="84" t="s">
        <v>246</v>
      </c>
    </row>
    <row r="124" ht="15">
      <c r="J124" s="84" t="s">
        <v>247</v>
      </c>
    </row>
    <row r="125" ht="15">
      <c r="J125" s="84" t="s">
        <v>248</v>
      </c>
    </row>
    <row r="126" ht="15">
      <c r="J126" s="84" t="s">
        <v>249</v>
      </c>
    </row>
    <row r="127" ht="15">
      <c r="J127" s="84" t="s">
        <v>250</v>
      </c>
    </row>
    <row r="128" ht="15">
      <c r="J128" s="84" t="s">
        <v>251</v>
      </c>
    </row>
    <row r="129" ht="15">
      <c r="J129" s="84" t="s">
        <v>252</v>
      </c>
    </row>
    <row r="130" ht="15">
      <c r="J130" s="84" t="s">
        <v>253</v>
      </c>
    </row>
    <row r="131" ht="15">
      <c r="J131" s="84" t="s">
        <v>254</v>
      </c>
    </row>
    <row r="132" ht="15">
      <c r="J132" s="84" t="s">
        <v>255</v>
      </c>
    </row>
    <row r="133" ht="15">
      <c r="J133" s="84" t="s">
        <v>256</v>
      </c>
    </row>
    <row r="134" ht="15">
      <c r="J134" s="84" t="s">
        <v>257</v>
      </c>
    </row>
    <row r="135" ht="15">
      <c r="J135" s="84" t="s">
        <v>258</v>
      </c>
    </row>
    <row r="136" ht="15">
      <c r="J136" s="84" t="s">
        <v>259</v>
      </c>
    </row>
    <row r="137" ht="15">
      <c r="J137" s="84" t="s">
        <v>260</v>
      </c>
    </row>
    <row r="138" ht="15">
      <c r="J138" s="84" t="s">
        <v>261</v>
      </c>
    </row>
    <row r="139" ht="15">
      <c r="J139" s="84" t="s">
        <v>262</v>
      </c>
    </row>
    <row r="140" ht="15">
      <c r="J140" s="84" t="s">
        <v>263</v>
      </c>
    </row>
    <row r="141" ht="15">
      <c r="J141" s="84" t="s">
        <v>264</v>
      </c>
    </row>
    <row r="142" ht="15">
      <c r="J142" s="84" t="s">
        <v>265</v>
      </c>
    </row>
    <row r="143" ht="15">
      <c r="J143" s="84" t="s">
        <v>266</v>
      </c>
    </row>
    <row r="144" ht="15">
      <c r="J144" s="386"/>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48"/>
  <sheetViews>
    <sheetView showGridLines="0" zoomScale="80" zoomScaleNormal="80" zoomScalePageLayoutView="0" workbookViewId="0" topLeftCell="A1">
      <pane ySplit="2" topLeftCell="A6" activePane="bottomLeft" state="frozen"/>
      <selection pane="topLeft" activeCell="E22" sqref="E22"/>
      <selection pane="bottomLeft" activeCell="B38" sqref="B38:D38"/>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498" t="str">
        <f>+"Dashboard: "&amp;" "&amp;+IF('Data Entry'!C4="Please Select","",'Data Entry'!C4&amp;" - ")&amp;+IF('Data Entry'!G6="Please Select","",'Data Entry'!G6)</f>
        <v>Dashboard:  Moldova - HIV / AIDS</v>
      </c>
      <c r="C2" s="498"/>
      <c r="D2" s="498"/>
      <c r="E2" s="498"/>
      <c r="F2" s="498"/>
      <c r="G2" s="498"/>
      <c r="H2" s="498"/>
      <c r="I2" s="498"/>
      <c r="J2" s="498"/>
      <c r="K2" s="498"/>
      <c r="L2" s="498"/>
      <c r="M2" s="498"/>
    </row>
    <row r="3" spans="1:13" ht="15.75" customHeight="1">
      <c r="A3" s="3"/>
      <c r="B3" s="216"/>
      <c r="C3" s="216"/>
      <c r="D3" s="216"/>
      <c r="E3" s="216"/>
      <c r="F3" s="216"/>
      <c r="G3" s="216"/>
      <c r="H3" s="216"/>
      <c r="I3" s="216"/>
      <c r="J3" s="216"/>
      <c r="K3" s="217"/>
      <c r="L3" s="217"/>
      <c r="M3" s="3"/>
    </row>
    <row r="5" spans="2:15" ht="23.25">
      <c r="B5" s="499" t="s">
        <v>288</v>
      </c>
      <c r="C5" s="499"/>
      <c r="D5" s="499"/>
      <c r="E5" s="499"/>
      <c r="F5" s="499"/>
      <c r="G5" s="499"/>
      <c r="H5" s="499"/>
      <c r="I5" s="499"/>
      <c r="J5" s="499"/>
      <c r="K5" s="499"/>
      <c r="L5" s="499"/>
      <c r="M5" s="499"/>
      <c r="N5" s="499"/>
      <c r="O5" s="499"/>
    </row>
    <row r="7" spans="2:15" ht="21">
      <c r="B7" s="503" t="s">
        <v>277</v>
      </c>
      <c r="C7" s="504"/>
      <c r="D7" s="505"/>
      <c r="E7" s="503" t="s">
        <v>278</v>
      </c>
      <c r="F7" s="504"/>
      <c r="G7" s="504"/>
      <c r="H7" s="504"/>
      <c r="I7" s="505"/>
      <c r="J7" s="503" t="s">
        <v>279</v>
      </c>
      <c r="K7" s="504"/>
      <c r="L7" s="505"/>
      <c r="M7" s="503" t="s">
        <v>351</v>
      </c>
      <c r="N7" s="504"/>
      <c r="O7" s="505"/>
    </row>
    <row r="8" spans="2:15" ht="92.25" customHeight="1">
      <c r="B8" s="506" t="str">
        <f>+'Data Entry'!B27</f>
        <v>F1: Budget and disbursements by Global Fund</v>
      </c>
      <c r="C8" s="507"/>
      <c r="D8" s="508"/>
      <c r="E8" s="522" t="s">
        <v>398</v>
      </c>
      <c r="F8" s="523"/>
      <c r="G8" s="523"/>
      <c r="H8" s="523"/>
      <c r="I8" s="524"/>
      <c r="J8" s="500" t="s">
        <v>352</v>
      </c>
      <c r="K8" s="501"/>
      <c r="L8" s="502"/>
      <c r="M8" s="500" t="s">
        <v>399</v>
      </c>
      <c r="N8" s="501"/>
      <c r="O8" s="502"/>
    </row>
    <row r="9" spans="2:15" ht="117.75" customHeight="1">
      <c r="B9" s="506" t="str">
        <f>+'Data Entry'!B36</f>
        <v>F2: Budget and actual expenditures by Grant Objective</v>
      </c>
      <c r="C9" s="507"/>
      <c r="D9" s="508"/>
      <c r="E9" s="517" t="s">
        <v>360</v>
      </c>
      <c r="F9" s="515"/>
      <c r="G9" s="515"/>
      <c r="H9" s="515"/>
      <c r="I9" s="516"/>
      <c r="J9" s="500" t="s">
        <v>354</v>
      </c>
      <c r="K9" s="501"/>
      <c r="L9" s="502"/>
      <c r="M9" s="500" t="s">
        <v>399</v>
      </c>
      <c r="N9" s="501"/>
      <c r="O9" s="502"/>
    </row>
    <row r="10" spans="2:15" ht="152.25" customHeight="1">
      <c r="B10" s="509" t="str">
        <f>+'Data Entry'!B45</f>
        <v>F3: Disbursements and expenditures</v>
      </c>
      <c r="C10" s="510"/>
      <c r="D10" s="511"/>
      <c r="E10" s="517" t="s">
        <v>400</v>
      </c>
      <c r="F10" s="515"/>
      <c r="G10" s="515"/>
      <c r="H10" s="515"/>
      <c r="I10" s="516"/>
      <c r="J10" s="500" t="s">
        <v>361</v>
      </c>
      <c r="K10" s="501"/>
      <c r="L10" s="502"/>
      <c r="M10" s="500" t="s">
        <v>353</v>
      </c>
      <c r="N10" s="501"/>
      <c r="O10" s="502"/>
    </row>
    <row r="11" spans="2:15" ht="279.75" customHeight="1">
      <c r="B11" s="509" t="str">
        <f>+'Data Entry'!B54</f>
        <v>F4: Latest PR reporting and disbursement cycle</v>
      </c>
      <c r="C11" s="527"/>
      <c r="D11" s="528"/>
      <c r="E11" s="517" t="s">
        <v>412</v>
      </c>
      <c r="F11" s="515"/>
      <c r="G11" s="515"/>
      <c r="H11" s="515"/>
      <c r="I11" s="516"/>
      <c r="J11" s="500" t="s">
        <v>362</v>
      </c>
      <c r="K11" s="501"/>
      <c r="L11" s="502"/>
      <c r="M11" s="500" t="s">
        <v>282</v>
      </c>
      <c r="N11" s="501"/>
      <c r="O11" s="502"/>
    </row>
    <row r="12" spans="2:15" s="19" customFormat="1" ht="15">
      <c r="B12" s="526"/>
      <c r="C12" s="526"/>
      <c r="D12" s="526"/>
      <c r="E12" s="525"/>
      <c r="F12" s="525"/>
      <c r="G12" s="525"/>
      <c r="H12" s="525"/>
      <c r="I12" s="525"/>
      <c r="J12" s="525"/>
      <c r="K12" s="525"/>
      <c r="L12" s="525"/>
      <c r="M12" s="525"/>
      <c r="N12" s="525"/>
      <c r="O12" s="525"/>
    </row>
    <row r="13" spans="2:15" s="19" customFormat="1" ht="15">
      <c r="B13" s="529"/>
      <c r="C13" s="529"/>
      <c r="D13" s="529"/>
      <c r="E13" s="518"/>
      <c r="F13" s="518"/>
      <c r="G13" s="518"/>
      <c r="H13" s="518"/>
      <c r="I13" s="518"/>
      <c r="J13" s="518"/>
      <c r="K13" s="518"/>
      <c r="L13" s="518"/>
      <c r="M13" s="518"/>
      <c r="N13" s="518"/>
      <c r="O13" s="518"/>
    </row>
    <row r="14" spans="2:15" s="19" customFormat="1" ht="15">
      <c r="B14" s="529"/>
      <c r="C14" s="529"/>
      <c r="D14" s="529"/>
      <c r="E14" s="518"/>
      <c r="F14" s="518"/>
      <c r="G14" s="518"/>
      <c r="H14" s="518"/>
      <c r="I14" s="518"/>
      <c r="J14" s="518"/>
      <c r="K14" s="518"/>
      <c r="L14" s="518"/>
      <c r="M14" s="518"/>
      <c r="N14" s="518"/>
      <c r="O14" s="518"/>
    </row>
    <row r="15" spans="2:15" s="19" customFormat="1" ht="15">
      <c r="B15" s="529"/>
      <c r="C15" s="529"/>
      <c r="D15" s="529"/>
      <c r="E15" s="518"/>
      <c r="F15" s="518"/>
      <c r="G15" s="518"/>
      <c r="H15" s="518"/>
      <c r="I15" s="518"/>
      <c r="J15" s="518"/>
      <c r="K15" s="518"/>
      <c r="L15" s="518"/>
      <c r="M15" s="518"/>
      <c r="N15" s="518"/>
      <c r="O15" s="518"/>
    </row>
    <row r="16" spans="2:15" ht="23.25">
      <c r="B16" s="499" t="s">
        <v>289</v>
      </c>
      <c r="C16" s="499"/>
      <c r="D16" s="499"/>
      <c r="E16" s="499"/>
      <c r="F16" s="499"/>
      <c r="G16" s="499"/>
      <c r="H16" s="499"/>
      <c r="I16" s="499"/>
      <c r="J16" s="499"/>
      <c r="K16" s="499"/>
      <c r="L16" s="499"/>
      <c r="M16" s="499"/>
      <c r="N16" s="499"/>
      <c r="O16" s="499"/>
    </row>
    <row r="18" spans="2:15" ht="21">
      <c r="B18" s="519" t="s">
        <v>277</v>
      </c>
      <c r="C18" s="520"/>
      <c r="D18" s="521"/>
      <c r="E18" s="519" t="s">
        <v>278</v>
      </c>
      <c r="F18" s="520"/>
      <c r="G18" s="520"/>
      <c r="H18" s="520"/>
      <c r="I18" s="521"/>
      <c r="J18" s="519" t="s">
        <v>279</v>
      </c>
      <c r="K18" s="520"/>
      <c r="L18" s="521"/>
      <c r="M18" s="519" t="s">
        <v>280</v>
      </c>
      <c r="N18" s="520"/>
      <c r="O18" s="521"/>
    </row>
    <row r="19" spans="2:15" ht="114" customHeight="1">
      <c r="B19" s="506" t="str">
        <f>+'Data Entry'!B65</f>
        <v>M1: Status of Conditions Precedent (CPs) and Time Bound Actions (TBAs)</v>
      </c>
      <c r="C19" s="512"/>
      <c r="D19" s="513"/>
      <c r="E19" s="517" t="s">
        <v>287</v>
      </c>
      <c r="F19" s="515"/>
      <c r="G19" s="515"/>
      <c r="H19" s="515"/>
      <c r="I19" s="516"/>
      <c r="J19" s="500" t="s">
        <v>355</v>
      </c>
      <c r="K19" s="501"/>
      <c r="L19" s="502"/>
      <c r="M19" s="500" t="s">
        <v>356</v>
      </c>
      <c r="N19" s="501"/>
      <c r="O19" s="502"/>
    </row>
    <row r="20" spans="2:15" ht="102.75" customHeight="1">
      <c r="B20" s="506" t="str">
        <f>+'Data Entry'!B72</f>
        <v>M2: Status of key PR management positions</v>
      </c>
      <c r="C20" s="512"/>
      <c r="D20" s="513"/>
      <c r="E20" s="517" t="s">
        <v>401</v>
      </c>
      <c r="F20" s="515"/>
      <c r="G20" s="515"/>
      <c r="H20" s="515"/>
      <c r="I20" s="516"/>
      <c r="J20" s="500" t="s">
        <v>284</v>
      </c>
      <c r="K20" s="501"/>
      <c r="L20" s="502"/>
      <c r="M20" s="500" t="s">
        <v>283</v>
      </c>
      <c r="N20" s="501"/>
      <c r="O20" s="502"/>
    </row>
    <row r="21" spans="2:15" ht="111.75" customHeight="1">
      <c r="B21" s="506" t="str">
        <f>+'Data Entry'!B77</f>
        <v>M3: Contractual arrangements (SRs) </v>
      </c>
      <c r="C21" s="512"/>
      <c r="D21" s="513"/>
      <c r="E21" s="514" t="s">
        <v>5</v>
      </c>
      <c r="F21" s="515"/>
      <c r="G21" s="515"/>
      <c r="H21" s="515"/>
      <c r="I21" s="516"/>
      <c r="J21" s="500" t="s">
        <v>357</v>
      </c>
      <c r="K21" s="501"/>
      <c r="L21" s="502"/>
      <c r="M21" s="500" t="s">
        <v>358</v>
      </c>
      <c r="N21" s="501"/>
      <c r="O21" s="502"/>
    </row>
    <row r="22" spans="2:15" ht="74.25" customHeight="1">
      <c r="B22" s="506" t="str">
        <f>+'Data Entry'!B82</f>
        <v>M4: Number of complete reports received on time</v>
      </c>
      <c r="C22" s="512"/>
      <c r="D22" s="513"/>
      <c r="E22" s="514" t="s">
        <v>413</v>
      </c>
      <c r="F22" s="572"/>
      <c r="G22" s="572"/>
      <c r="H22" s="572"/>
      <c r="I22" s="573"/>
      <c r="J22" s="500" t="s">
        <v>363</v>
      </c>
      <c r="K22" s="501"/>
      <c r="L22" s="502"/>
      <c r="M22" s="500" t="s">
        <v>285</v>
      </c>
      <c r="N22" s="501"/>
      <c r="O22" s="502"/>
    </row>
    <row r="23" spans="2:15" ht="207.75" customHeight="1">
      <c r="B23" s="566" t="str">
        <f>+'Data Entry'!B88</f>
        <v>M5: Budget and Procurement of health products, health equipment, medicines and pharmaceuticals</v>
      </c>
      <c r="C23" s="567"/>
      <c r="D23" s="568"/>
      <c r="E23" s="580" t="s">
        <v>364</v>
      </c>
      <c r="F23" s="581"/>
      <c r="G23" s="581"/>
      <c r="H23" s="581"/>
      <c r="I23" s="582"/>
      <c r="J23" s="551" t="s">
        <v>281</v>
      </c>
      <c r="K23" s="552"/>
      <c r="L23" s="553"/>
      <c r="M23" s="551" t="s">
        <v>286</v>
      </c>
      <c r="N23" s="552"/>
      <c r="O23" s="553"/>
    </row>
    <row r="24" spans="2:15" ht="114.75" customHeight="1">
      <c r="B24" s="569"/>
      <c r="C24" s="570"/>
      <c r="D24" s="571"/>
      <c r="E24" s="574" t="s">
        <v>359</v>
      </c>
      <c r="F24" s="575"/>
      <c r="G24" s="575"/>
      <c r="H24" s="575"/>
      <c r="I24" s="576"/>
      <c r="J24" s="554"/>
      <c r="K24" s="555"/>
      <c r="L24" s="556"/>
      <c r="M24" s="554"/>
      <c r="N24" s="555"/>
      <c r="O24" s="556"/>
    </row>
    <row r="25" spans="2:15" ht="409.5" customHeight="1">
      <c r="B25" s="506" t="str">
        <f>+'Data Entry'!B101</f>
        <v>M6: Difference between current and safety stock</v>
      </c>
      <c r="C25" s="512"/>
      <c r="D25" s="513"/>
      <c r="E25" s="560" t="s">
        <v>414</v>
      </c>
      <c r="F25" s="561"/>
      <c r="G25" s="561"/>
      <c r="H25" s="561"/>
      <c r="I25" s="562"/>
      <c r="J25" s="577" t="s">
        <v>365</v>
      </c>
      <c r="K25" s="578"/>
      <c r="L25" s="579"/>
      <c r="M25" s="557" t="s">
        <v>370</v>
      </c>
      <c r="N25" s="558"/>
      <c r="O25" s="559"/>
    </row>
    <row r="29" ht="18.75">
      <c r="B29" s="245"/>
    </row>
    <row r="30" spans="2:15" ht="23.25">
      <c r="B30" s="499" t="s">
        <v>302</v>
      </c>
      <c r="C30" s="499"/>
      <c r="D30" s="499"/>
      <c r="E30" s="499"/>
      <c r="F30" s="499"/>
      <c r="G30" s="499"/>
      <c r="H30" s="499"/>
      <c r="I30" s="499"/>
      <c r="J30" s="499"/>
      <c r="K30" s="499"/>
      <c r="L30" s="499"/>
      <c r="M30" s="499"/>
      <c r="N30" s="499"/>
      <c r="O30" s="499"/>
    </row>
    <row r="32" spans="1:15" ht="28.5" customHeight="1">
      <c r="A32" s="242"/>
      <c r="B32" s="539" t="s">
        <v>349</v>
      </c>
      <c r="C32" s="540"/>
      <c r="D32" s="541"/>
      <c r="E32" s="542" t="s">
        <v>0</v>
      </c>
      <c r="F32" s="543"/>
      <c r="G32" s="543"/>
      <c r="H32" s="543"/>
      <c r="I32" s="544"/>
      <c r="J32" s="542" t="s">
        <v>279</v>
      </c>
      <c r="K32" s="543"/>
      <c r="L32" s="544"/>
      <c r="M32" s="542" t="s">
        <v>280</v>
      </c>
      <c r="N32" s="543"/>
      <c r="O32" s="544"/>
    </row>
    <row r="33" spans="1:15" ht="84" customHeight="1">
      <c r="A33" s="243"/>
      <c r="B33" s="548" t="s">
        <v>423</v>
      </c>
      <c r="C33" s="549"/>
      <c r="D33" s="550"/>
      <c r="E33" s="563" t="s">
        <v>429</v>
      </c>
      <c r="F33" s="564"/>
      <c r="G33" s="564"/>
      <c r="H33" s="564"/>
      <c r="I33" s="565"/>
      <c r="J33" s="548" t="s">
        <v>430</v>
      </c>
      <c r="K33" s="549"/>
      <c r="L33" s="550"/>
      <c r="M33" s="548" t="s">
        <v>431</v>
      </c>
      <c r="N33" s="549"/>
      <c r="O33" s="550"/>
    </row>
    <row r="34" spans="1:15" ht="69" customHeight="1">
      <c r="A34" s="243"/>
      <c r="B34" s="548" t="s">
        <v>432</v>
      </c>
      <c r="C34" s="549"/>
      <c r="D34" s="550"/>
      <c r="E34" s="563" t="s">
        <v>433</v>
      </c>
      <c r="F34" s="564"/>
      <c r="G34" s="564"/>
      <c r="H34" s="564"/>
      <c r="I34" s="565"/>
      <c r="J34" s="548" t="s">
        <v>434</v>
      </c>
      <c r="K34" s="549"/>
      <c r="L34" s="550"/>
      <c r="M34" s="548" t="s">
        <v>435</v>
      </c>
      <c r="N34" s="549"/>
      <c r="O34" s="550"/>
    </row>
    <row r="35" spans="1:15" ht="122.25" customHeight="1">
      <c r="A35" s="243"/>
      <c r="B35" s="548" t="s">
        <v>421</v>
      </c>
      <c r="C35" s="549"/>
      <c r="D35" s="550"/>
      <c r="E35" s="563" t="s">
        <v>436</v>
      </c>
      <c r="F35" s="564"/>
      <c r="G35" s="564"/>
      <c r="H35" s="564"/>
      <c r="I35" s="565"/>
      <c r="J35" s="548" t="s">
        <v>437</v>
      </c>
      <c r="K35" s="549"/>
      <c r="L35" s="550"/>
      <c r="M35" s="548" t="s">
        <v>435</v>
      </c>
      <c r="N35" s="549"/>
      <c r="O35" s="550"/>
    </row>
    <row r="36" spans="1:15" ht="102.75" customHeight="1">
      <c r="A36" s="243"/>
      <c r="B36" s="548" t="s">
        <v>422</v>
      </c>
      <c r="C36" s="549"/>
      <c r="D36" s="550"/>
      <c r="E36" s="563" t="s">
        <v>438</v>
      </c>
      <c r="F36" s="564"/>
      <c r="G36" s="564"/>
      <c r="H36" s="564"/>
      <c r="I36" s="565"/>
      <c r="J36" s="548" t="s">
        <v>439</v>
      </c>
      <c r="K36" s="549"/>
      <c r="L36" s="550"/>
      <c r="M36" s="548" t="s">
        <v>440</v>
      </c>
      <c r="N36" s="549"/>
      <c r="O36" s="550"/>
    </row>
    <row r="37" spans="1:15" ht="96.75" customHeight="1">
      <c r="A37" s="243"/>
      <c r="B37" s="548" t="s">
        <v>441</v>
      </c>
      <c r="C37" s="549"/>
      <c r="D37" s="550"/>
      <c r="E37" s="563" t="s">
        <v>442</v>
      </c>
      <c r="F37" s="564"/>
      <c r="G37" s="564"/>
      <c r="H37" s="564"/>
      <c r="I37" s="565"/>
      <c r="J37" s="548" t="s">
        <v>443</v>
      </c>
      <c r="K37" s="549"/>
      <c r="L37" s="550"/>
      <c r="M37" s="548" t="s">
        <v>435</v>
      </c>
      <c r="N37" s="549"/>
      <c r="O37" s="550"/>
    </row>
    <row r="38" spans="1:15" ht="104.25" customHeight="1">
      <c r="A38" s="243"/>
      <c r="B38" s="548" t="s">
        <v>424</v>
      </c>
      <c r="C38" s="549"/>
      <c r="D38" s="550"/>
      <c r="E38" s="563" t="s">
        <v>444</v>
      </c>
      <c r="F38" s="564"/>
      <c r="G38" s="564"/>
      <c r="H38" s="564"/>
      <c r="I38" s="565"/>
      <c r="J38" s="548" t="s">
        <v>445</v>
      </c>
      <c r="K38" s="549"/>
      <c r="L38" s="550"/>
      <c r="M38" s="548" t="s">
        <v>446</v>
      </c>
      <c r="N38" s="549"/>
      <c r="O38" s="550"/>
    </row>
    <row r="39" spans="1:15" ht="45" customHeight="1">
      <c r="A39" s="243"/>
      <c r="B39" s="548" t="s">
        <v>447</v>
      </c>
      <c r="C39" s="549"/>
      <c r="D39" s="550"/>
      <c r="E39" s="563" t="s">
        <v>448</v>
      </c>
      <c r="F39" s="564"/>
      <c r="G39" s="564"/>
      <c r="H39" s="564"/>
      <c r="I39" s="565"/>
      <c r="J39" s="548" t="s">
        <v>449</v>
      </c>
      <c r="K39" s="549"/>
      <c r="L39" s="550"/>
      <c r="M39" s="548" t="s">
        <v>450</v>
      </c>
      <c r="N39" s="549"/>
      <c r="O39" s="550"/>
    </row>
    <row r="40" spans="1:15" ht="64.5" customHeight="1">
      <c r="A40" s="243"/>
      <c r="B40" s="548" t="s">
        <v>451</v>
      </c>
      <c r="C40" s="549"/>
      <c r="D40" s="550"/>
      <c r="E40" s="563" t="s">
        <v>452</v>
      </c>
      <c r="F40" s="564"/>
      <c r="G40" s="564"/>
      <c r="H40" s="564"/>
      <c r="I40" s="565"/>
      <c r="J40" s="548" t="s">
        <v>453</v>
      </c>
      <c r="K40" s="549"/>
      <c r="L40" s="550"/>
      <c r="M40" s="548" t="s">
        <v>454</v>
      </c>
      <c r="N40" s="549"/>
      <c r="O40" s="550"/>
    </row>
    <row r="41" spans="2:15" ht="96.75" customHeight="1">
      <c r="B41" s="548" t="s">
        <v>455</v>
      </c>
      <c r="C41" s="549"/>
      <c r="D41" s="550"/>
      <c r="E41" s="563" t="s">
        <v>456</v>
      </c>
      <c r="F41" s="564"/>
      <c r="G41" s="564"/>
      <c r="H41" s="564"/>
      <c r="I41" s="565"/>
      <c r="J41" s="548" t="s">
        <v>430</v>
      </c>
      <c r="K41" s="549"/>
      <c r="L41" s="550"/>
      <c r="M41" s="548" t="s">
        <v>431</v>
      </c>
      <c r="N41" s="549"/>
      <c r="O41" s="550"/>
    </row>
    <row r="42" spans="2:15" ht="44.25" customHeight="1">
      <c r="B42" s="530" t="s">
        <v>303</v>
      </c>
      <c r="C42" s="531"/>
      <c r="D42" s="532"/>
      <c r="E42" s="533" t="s">
        <v>278</v>
      </c>
      <c r="F42" s="534"/>
      <c r="G42" s="534"/>
      <c r="H42" s="534"/>
      <c r="I42" s="535"/>
      <c r="J42" s="533" t="s">
        <v>279</v>
      </c>
      <c r="K42" s="534"/>
      <c r="L42" s="535"/>
      <c r="M42" s="533" t="s">
        <v>280</v>
      </c>
      <c r="N42" s="534"/>
      <c r="O42" s="535"/>
    </row>
    <row r="43" spans="2:15" ht="18.75" customHeight="1">
      <c r="B43" s="238"/>
      <c r="C43" s="239"/>
      <c r="D43" s="239"/>
      <c r="E43" s="232"/>
      <c r="F43" s="234"/>
      <c r="G43" s="234"/>
      <c r="H43" s="234"/>
      <c r="I43" s="234"/>
      <c r="J43" s="232"/>
      <c r="K43" s="232"/>
      <c r="L43" s="233"/>
      <c r="M43" s="231"/>
      <c r="N43" s="232"/>
      <c r="O43" s="233"/>
    </row>
    <row r="44" spans="2:15" ht="15.75" customHeight="1">
      <c r="B44" s="545" t="s">
        <v>300</v>
      </c>
      <c r="C44" s="546"/>
      <c r="D44" s="546"/>
      <c r="E44" s="546"/>
      <c r="F44" s="546"/>
      <c r="G44" s="546"/>
      <c r="H44" s="546"/>
      <c r="I44" s="546"/>
      <c r="J44" s="546"/>
      <c r="K44" s="546"/>
      <c r="L44" s="547"/>
      <c r="M44" s="536" t="s">
        <v>290</v>
      </c>
      <c r="N44" s="537"/>
      <c r="O44" s="538"/>
    </row>
    <row r="45" ht="15">
      <c r="D45" s="218"/>
    </row>
    <row r="47" ht="15">
      <c r="D47" s="218"/>
    </row>
    <row r="48" ht="15">
      <c r="D48" s="218"/>
    </row>
  </sheetData>
  <sheetProtection/>
  <mergeCells count="115">
    <mergeCell ref="M41:O41"/>
    <mergeCell ref="J39:L39"/>
    <mergeCell ref="J40:L40"/>
    <mergeCell ref="J41:L41"/>
    <mergeCell ref="E40:I40"/>
    <mergeCell ref="B40:D40"/>
    <mergeCell ref="B41:D41"/>
    <mergeCell ref="E41:I41"/>
    <mergeCell ref="B39:D39"/>
    <mergeCell ref="E38:I38"/>
    <mergeCell ref="E39:I39"/>
    <mergeCell ref="B38:D38"/>
    <mergeCell ref="E34:I34"/>
    <mergeCell ref="B37:D37"/>
    <mergeCell ref="B36:D36"/>
    <mergeCell ref="E37:I37"/>
    <mergeCell ref="E36:I36"/>
    <mergeCell ref="B35:D35"/>
    <mergeCell ref="E35:I35"/>
    <mergeCell ref="J34:L34"/>
    <mergeCell ref="E33:I33"/>
    <mergeCell ref="B22:D22"/>
    <mergeCell ref="B23:D24"/>
    <mergeCell ref="E22:I22"/>
    <mergeCell ref="E24:I24"/>
    <mergeCell ref="J25:L25"/>
    <mergeCell ref="E23:I23"/>
    <mergeCell ref="J23:L24"/>
    <mergeCell ref="M21:O21"/>
    <mergeCell ref="M22:O22"/>
    <mergeCell ref="M23:O24"/>
    <mergeCell ref="M25:O25"/>
    <mergeCell ref="M35:O35"/>
    <mergeCell ref="B25:D25"/>
    <mergeCell ref="E25:I25"/>
    <mergeCell ref="B33:D33"/>
    <mergeCell ref="M34:O34"/>
    <mergeCell ref="B34:D34"/>
    <mergeCell ref="M20:O20"/>
    <mergeCell ref="M42:O42"/>
    <mergeCell ref="J37:L37"/>
    <mergeCell ref="M38:O38"/>
    <mergeCell ref="J35:L35"/>
    <mergeCell ref="J33:L33"/>
    <mergeCell ref="J36:L36"/>
    <mergeCell ref="J38:L38"/>
    <mergeCell ref="M40:O40"/>
    <mergeCell ref="M33:O33"/>
    <mergeCell ref="M44:O44"/>
    <mergeCell ref="B30:O30"/>
    <mergeCell ref="B32:D32"/>
    <mergeCell ref="E32:I32"/>
    <mergeCell ref="J32:L32"/>
    <mergeCell ref="M32:O32"/>
    <mergeCell ref="B44:L44"/>
    <mergeCell ref="M37:O37"/>
    <mergeCell ref="M39:O39"/>
    <mergeCell ref="M36:O36"/>
    <mergeCell ref="B13:D13"/>
    <mergeCell ref="B16:O16"/>
    <mergeCell ref="B14:D14"/>
    <mergeCell ref="B42:D42"/>
    <mergeCell ref="E42:I42"/>
    <mergeCell ref="B15:D15"/>
    <mergeCell ref="J42:L42"/>
    <mergeCell ref="B18:D18"/>
    <mergeCell ref="B19:D19"/>
    <mergeCell ref="J21:L21"/>
    <mergeCell ref="M9:O9"/>
    <mergeCell ref="B9:D9"/>
    <mergeCell ref="E9:I9"/>
    <mergeCell ref="M13:O13"/>
    <mergeCell ref="M11:O11"/>
    <mergeCell ref="M12:O12"/>
    <mergeCell ref="B12:D12"/>
    <mergeCell ref="B11:D11"/>
    <mergeCell ref="J12:L12"/>
    <mergeCell ref="E12:I12"/>
    <mergeCell ref="J9:L9"/>
    <mergeCell ref="E8:I8"/>
    <mergeCell ref="J7:L7"/>
    <mergeCell ref="J22:L22"/>
    <mergeCell ref="J20:L20"/>
    <mergeCell ref="E20:I20"/>
    <mergeCell ref="J15:L15"/>
    <mergeCell ref="E13:I13"/>
    <mergeCell ref="J13:L13"/>
    <mergeCell ref="J14:L14"/>
    <mergeCell ref="E10:I10"/>
    <mergeCell ref="M10:O10"/>
    <mergeCell ref="J11:L11"/>
    <mergeCell ref="M18:O18"/>
    <mergeCell ref="M14:O14"/>
    <mergeCell ref="M19:O19"/>
    <mergeCell ref="M15:O15"/>
    <mergeCell ref="J18:L18"/>
    <mergeCell ref="E19:I19"/>
    <mergeCell ref="B10:D10"/>
    <mergeCell ref="J10:L10"/>
    <mergeCell ref="B21:D21"/>
    <mergeCell ref="E21:I21"/>
    <mergeCell ref="E11:I11"/>
    <mergeCell ref="B20:D20"/>
    <mergeCell ref="E15:I15"/>
    <mergeCell ref="E14:I14"/>
    <mergeCell ref="J19:L19"/>
    <mergeCell ref="E18:I18"/>
    <mergeCell ref="B2:M2"/>
    <mergeCell ref="B5:O5"/>
    <mergeCell ref="M8:O8"/>
    <mergeCell ref="J8:L8"/>
    <mergeCell ref="E7:I7"/>
    <mergeCell ref="B7:D7"/>
    <mergeCell ref="M7:O7"/>
    <mergeCell ref="B8:D8"/>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44"/>
  <sheetViews>
    <sheetView showGridLines="0" zoomScalePageLayoutView="0" workbookViewId="0" topLeftCell="A82">
      <selection activeCell="L100" sqref="L100"/>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5.28125" style="36" customWidth="1"/>
    <col min="15" max="15" width="15.57421875" style="36" customWidth="1"/>
    <col min="16" max="16" width="15.851562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5.14062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13" t="s">
        <v>378</v>
      </c>
      <c r="C2" s="613"/>
      <c r="D2" s="613"/>
      <c r="E2" s="613"/>
      <c r="F2" s="613"/>
      <c r="G2" s="613"/>
      <c r="H2" s="613"/>
      <c r="I2" s="613"/>
      <c r="J2" s="613"/>
      <c r="K2" s="270"/>
      <c r="L2" s="270"/>
      <c r="M2" s="270"/>
    </row>
    <row r="3" spans="1:13" ht="4.5" customHeight="1">
      <c r="A3" s="3"/>
      <c r="B3" s="3"/>
      <c r="C3" s="3"/>
      <c r="D3" s="3"/>
      <c r="E3" s="3"/>
      <c r="F3" s="3"/>
      <c r="G3" s="3"/>
      <c r="H3" s="3"/>
      <c r="I3" s="3"/>
      <c r="J3" s="3"/>
      <c r="K3" s="3"/>
      <c r="L3" s="3"/>
      <c r="M3" s="3"/>
    </row>
    <row r="4" spans="1:13" ht="15">
      <c r="A4" s="3"/>
      <c r="B4" s="268" t="s">
        <v>31</v>
      </c>
      <c r="C4" s="611" t="s">
        <v>211</v>
      </c>
      <c r="D4" s="612"/>
      <c r="E4" s="628" t="s">
        <v>17</v>
      </c>
      <c r="F4" s="628"/>
      <c r="G4" s="611" t="s">
        <v>426</v>
      </c>
      <c r="H4" s="622"/>
      <c r="I4" s="622"/>
      <c r="J4" s="612"/>
      <c r="K4" s="3"/>
      <c r="L4" s="3"/>
      <c r="M4" s="3"/>
    </row>
    <row r="5" spans="1:13" ht="3" customHeight="1">
      <c r="A5" s="3"/>
      <c r="B5" s="268"/>
      <c r="C5" s="3"/>
      <c r="D5" s="3"/>
      <c r="E5" s="271"/>
      <c r="F5" s="271"/>
      <c r="G5" s="3"/>
      <c r="H5" s="3"/>
      <c r="I5" s="3"/>
      <c r="J5" s="3"/>
      <c r="K5" s="3"/>
      <c r="L5" s="3"/>
      <c r="M5" s="3"/>
    </row>
    <row r="6" spans="1:13" ht="15">
      <c r="A6" s="3"/>
      <c r="B6" s="268" t="s">
        <v>121</v>
      </c>
      <c r="C6" s="611" t="s">
        <v>457</v>
      </c>
      <c r="D6" s="612"/>
      <c r="E6" s="628" t="s">
        <v>32</v>
      </c>
      <c r="F6" s="628"/>
      <c r="G6" s="298" t="s">
        <v>33</v>
      </c>
      <c r="H6" s="268" t="s">
        <v>325</v>
      </c>
      <c r="I6" s="619" t="s">
        <v>458</v>
      </c>
      <c r="J6" s="620"/>
      <c r="K6" s="3"/>
      <c r="L6" s="3"/>
      <c r="M6" s="3"/>
    </row>
    <row r="7" spans="1:13" ht="3" customHeight="1">
      <c r="A7" s="3"/>
      <c r="B7" s="268"/>
      <c r="C7" s="3"/>
      <c r="D7" s="3"/>
      <c r="E7" s="271"/>
      <c r="F7" s="271"/>
      <c r="G7" s="3"/>
      <c r="H7" s="268"/>
      <c r="I7" s="3"/>
      <c r="J7" s="3"/>
      <c r="K7" s="3"/>
      <c r="L7" s="3"/>
      <c r="M7" s="3"/>
    </row>
    <row r="8" spans="1:13" ht="15">
      <c r="A8" s="3"/>
      <c r="B8" s="268" t="s">
        <v>273</v>
      </c>
      <c r="C8" s="611" t="s">
        <v>419</v>
      </c>
      <c r="D8" s="612"/>
      <c r="E8" s="272"/>
      <c r="F8" s="267" t="s">
        <v>327</v>
      </c>
      <c r="G8" s="436" t="s">
        <v>427</v>
      </c>
      <c r="H8" s="267" t="s">
        <v>326</v>
      </c>
      <c r="I8" s="611" t="s">
        <v>484</v>
      </c>
      <c r="J8" s="612"/>
      <c r="K8" s="3"/>
      <c r="L8" s="3"/>
      <c r="M8" s="3"/>
    </row>
    <row r="9" spans="1:13" ht="3" customHeight="1">
      <c r="A9" s="3"/>
      <c r="B9" s="271"/>
      <c r="C9" s="3"/>
      <c r="D9" s="3"/>
      <c r="E9" s="271"/>
      <c r="F9" s="271"/>
      <c r="G9" s="3"/>
      <c r="H9" s="3"/>
      <c r="I9" s="3"/>
      <c r="J9" s="3"/>
      <c r="K9" s="3"/>
      <c r="L9" s="3"/>
      <c r="M9" s="3"/>
    </row>
    <row r="10" spans="1:13" ht="15">
      <c r="A10" s="3"/>
      <c r="B10" s="268" t="s">
        <v>408</v>
      </c>
      <c r="C10" s="626" t="s">
        <v>420</v>
      </c>
      <c r="D10" s="627"/>
      <c r="E10" s="625" t="s">
        <v>36</v>
      </c>
      <c r="F10" s="624"/>
      <c r="G10" s="611" t="s">
        <v>62</v>
      </c>
      <c r="H10" s="622"/>
      <c r="I10" s="622"/>
      <c r="J10" s="612"/>
      <c r="K10" s="3"/>
      <c r="L10" s="3"/>
      <c r="M10" s="3"/>
    </row>
    <row r="11" spans="1:13" ht="5.25" customHeight="1">
      <c r="A11" s="3"/>
      <c r="B11" s="3"/>
      <c r="C11" s="3"/>
      <c r="D11" s="3"/>
      <c r="E11" s="3"/>
      <c r="F11" s="3"/>
      <c r="G11" s="3"/>
      <c r="H11" s="3"/>
      <c r="I11" s="3"/>
      <c r="J11" s="3"/>
      <c r="K11" s="3"/>
      <c r="L11" s="3"/>
      <c r="M11" s="3"/>
    </row>
    <row r="12" spans="1:13" ht="15" customHeight="1">
      <c r="A12" s="3"/>
      <c r="B12" s="268" t="s">
        <v>34</v>
      </c>
      <c r="C12" s="600" t="s">
        <v>50</v>
      </c>
      <c r="D12" s="600"/>
      <c r="E12" s="625" t="s">
        <v>294</v>
      </c>
      <c r="F12" s="628"/>
      <c r="G12" s="621" t="s">
        <v>428</v>
      </c>
      <c r="H12" s="621"/>
      <c r="I12" s="621"/>
      <c r="J12" s="621"/>
      <c r="K12" s="3"/>
      <c r="L12" s="3"/>
      <c r="M12" s="3"/>
    </row>
    <row r="13" spans="1:13" ht="5.25" customHeight="1">
      <c r="A13" s="3"/>
      <c r="B13" s="3"/>
      <c r="C13" s="3"/>
      <c r="D13" s="3"/>
      <c r="E13" s="3"/>
      <c r="F13" s="3"/>
      <c r="G13" s="3"/>
      <c r="H13" s="3"/>
      <c r="I13" s="3"/>
      <c r="J13" s="3"/>
      <c r="K13" s="3"/>
      <c r="L13" s="3"/>
      <c r="M13" s="3"/>
    </row>
    <row r="14" spans="1:13" ht="15.75" customHeight="1">
      <c r="A14" s="3"/>
      <c r="B14" s="613" t="s">
        <v>7</v>
      </c>
      <c r="C14" s="613"/>
      <c r="D14" s="613"/>
      <c r="E14" s="613"/>
      <c r="F14" s="613"/>
      <c r="G14" s="613"/>
      <c r="H14" s="613"/>
      <c r="I14" s="613"/>
      <c r="J14" s="613"/>
      <c r="K14" s="3"/>
      <c r="L14" s="3"/>
      <c r="M14" s="3"/>
    </row>
    <row r="15" spans="1:13" ht="3" customHeight="1">
      <c r="A15" s="3"/>
      <c r="B15" s="3"/>
      <c r="C15" s="3"/>
      <c r="D15" s="3"/>
      <c r="E15" s="3"/>
      <c r="F15" s="3"/>
      <c r="G15" s="3"/>
      <c r="H15" s="3"/>
      <c r="I15" s="3"/>
      <c r="J15" s="3"/>
      <c r="K15" s="3"/>
      <c r="L15" s="3"/>
      <c r="M15" s="3"/>
    </row>
    <row r="16" spans="1:13" ht="30">
      <c r="A16" s="3"/>
      <c r="B16" s="268" t="s">
        <v>26</v>
      </c>
      <c r="C16" s="472" t="s">
        <v>128</v>
      </c>
      <c r="D16" s="267" t="s">
        <v>328</v>
      </c>
      <c r="E16" s="273" t="s">
        <v>474</v>
      </c>
      <c r="F16" s="269" t="s">
        <v>13</v>
      </c>
      <c r="G16" s="273" t="s">
        <v>475</v>
      </c>
      <c r="H16" s="625" t="s">
        <v>329</v>
      </c>
      <c r="I16" s="624"/>
      <c r="J16" s="464" t="s">
        <v>487</v>
      </c>
      <c r="K16" s="3"/>
      <c r="L16" s="3"/>
      <c r="M16" s="3"/>
    </row>
    <row r="17" spans="1:13" ht="3" customHeight="1">
      <c r="A17" s="3"/>
      <c r="B17" s="3"/>
      <c r="C17" s="3"/>
      <c r="D17" s="3"/>
      <c r="E17" s="3"/>
      <c r="F17" s="3"/>
      <c r="G17" s="3"/>
      <c r="H17" s="3"/>
      <c r="I17" s="3"/>
      <c r="J17" s="3"/>
      <c r="K17" s="3"/>
      <c r="L17" s="3"/>
      <c r="M17" s="3"/>
    </row>
    <row r="18" spans="1:13" ht="15">
      <c r="A18" s="3"/>
      <c r="B18" s="623" t="s">
        <v>37</v>
      </c>
      <c r="C18" s="624"/>
      <c r="D18" s="601" t="s">
        <v>419</v>
      </c>
      <c r="E18" s="601"/>
      <c r="F18" s="601"/>
      <c r="G18" s="274"/>
      <c r="H18" s="274"/>
      <c r="I18" s="274"/>
      <c r="J18" s="274"/>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13" t="s">
        <v>366</v>
      </c>
      <c r="C21" s="613"/>
      <c r="D21" s="613"/>
      <c r="E21" s="613"/>
      <c r="F21" s="613"/>
      <c r="G21" s="613"/>
      <c r="H21" s="613"/>
      <c r="I21" s="613"/>
      <c r="J21" s="613"/>
      <c r="K21" s="3"/>
      <c r="L21" s="3"/>
      <c r="M21" s="3"/>
    </row>
    <row r="22" spans="1:13" ht="15">
      <c r="A22" s="3"/>
      <c r="B22" s="271" t="s">
        <v>8</v>
      </c>
      <c r="C22" s="3"/>
      <c r="D22" s="3"/>
      <c r="E22" s="275"/>
      <c r="F22" s="275"/>
      <c r="G22" s="3"/>
      <c r="H22" s="3"/>
      <c r="I22" s="275"/>
      <c r="J22" s="275"/>
      <c r="K22" s="3"/>
      <c r="L22" s="3"/>
      <c r="M22" s="3"/>
    </row>
    <row r="23" spans="1:13" ht="3" customHeight="1">
      <c r="A23" s="3"/>
      <c r="B23" s="3"/>
      <c r="C23" s="3"/>
      <c r="D23" s="3"/>
      <c r="E23" s="3"/>
      <c r="F23" s="3"/>
      <c r="G23" s="3"/>
      <c r="H23" s="3"/>
      <c r="I23" s="3"/>
      <c r="J23" s="3"/>
      <c r="K23" s="3"/>
      <c r="L23" s="3"/>
      <c r="M23" s="3"/>
    </row>
    <row r="24" spans="1:14" ht="15.75" thickBot="1">
      <c r="A24" s="3"/>
      <c r="B24" s="268" t="s">
        <v>403</v>
      </c>
      <c r="C24" s="368"/>
      <c r="D24" s="628" t="s">
        <v>404</v>
      </c>
      <c r="E24" s="628"/>
      <c r="F24" s="369"/>
      <c r="G24" s="628" t="s">
        <v>405</v>
      </c>
      <c r="H24" s="628"/>
      <c r="I24" s="617"/>
      <c r="J24" s="618"/>
      <c r="K24" s="3"/>
      <c r="L24" s="3"/>
      <c r="M24" s="3"/>
      <c r="N24" s="20"/>
    </row>
    <row r="25" spans="1:35" ht="19.5" thickBot="1">
      <c r="A25" s="3"/>
      <c r="B25" s="85" t="s">
        <v>403</v>
      </c>
      <c r="C25" s="86"/>
      <c r="D25" s="86"/>
      <c r="E25" s="86"/>
      <c r="F25" s="86"/>
      <c r="G25" s="86"/>
      <c r="H25" s="254"/>
      <c r="I25" s="87"/>
      <c r="J25" s="87"/>
      <c r="K25" s="254" t="s">
        <v>330</v>
      </c>
      <c r="L25" s="86"/>
      <c r="M25" s="86"/>
      <c r="N25" s="381"/>
      <c r="O25" s="40"/>
      <c r="AI25" s="42"/>
    </row>
    <row r="26" spans="1:35" ht="15">
      <c r="A26" s="3"/>
      <c r="B26" s="606" t="s">
        <v>374</v>
      </c>
      <c r="C26" s="607"/>
      <c r="D26" s="393" t="s">
        <v>19</v>
      </c>
      <c r="E26" s="89"/>
      <c r="F26" s="89"/>
      <c r="G26" s="89"/>
      <c r="H26" s="89"/>
      <c r="I26" s="89"/>
      <c r="J26" s="90"/>
      <c r="K26" s="89"/>
      <c r="L26" s="89"/>
      <c r="M26" s="89"/>
      <c r="N26" s="40"/>
      <c r="O26" s="40"/>
      <c r="AI26" s="42"/>
    </row>
    <row r="27" spans="1:35" ht="18.75">
      <c r="A27" s="3"/>
      <c r="B27" s="88" t="s">
        <v>384</v>
      </c>
      <c r="C27" s="89"/>
      <c r="D27" s="89"/>
      <c r="E27" s="89"/>
      <c r="F27" s="89"/>
      <c r="G27" s="89"/>
      <c r="H27" s="89"/>
      <c r="I27" s="89"/>
      <c r="J27" s="90"/>
      <c r="K27" s="89"/>
      <c r="L27" s="89"/>
      <c r="M27" s="89"/>
      <c r="N27" s="40"/>
      <c r="O27" s="40"/>
      <c r="AI27" s="42"/>
    </row>
    <row r="28" spans="1:13" ht="15.75" thickBot="1">
      <c r="A28" s="3"/>
      <c r="B28" s="3"/>
      <c r="C28" s="3"/>
      <c r="D28" s="3"/>
      <c r="E28" s="3"/>
      <c r="F28" s="3"/>
      <c r="G28" s="3"/>
      <c r="H28" s="3"/>
      <c r="I28" s="3"/>
      <c r="J28" s="3"/>
      <c r="K28" s="3"/>
      <c r="L28" s="3"/>
      <c r="M28" s="3"/>
    </row>
    <row r="29" spans="1:19" ht="15.75" thickBot="1">
      <c r="A29" s="3"/>
      <c r="B29" s="638" t="s">
        <v>65</v>
      </c>
      <c r="C29" s="639"/>
      <c r="D29" s="639"/>
      <c r="E29" s="639"/>
      <c r="F29" s="639"/>
      <c r="G29" s="639"/>
      <c r="H29" s="639"/>
      <c r="I29" s="639"/>
      <c r="J29" s="639"/>
      <c r="K29" s="639"/>
      <c r="L29" s="639"/>
      <c r="M29" s="639"/>
      <c r="N29" s="640"/>
      <c r="P29" s="203"/>
      <c r="Q29" s="204"/>
      <c r="R29" s="205">
        <f>+C33</f>
        <v>0</v>
      </c>
      <c r="S29" s="203"/>
    </row>
    <row r="30" spans="1:19" ht="38.25">
      <c r="A30" s="3"/>
      <c r="B30" s="91" t="s">
        <v>272</v>
      </c>
      <c r="C30" s="347"/>
      <c r="D30" s="347"/>
      <c r="E30" s="347"/>
      <c r="F30" s="463" t="s">
        <v>463</v>
      </c>
      <c r="G30" s="347" t="s">
        <v>461</v>
      </c>
      <c r="H30" s="347" t="s">
        <v>462</v>
      </c>
      <c r="I30" s="347" t="s">
        <v>478</v>
      </c>
      <c r="J30" s="347" t="s">
        <v>479</v>
      </c>
      <c r="K30" s="347"/>
      <c r="L30" s="347"/>
      <c r="M30" s="347"/>
      <c r="N30" s="348"/>
      <c r="O30" s="349" t="s">
        <v>9</v>
      </c>
      <c r="P30" s="203"/>
      <c r="Q30" s="204"/>
      <c r="R30" s="205">
        <f>+D33</f>
        <v>0</v>
      </c>
      <c r="S30" s="203"/>
    </row>
    <row r="31" spans="1:19" ht="15" customHeight="1">
      <c r="A31" s="3"/>
      <c r="B31" s="264" t="str">
        <f>CONCATENATE("Budget (in ",'Data Entry'!$D$26,")")</f>
        <v>Budget (in €)</v>
      </c>
      <c r="C31" s="359"/>
      <c r="D31" s="358"/>
      <c r="E31" s="358"/>
      <c r="F31" s="461">
        <v>8116137</v>
      </c>
      <c r="G31" s="461">
        <v>470112.82</v>
      </c>
      <c r="H31" s="461">
        <v>506932.17</v>
      </c>
      <c r="I31" s="358">
        <v>498482.07</v>
      </c>
      <c r="J31" s="358">
        <v>511009.03</v>
      </c>
      <c r="K31" s="358"/>
      <c r="L31" s="358"/>
      <c r="M31" s="358"/>
      <c r="N31" s="358"/>
      <c r="O31" s="586">
        <f>J34/J33</f>
        <v>1.0458205284755977</v>
      </c>
      <c r="P31" s="203"/>
      <c r="Q31" s="204"/>
      <c r="R31" s="205">
        <f>+E33</f>
        <v>0</v>
      </c>
      <c r="S31" s="203"/>
    </row>
    <row r="32" spans="1:19" ht="15" customHeight="1">
      <c r="A32" s="3"/>
      <c r="B32" s="91" t="str">
        <f>CONCATENATE("Disbursements by GF (in ",$D$26,")")</f>
        <v>Disbursements by GF (in €)</v>
      </c>
      <c r="C32" s="359"/>
      <c r="D32" s="359"/>
      <c r="E32" s="359"/>
      <c r="F32" s="462">
        <v>8116137</v>
      </c>
      <c r="G32" s="461">
        <v>2449445.91</v>
      </c>
      <c r="H32" s="461"/>
      <c r="I32" s="358"/>
      <c r="J32" s="358"/>
      <c r="K32" s="358"/>
      <c r="L32" s="358"/>
      <c r="M32" s="358"/>
      <c r="N32" s="358"/>
      <c r="O32" s="587"/>
      <c r="P32" s="203"/>
      <c r="Q32" s="204"/>
      <c r="R32" s="205">
        <f>+F33</f>
        <v>8116137</v>
      </c>
      <c r="S32" s="203"/>
    </row>
    <row r="33" spans="1:19" ht="15" customHeight="1">
      <c r="A33" s="3"/>
      <c r="B33" s="92" t="s">
        <v>390</v>
      </c>
      <c r="C33" s="360"/>
      <c r="D33" s="360"/>
      <c r="E33" s="360"/>
      <c r="F33" s="360">
        <f>IF(AND(F31=0,F32=0),0,+E33+F31)</f>
        <v>8116137</v>
      </c>
      <c r="G33" s="360">
        <f>IF(AND(G31=0,G32=0),0,+F33+G31)</f>
        <v>8586249.82</v>
      </c>
      <c r="H33" s="360">
        <f>IF(AND(H31=0,H32=0),0,+G33+H31)</f>
        <v>9093181.99</v>
      </c>
      <c r="I33" s="360">
        <f>IF(AND(I31=0,I32=0),0,+H33+I31)</f>
        <v>9591664.06</v>
      </c>
      <c r="J33" s="360">
        <f>IF(AND(J31=0,J32=0),0,+I33+J31)</f>
        <v>10102673.09</v>
      </c>
      <c r="K33" s="360"/>
      <c r="L33" s="360"/>
      <c r="M33" s="360"/>
      <c r="N33" s="360"/>
      <c r="O33" s="587"/>
      <c r="P33" s="346"/>
      <c r="Q33" s="204"/>
      <c r="R33" s="205">
        <f>+G33</f>
        <v>8586249.82</v>
      </c>
      <c r="S33" s="203"/>
    </row>
    <row r="34" spans="1:19" ht="15.75" customHeight="1" thickBot="1">
      <c r="A34" s="3"/>
      <c r="B34" s="93" t="s">
        <v>391</v>
      </c>
      <c r="C34" s="361"/>
      <c r="D34" s="361"/>
      <c r="E34" s="361"/>
      <c r="F34" s="361">
        <f>IF(AND(F31=0,F32=0),0,+E34+F32)</f>
        <v>8116137</v>
      </c>
      <c r="G34" s="361">
        <f>IF(AND(G31=0,G32=0),0,+F34+G32)</f>
        <v>10565582.91</v>
      </c>
      <c r="H34" s="361">
        <f>IF(AND(H31=0,H32=0),0,+G34+H32)</f>
        <v>10565582.91</v>
      </c>
      <c r="I34" s="361">
        <f>IF(AND(I31=0,I32=0),0,+H34+I32)</f>
        <v>10565582.91</v>
      </c>
      <c r="J34" s="361">
        <f>IF(AND(J31=0,J32=0),0,+I34+J32)</f>
        <v>10565582.91</v>
      </c>
      <c r="K34" s="361"/>
      <c r="L34" s="361"/>
      <c r="M34" s="361"/>
      <c r="N34" s="361"/>
      <c r="O34" s="588"/>
      <c r="P34" s="346"/>
      <c r="Q34" s="204"/>
      <c r="R34" s="205">
        <f>+H33</f>
        <v>9093181.99</v>
      </c>
      <c r="S34" s="203"/>
    </row>
    <row r="35" spans="1:19" ht="15">
      <c r="A35" s="3"/>
      <c r="B35" s="3"/>
      <c r="C35" s="324">
        <f aca="true" t="shared" si="0" ref="C35:N35">+IF(AND(C30=$C$16,C33&lt;&gt;0),C34/C33,0)</f>
        <v>0</v>
      </c>
      <c r="D35" s="324">
        <f t="shared" si="0"/>
        <v>0</v>
      </c>
      <c r="E35" s="324">
        <f t="shared" si="0"/>
        <v>0</v>
      </c>
      <c r="F35" s="324">
        <f t="shared" si="0"/>
        <v>0</v>
      </c>
      <c r="G35" s="324">
        <f t="shared" si="0"/>
        <v>0</v>
      </c>
      <c r="H35" s="324">
        <f t="shared" si="0"/>
        <v>0</v>
      </c>
      <c r="I35" s="324">
        <f t="shared" si="0"/>
        <v>0</v>
      </c>
      <c r="J35" s="324">
        <f t="shared" si="0"/>
        <v>0</v>
      </c>
      <c r="K35" s="324">
        <f t="shared" si="0"/>
        <v>0</v>
      </c>
      <c r="L35" s="324" t="s">
        <v>486</v>
      </c>
      <c r="M35" s="324">
        <f t="shared" si="0"/>
        <v>0</v>
      </c>
      <c r="N35" s="324">
        <f t="shared" si="0"/>
        <v>0</v>
      </c>
      <c r="O35" s="276"/>
      <c r="P35" s="206"/>
      <c r="Q35" s="207"/>
      <c r="R35" s="205">
        <f>+I33</f>
        <v>9591664.06</v>
      </c>
      <c r="S35" s="203"/>
    </row>
    <row r="36" spans="1:35" ht="18.75">
      <c r="A36" s="3"/>
      <c r="B36" s="88" t="s">
        <v>383</v>
      </c>
      <c r="C36" s="3"/>
      <c r="D36" s="3"/>
      <c r="E36" s="337"/>
      <c r="F36" s="3"/>
      <c r="G36" s="251"/>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370" t="s">
        <v>407</v>
      </c>
      <c r="C38" s="371" t="str">
        <f>CONCATENATE("Cumulative Budget (in ",'Data Entry'!$D$26,")")</f>
        <v>Cumulative Budget (in €)</v>
      </c>
      <c r="D38" s="372" t="str">
        <f>CONCATENATE("Cumulative Expenditures (in ",'Data Entry'!$D$26,")")</f>
        <v>Cumulative Expenditures (in €)</v>
      </c>
      <c r="E38" s="260"/>
      <c r="F38" s="278"/>
      <c r="G38" s="3"/>
      <c r="H38" s="3"/>
      <c r="I38" s="3"/>
      <c r="J38" s="99"/>
      <c r="K38" s="20"/>
      <c r="N38"/>
      <c r="O38"/>
      <c r="AE38" s="20"/>
      <c r="AF38" s="36"/>
    </row>
    <row r="39" spans="1:36" s="479" customFormat="1" ht="30.75" customHeight="1">
      <c r="A39" s="473"/>
      <c r="B39" s="484" t="s">
        <v>482</v>
      </c>
      <c r="C39" s="485">
        <v>1132167.45</v>
      </c>
      <c r="D39" s="486">
        <v>1123553.7092174103</v>
      </c>
      <c r="E39" s="487"/>
      <c r="F39" s="474"/>
      <c r="G39" s="475"/>
      <c r="H39" s="473"/>
      <c r="I39" s="473"/>
      <c r="J39" s="476"/>
      <c r="K39" s="477"/>
      <c r="L39" s="478"/>
      <c r="AE39" s="477"/>
      <c r="AF39" s="480"/>
      <c r="AH39" s="480"/>
      <c r="AI39" s="480"/>
      <c r="AJ39" s="480"/>
    </row>
    <row r="40" spans="1:36" s="479" customFormat="1" ht="30.75" customHeight="1">
      <c r="A40" s="473"/>
      <c r="B40" s="484" t="s">
        <v>480</v>
      </c>
      <c r="C40" s="485">
        <v>6446522.9399999995</v>
      </c>
      <c r="D40" s="486">
        <v>6478562.516014309</v>
      </c>
      <c r="E40" s="487"/>
      <c r="F40" s="474"/>
      <c r="G40" s="473"/>
      <c r="H40" s="473"/>
      <c r="I40" s="473"/>
      <c r="J40" s="473"/>
      <c r="K40" s="477"/>
      <c r="L40" s="478"/>
      <c r="AE40" s="477"/>
      <c r="AF40" s="480"/>
      <c r="AH40" s="480"/>
      <c r="AI40" s="480"/>
      <c r="AJ40" s="480"/>
    </row>
    <row r="41" spans="1:36" s="479" customFormat="1" ht="30.75" customHeight="1">
      <c r="A41" s="473"/>
      <c r="B41" s="484" t="s">
        <v>481</v>
      </c>
      <c r="C41" s="485">
        <v>959092.28</v>
      </c>
      <c r="D41" s="486">
        <v>937070.4439617404</v>
      </c>
      <c r="E41" s="488"/>
      <c r="F41" s="483"/>
      <c r="G41" s="475"/>
      <c r="H41" s="473"/>
      <c r="I41" s="473"/>
      <c r="J41" s="473"/>
      <c r="K41" s="477"/>
      <c r="L41" s="478"/>
      <c r="AE41" s="477"/>
      <c r="AF41" s="480"/>
      <c r="AH41" s="480"/>
      <c r="AI41" s="480"/>
      <c r="AJ41" s="480"/>
    </row>
    <row r="42" spans="1:36" s="479" customFormat="1" ht="30.75" customHeight="1" thickBot="1">
      <c r="A42" s="473"/>
      <c r="B42" s="484" t="s">
        <v>1</v>
      </c>
      <c r="C42" s="485">
        <v>1564890.42</v>
      </c>
      <c r="D42" s="486">
        <v>1620362.05906728</v>
      </c>
      <c r="E42" s="488"/>
      <c r="F42" s="481"/>
      <c r="G42" s="473"/>
      <c r="H42" s="473"/>
      <c r="I42" s="473"/>
      <c r="J42" s="473"/>
      <c r="K42" s="477"/>
      <c r="AE42" s="477"/>
      <c r="AF42" s="480"/>
      <c r="AH42" s="480"/>
      <c r="AI42" s="480"/>
      <c r="AJ42" s="480"/>
    </row>
    <row r="43" spans="1:32" ht="15.75" thickBot="1">
      <c r="A43" s="3"/>
      <c r="B43" s="373" t="s">
        <v>64</v>
      </c>
      <c r="C43" s="460">
        <f>SUM(C39:C42)</f>
        <v>10102673.09</v>
      </c>
      <c r="D43" s="460">
        <f>SUM(D39:D42)</f>
        <v>10159548.72826074</v>
      </c>
      <c r="E43" s="276"/>
      <c r="F43" s="593" t="str">
        <f ca="1">+IF((ROUND(C43,0)=ROUND(OFFSET(B33,0,RIGHT('Data Entry'!$C$16,LEN('Data Entry'!$C$16)-1),1,1),0)),"OK: Data match","Warning: Data does not match")</f>
        <v>OK: Data match</v>
      </c>
      <c r="G43" s="594"/>
      <c r="H43" s="594"/>
      <c r="I43" s="595"/>
      <c r="J43" s="197"/>
      <c r="K43" s="197"/>
      <c r="L43" s="197"/>
      <c r="M43" s="206"/>
      <c r="N43" s="207"/>
      <c r="O43" s="205"/>
      <c r="P43" s="203"/>
      <c r="AE43" s="36"/>
      <c r="AF43" s="36"/>
    </row>
    <row r="44" spans="1:19" ht="15">
      <c r="A44" s="3"/>
      <c r="B44" s="3"/>
      <c r="C44" s="197"/>
      <c r="D44" s="197"/>
      <c r="E44" s="257"/>
      <c r="F44" s="197"/>
      <c r="G44" s="197"/>
      <c r="H44" s="197"/>
      <c r="I44" s="197"/>
      <c r="J44" s="197"/>
      <c r="K44" s="197"/>
      <c r="L44" s="197"/>
      <c r="M44" s="197"/>
      <c r="N44" s="197"/>
      <c r="O44" s="197"/>
      <c r="P44" s="206"/>
      <c r="Q44" s="207"/>
      <c r="R44" s="205"/>
      <c r="S44" s="203"/>
    </row>
    <row r="45" spans="1:19" ht="18.75">
      <c r="A45" s="3"/>
      <c r="B45" s="88" t="s">
        <v>382</v>
      </c>
      <c r="C45" s="3"/>
      <c r="D45" s="3"/>
      <c r="E45" s="3"/>
      <c r="F45" s="3"/>
      <c r="G45" s="3"/>
      <c r="H45" s="3"/>
      <c r="I45" s="3"/>
      <c r="J45" s="3"/>
      <c r="K45" s="3"/>
      <c r="L45" s="3"/>
      <c r="M45" s="3"/>
      <c r="P45" s="203"/>
      <c r="Q45" s="204"/>
      <c r="R45" s="205">
        <f>+J33</f>
        <v>10102673.09</v>
      </c>
      <c r="S45" s="203"/>
    </row>
    <row r="46" spans="1:19" ht="15.75" thickBot="1">
      <c r="A46" s="3"/>
      <c r="B46" s="3"/>
      <c r="C46" s="3"/>
      <c r="D46" s="3"/>
      <c r="E46" s="3"/>
      <c r="F46" s="3"/>
      <c r="G46" s="3"/>
      <c r="H46" s="3"/>
      <c r="I46" s="3"/>
      <c r="J46" s="3"/>
      <c r="K46" s="3"/>
      <c r="L46" s="3"/>
      <c r="M46" s="3"/>
      <c r="P46" s="203"/>
      <c r="Q46" s="204"/>
      <c r="R46" s="205">
        <f>+K33</f>
        <v>0</v>
      </c>
      <c r="S46" s="203"/>
    </row>
    <row r="47" spans="1:34" ht="35.25" customHeight="1">
      <c r="A47" s="3"/>
      <c r="B47" s="281"/>
      <c r="C47" s="282" t="s">
        <v>380</v>
      </c>
      <c r="D47" s="282" t="s">
        <v>381</v>
      </c>
      <c r="E47" s="387" t="str">
        <f>CONCATENATE("Total Spent and Disbursement (in ",D26,")")</f>
        <v>Total Spent and Disbursement (in €)</v>
      </c>
      <c r="F47" s="3"/>
      <c r="G47" s="285"/>
      <c r="H47" s="278"/>
      <c r="I47" s="265"/>
      <c r="J47" s="265"/>
      <c r="K47" s="265"/>
      <c r="L47" s="265"/>
      <c r="M47" s="22"/>
      <c r="N47" s="22"/>
      <c r="O47" s="203"/>
      <c r="P47" s="204"/>
      <c r="Q47" s="205">
        <f>+M33</f>
        <v>0</v>
      </c>
      <c r="R47" s="203"/>
      <c r="AH47" s="20"/>
    </row>
    <row r="48" spans="1:34" ht="15">
      <c r="A48" s="3"/>
      <c r="B48" s="279" t="s">
        <v>315</v>
      </c>
      <c r="C48" s="362">
        <v>10565582.91</v>
      </c>
      <c r="D48" s="363"/>
      <c r="E48" s="364">
        <f>C48+D48</f>
        <v>10565582.91</v>
      </c>
      <c r="F48" s="3"/>
      <c r="G48" s="95"/>
      <c r="H48" s="283"/>
      <c r="I48" s="94"/>
      <c r="J48" s="200"/>
      <c r="K48" s="201"/>
      <c r="L48" s="96"/>
      <c r="M48" s="37"/>
      <c r="N48" s="37"/>
      <c r="O48" s="203"/>
      <c r="P48" s="203"/>
      <c r="Q48" s="203"/>
      <c r="R48" s="203"/>
      <c r="AH48" s="20"/>
    </row>
    <row r="49" spans="1:34" ht="15">
      <c r="A49" s="3"/>
      <c r="B49" s="279" t="s">
        <v>295</v>
      </c>
      <c r="C49" s="362">
        <v>9166901.1</v>
      </c>
      <c r="D49" s="362">
        <v>992657.25</v>
      </c>
      <c r="E49" s="364">
        <f>C49+D49</f>
        <v>10159558.35</v>
      </c>
      <c r="F49" s="197"/>
      <c r="G49" s="246"/>
      <c r="H49" s="283"/>
      <c r="I49" s="94"/>
      <c r="J49" s="200"/>
      <c r="K49" s="200"/>
      <c r="L49" s="96"/>
      <c r="M49" s="38"/>
      <c r="N49" s="38"/>
      <c r="O49" s="203"/>
      <c r="P49" s="203"/>
      <c r="Q49" s="203"/>
      <c r="R49" s="203"/>
      <c r="AH49" s="20"/>
    </row>
    <row r="50" spans="1:34" ht="15">
      <c r="A50" s="3"/>
      <c r="B50" s="279" t="s">
        <v>274</v>
      </c>
      <c r="C50" s="362">
        <v>5465034.68</v>
      </c>
      <c r="D50" s="362">
        <v>489889</v>
      </c>
      <c r="E50" s="364">
        <f>C50+D50</f>
        <v>5954923.68</v>
      </c>
      <c r="F50" s="197"/>
      <c r="G50" s="95"/>
      <c r="H50" s="283"/>
      <c r="I50" s="94"/>
      <c r="J50" s="200"/>
      <c r="K50" s="201"/>
      <c r="L50" s="96"/>
      <c r="M50" s="37"/>
      <c r="N50" s="37"/>
      <c r="O50"/>
      <c r="AH50" s="20"/>
    </row>
    <row r="51" spans="1:34" ht="15.75" thickBot="1">
      <c r="A51" s="3"/>
      <c r="B51" s="280" t="s">
        <v>275</v>
      </c>
      <c r="C51" s="365">
        <v>5419427.21</v>
      </c>
      <c r="D51" s="365">
        <v>479098</v>
      </c>
      <c r="E51" s="364">
        <f>C51+D51</f>
        <v>5898525.21</v>
      </c>
      <c r="F51" s="197"/>
      <c r="G51" s="247"/>
      <c r="H51" s="284"/>
      <c r="I51" s="97"/>
      <c r="J51" s="97"/>
      <c r="K51" s="97"/>
      <c r="L51" s="96"/>
      <c r="M51" s="38"/>
      <c r="N51" s="38"/>
      <c r="O51"/>
      <c r="AH51" s="20"/>
    </row>
    <row r="52" spans="1:35" ht="15.75" customHeight="1">
      <c r="A52" s="3"/>
      <c r="B52" s="3"/>
      <c r="C52" s="3"/>
      <c r="D52" s="3"/>
      <c r="E52" s="3"/>
      <c r="F52" s="3"/>
      <c r="G52" s="3"/>
      <c r="H52" s="3"/>
      <c r="I52" s="3"/>
      <c r="J52" s="3"/>
      <c r="K52" s="3"/>
      <c r="L52" s="3"/>
      <c r="M52" s="3"/>
      <c r="AI52" s="20"/>
    </row>
    <row r="53" spans="1:13" ht="15">
      <c r="A53" s="3"/>
      <c r="B53" s="3"/>
      <c r="C53" s="3"/>
      <c r="D53" s="263"/>
      <c r="E53" s="3"/>
      <c r="F53" s="3"/>
      <c r="G53" s="3"/>
      <c r="H53" s="3"/>
      <c r="I53" s="3"/>
      <c r="J53" s="3"/>
      <c r="K53" s="3"/>
      <c r="L53" s="3"/>
      <c r="M53" s="3"/>
    </row>
    <row r="54" spans="1:13" ht="18.75">
      <c r="A54" s="3"/>
      <c r="B54" s="88" t="s">
        <v>385</v>
      </c>
      <c r="C54" s="3"/>
      <c r="D54" s="3"/>
      <c r="E54" s="3"/>
      <c r="F54" s="3"/>
      <c r="G54" s="3"/>
      <c r="H54" s="3"/>
      <c r="I54" s="3"/>
      <c r="J54" s="3"/>
      <c r="K54" s="3"/>
      <c r="L54" s="3"/>
      <c r="M54" s="3"/>
    </row>
    <row r="55" spans="1:13" ht="15.75" thickBot="1">
      <c r="A55" s="3"/>
      <c r="B55" s="3"/>
      <c r="C55" s="3"/>
      <c r="D55" s="3"/>
      <c r="E55" s="3"/>
      <c r="F55" s="3"/>
      <c r="G55" s="3"/>
      <c r="H55" s="3"/>
      <c r="I55" s="3"/>
      <c r="J55" s="3"/>
      <c r="K55" s="3"/>
      <c r="L55" s="3"/>
      <c r="M55" s="3"/>
    </row>
    <row r="56" spans="1:15" ht="15">
      <c r="A56" s="3"/>
      <c r="B56" s="641" t="s">
        <v>350</v>
      </c>
      <c r="C56" s="642"/>
      <c r="D56" s="643"/>
      <c r="E56" s="3"/>
      <c r="F56" s="3"/>
      <c r="G56" s="3"/>
      <c r="H56" s="3"/>
      <c r="I56" s="3"/>
      <c r="J56" s="3"/>
      <c r="K56" s="3"/>
      <c r="L56" s="3"/>
      <c r="M56" s="36"/>
      <c r="O56"/>
    </row>
    <row r="57" spans="1:15" ht="15">
      <c r="A57" s="3"/>
      <c r="B57" s="101"/>
      <c r="C57" s="286" t="s">
        <v>66</v>
      </c>
      <c r="D57" s="287" t="s">
        <v>67</v>
      </c>
      <c r="E57" s="3"/>
      <c r="F57" s="3"/>
      <c r="G57" s="3"/>
      <c r="H57" s="3"/>
      <c r="I57" s="3"/>
      <c r="J57" s="3"/>
      <c r="K57" s="3"/>
      <c r="L57" s="3"/>
      <c r="M57" s="36"/>
      <c r="O57"/>
    </row>
    <row r="58" spans="1:15" ht="15">
      <c r="A58" s="3"/>
      <c r="B58" s="469" t="s">
        <v>6</v>
      </c>
      <c r="C58" s="437">
        <v>45</v>
      </c>
      <c r="D58" s="459">
        <v>42</v>
      </c>
      <c r="E58" s="3"/>
      <c r="F58" s="3"/>
      <c r="G58" s="3"/>
      <c r="H58" s="3"/>
      <c r="I58" s="3"/>
      <c r="J58" s="3"/>
      <c r="K58" s="3"/>
      <c r="L58" s="3"/>
      <c r="M58" s="36"/>
      <c r="O58"/>
    </row>
    <row r="59" spans="1:15" ht="15">
      <c r="A59" s="3"/>
      <c r="B59" s="470" t="s">
        <v>367</v>
      </c>
      <c r="C59" s="437">
        <v>45</v>
      </c>
      <c r="D59" s="459">
        <v>83</v>
      </c>
      <c r="E59" s="3"/>
      <c r="F59" s="3"/>
      <c r="G59" s="3"/>
      <c r="H59" s="283"/>
      <c r="I59" s="283"/>
      <c r="J59" s="3"/>
      <c r="K59" s="3"/>
      <c r="L59" s="3"/>
      <c r="M59" s="36"/>
      <c r="O59"/>
    </row>
    <row r="60" spans="1:15" ht="15.75" thickBot="1">
      <c r="A60" s="3"/>
      <c r="B60" s="471" t="s">
        <v>368</v>
      </c>
      <c r="C60" s="438">
        <v>20</v>
      </c>
      <c r="D60" s="439">
        <v>5</v>
      </c>
      <c r="E60" s="3"/>
      <c r="F60" s="3"/>
      <c r="G60" s="3"/>
      <c r="H60" s="283"/>
      <c r="I60" s="283"/>
      <c r="J60" s="3"/>
      <c r="K60" s="3"/>
      <c r="L60" s="3"/>
      <c r="M60" s="36"/>
      <c r="O60"/>
    </row>
    <row r="61" spans="1:13" ht="15">
      <c r="A61" s="3"/>
      <c r="B61" s="3"/>
      <c r="C61" s="3"/>
      <c r="D61" s="3"/>
      <c r="E61" s="3"/>
      <c r="F61" s="3"/>
      <c r="G61" s="3"/>
      <c r="H61" s="3"/>
      <c r="I61" s="3"/>
      <c r="J61" s="3"/>
      <c r="K61" s="3"/>
      <c r="L61" s="3"/>
      <c r="M61" s="3"/>
    </row>
    <row r="62" spans="1:30" ht="15.75" thickBot="1">
      <c r="A62" s="3"/>
      <c r="B62" s="3"/>
      <c r="C62" s="3"/>
      <c r="D62" s="3"/>
      <c r="E62" s="3"/>
      <c r="F62" s="3"/>
      <c r="G62" s="3"/>
      <c r="H62" s="3"/>
      <c r="I62" s="3"/>
      <c r="J62" s="3"/>
      <c r="K62" s="3"/>
      <c r="L62" s="383"/>
      <c r="M62" s="3"/>
      <c r="AC62" s="19"/>
      <c r="AD62" s="19"/>
    </row>
    <row r="63" spans="1:30" ht="19.5" thickBot="1">
      <c r="A63" s="3"/>
      <c r="B63" s="102" t="s">
        <v>268</v>
      </c>
      <c r="C63" s="103"/>
      <c r="D63" s="103"/>
      <c r="E63" s="103"/>
      <c r="F63" s="103"/>
      <c r="G63" s="103"/>
      <c r="H63" s="307" t="s">
        <v>308</v>
      </c>
      <c r="I63" s="103"/>
      <c r="J63" s="104"/>
      <c r="K63" s="104"/>
      <c r="L63" s="384"/>
      <c r="M63" s="385"/>
      <c r="N63" s="82"/>
      <c r="O63" s="82"/>
      <c r="P63" s="82"/>
      <c r="S63" s="42"/>
      <c r="AC63" s="19"/>
      <c r="AD63" s="19"/>
    </row>
    <row r="64" spans="1:30" ht="18.75">
      <c r="A64" s="3"/>
      <c r="B64" s="106"/>
      <c r="C64" s="105"/>
      <c r="D64" s="105"/>
      <c r="E64" s="105"/>
      <c r="F64" s="105"/>
      <c r="G64" s="105"/>
      <c r="H64" s="105"/>
      <c r="I64" s="105"/>
      <c r="J64" s="105"/>
      <c r="K64" s="107"/>
      <c r="L64" s="107"/>
      <c r="M64" s="105"/>
      <c r="N64" s="82"/>
      <c r="O64" s="82"/>
      <c r="P64" s="82"/>
      <c r="S64" s="42"/>
      <c r="AC64" s="19"/>
      <c r="AD64" s="19"/>
    </row>
    <row r="65" spans="1:30" ht="18.75">
      <c r="A65" s="3"/>
      <c r="B65" s="106" t="s">
        <v>386</v>
      </c>
      <c r="C65" s="105"/>
      <c r="D65" s="105"/>
      <c r="E65" s="105"/>
      <c r="F65" s="105"/>
      <c r="G65" s="105"/>
      <c r="H65" s="105"/>
      <c r="I65" s="105"/>
      <c r="J65" s="105"/>
      <c r="K65" s="107"/>
      <c r="L65" s="107"/>
      <c r="M65" s="105"/>
      <c r="N65" s="82"/>
      <c r="O65" s="82"/>
      <c r="P65" s="82"/>
      <c r="S65" s="42"/>
      <c r="AC65" s="19"/>
      <c r="AD65" s="19"/>
    </row>
    <row r="66" spans="1:30" ht="15.75" thickBot="1">
      <c r="A66" s="3"/>
      <c r="B66" s="2"/>
      <c r="C66" s="108"/>
      <c r="D66" s="108"/>
      <c r="E66" s="108"/>
      <c r="F66" s="108"/>
      <c r="G66" s="108"/>
      <c r="H66" s="2"/>
      <c r="I66" s="108"/>
      <c r="J66" s="2"/>
      <c r="K66" s="2"/>
      <c r="L66" s="2"/>
      <c r="M66" s="2"/>
      <c r="N66" s="20"/>
      <c r="O66" s="19"/>
      <c r="P66" s="19"/>
      <c r="Q66" s="19"/>
      <c r="R66" s="19"/>
      <c r="S66" s="19"/>
      <c r="AD66" s="19"/>
    </row>
    <row r="67" spans="1:19" ht="45">
      <c r="A67" s="3"/>
      <c r="B67" s="604"/>
      <c r="C67" s="605"/>
      <c r="D67" s="110" t="s">
        <v>122</v>
      </c>
      <c r="E67" s="111" t="s">
        <v>301</v>
      </c>
      <c r="F67" s="111" t="s">
        <v>123</v>
      </c>
      <c r="G67" s="112" t="s">
        <v>64</v>
      </c>
      <c r="H67" s="295"/>
      <c r="I67" s="296"/>
      <c r="J67" s="15"/>
      <c r="K67" s="2"/>
      <c r="L67" s="2"/>
      <c r="M67" s="2"/>
      <c r="N67" s="20"/>
      <c r="O67" s="19"/>
      <c r="P67" s="19"/>
      <c r="Q67" s="19"/>
      <c r="R67" s="19"/>
      <c r="S67" s="19"/>
    </row>
    <row r="68" spans="1:19" ht="15">
      <c r="A68" s="3"/>
      <c r="B68" s="635" t="s">
        <v>406</v>
      </c>
      <c r="C68" s="636"/>
      <c r="D68" s="249">
        <v>2</v>
      </c>
      <c r="E68" s="249"/>
      <c r="F68" s="249"/>
      <c r="G68" s="114">
        <f>SUM(D68:F68)</f>
        <v>2</v>
      </c>
      <c r="H68" s="277"/>
      <c r="I68" s="294"/>
      <c r="J68" s="294"/>
      <c r="K68" s="2"/>
      <c r="L68" s="2"/>
      <c r="M68" s="2"/>
      <c r="N68" s="20"/>
      <c r="O68" s="19"/>
      <c r="P68" s="19"/>
      <c r="Q68" s="19"/>
      <c r="R68" s="19"/>
      <c r="S68" s="19"/>
    </row>
    <row r="69" spans="1:19" ht="15.75" thickBot="1">
      <c r="A69" s="3"/>
      <c r="B69" s="629" t="s">
        <v>16</v>
      </c>
      <c r="C69" s="630"/>
      <c r="D69" s="250"/>
      <c r="E69" s="250"/>
      <c r="F69" s="250"/>
      <c r="G69" s="116">
        <f>SUM(D69:F69)</f>
        <v>0</v>
      </c>
      <c r="H69" s="277"/>
      <c r="I69" s="15"/>
      <c r="J69" s="15"/>
      <c r="K69" s="2"/>
      <c r="L69" s="2"/>
      <c r="M69" s="2"/>
      <c r="N69" s="19"/>
      <c r="O69" s="19"/>
      <c r="P69" s="19"/>
      <c r="Q69" s="19"/>
      <c r="R69" s="19"/>
      <c r="S69" s="19"/>
    </row>
    <row r="70" spans="1:19" ht="15">
      <c r="A70" s="3"/>
      <c r="B70" s="2"/>
      <c r="C70" s="2"/>
      <c r="D70" s="2"/>
      <c r="E70" s="2"/>
      <c r="F70" s="2"/>
      <c r="G70" s="2"/>
      <c r="H70" s="2"/>
      <c r="I70" s="2"/>
      <c r="J70" s="2"/>
      <c r="K70" s="2"/>
      <c r="L70" s="2"/>
      <c r="M70" s="2"/>
      <c r="N70" s="19"/>
      <c r="O70" s="19"/>
      <c r="P70" s="19"/>
      <c r="Q70" s="19"/>
      <c r="R70" s="19"/>
      <c r="S70" s="19"/>
    </row>
    <row r="71" spans="1:19" ht="15">
      <c r="A71" s="3"/>
      <c r="B71" s="2"/>
      <c r="C71" s="2"/>
      <c r="D71" s="2"/>
      <c r="E71" s="2"/>
      <c r="F71" s="2"/>
      <c r="G71" s="2"/>
      <c r="H71" s="2"/>
      <c r="I71" s="2"/>
      <c r="J71" s="2"/>
      <c r="K71" s="2"/>
      <c r="L71" s="2"/>
      <c r="M71" s="2"/>
      <c r="N71" s="19"/>
      <c r="O71" s="19"/>
      <c r="P71" s="19"/>
      <c r="S71" s="19"/>
    </row>
    <row r="72" spans="1:19" ht="18.75">
      <c r="A72" s="3"/>
      <c r="B72" s="106" t="s">
        <v>387</v>
      </c>
      <c r="C72" s="2"/>
      <c r="D72" s="2"/>
      <c r="E72" s="2"/>
      <c r="F72" s="2"/>
      <c r="G72" s="2"/>
      <c r="H72" s="2"/>
      <c r="I72" s="2"/>
      <c r="J72" s="2"/>
      <c r="K72" s="2"/>
      <c r="L72" s="2"/>
      <c r="M72" s="2"/>
      <c r="N72" s="19"/>
      <c r="O72" s="19"/>
      <c r="P72" s="19"/>
      <c r="S72" s="19"/>
    </row>
    <row r="73" spans="1:19" ht="15.75" thickBot="1">
      <c r="A73" s="3"/>
      <c r="B73" s="2"/>
      <c r="C73" s="2"/>
      <c r="D73" s="2"/>
      <c r="E73" s="2"/>
      <c r="F73" s="2"/>
      <c r="G73" s="2"/>
      <c r="H73" s="2"/>
      <c r="I73" s="2"/>
      <c r="J73" s="2"/>
      <c r="K73" s="2"/>
      <c r="L73" s="2"/>
      <c r="M73" s="2"/>
      <c r="N73" s="19"/>
      <c r="O73" s="19"/>
      <c r="P73" s="19"/>
      <c r="S73" s="19"/>
    </row>
    <row r="74" spans="1:19" ht="15">
      <c r="A74" s="3"/>
      <c r="B74" s="117"/>
      <c r="C74" s="482" t="s">
        <v>69</v>
      </c>
      <c r="D74" s="482" t="s">
        <v>87</v>
      </c>
      <c r="E74" s="118" t="s">
        <v>70</v>
      </c>
      <c r="F74" s="15"/>
      <c r="G74" s="15"/>
      <c r="H74" s="15"/>
      <c r="I74" s="296"/>
      <c r="J74" s="2"/>
      <c r="K74" s="2"/>
      <c r="L74" s="2"/>
      <c r="M74" s="2"/>
      <c r="N74" s="19"/>
      <c r="O74" s="19"/>
      <c r="P74" s="19"/>
      <c r="S74" s="19"/>
    </row>
    <row r="75" spans="1:19" ht="15.75" thickBot="1">
      <c r="A75" s="3"/>
      <c r="B75" s="119" t="s">
        <v>316</v>
      </c>
      <c r="C75" s="338">
        <v>14</v>
      </c>
      <c r="D75" s="338">
        <v>14</v>
      </c>
      <c r="E75" s="339">
        <f>+C75-D75</f>
        <v>0</v>
      </c>
      <c r="F75" s="253"/>
      <c r="G75" s="258"/>
      <c r="H75" s="15"/>
      <c r="I75" s="294"/>
      <c r="J75" s="2"/>
      <c r="K75" s="2"/>
      <c r="L75" s="2"/>
      <c r="M75" s="2"/>
      <c r="N75" s="19"/>
      <c r="O75" s="19"/>
      <c r="P75" s="19"/>
      <c r="S75" s="19"/>
    </row>
    <row r="76" spans="1:19" ht="15">
      <c r="A76" s="3"/>
      <c r="B76" s="2"/>
      <c r="C76" s="2"/>
      <c r="D76" s="2"/>
      <c r="E76" s="2"/>
      <c r="F76" s="2"/>
      <c r="G76" s="2"/>
      <c r="H76" s="2"/>
      <c r="I76" s="2"/>
      <c r="J76" s="2"/>
      <c r="K76" s="2"/>
      <c r="L76" s="2"/>
      <c r="M76" s="2"/>
      <c r="N76" s="19"/>
      <c r="O76" s="19"/>
      <c r="P76" s="19"/>
      <c r="S76" s="19"/>
    </row>
    <row r="77" spans="1:19" ht="18.75">
      <c r="A77" s="3"/>
      <c r="B77" s="106" t="s">
        <v>392</v>
      </c>
      <c r="C77" s="2"/>
      <c r="D77" s="2"/>
      <c r="E77" s="2"/>
      <c r="F77" s="2"/>
      <c r="G77" s="2"/>
      <c r="H77" s="2"/>
      <c r="I77" s="2"/>
      <c r="J77" s="2"/>
      <c r="K77" s="2"/>
      <c r="L77" s="2"/>
      <c r="M77" s="2"/>
      <c r="N77" s="19"/>
      <c r="O77" s="19"/>
      <c r="P77" s="19"/>
      <c r="S77" s="19"/>
    </row>
    <row r="78" spans="1:19" ht="15.75" thickBot="1">
      <c r="A78" s="3"/>
      <c r="B78" s="2"/>
      <c r="C78" s="2"/>
      <c r="D78" s="2"/>
      <c r="E78" s="2"/>
      <c r="F78" s="2"/>
      <c r="G78" s="2"/>
      <c r="H78" s="2"/>
      <c r="I78" s="2"/>
      <c r="J78" s="2"/>
      <c r="K78" s="2"/>
      <c r="L78" s="2"/>
      <c r="M78" s="2"/>
      <c r="N78" s="19"/>
      <c r="O78" s="19"/>
      <c r="P78" s="19"/>
      <c r="S78" s="19"/>
    </row>
    <row r="79" spans="1:19" ht="30">
      <c r="A79" s="3"/>
      <c r="B79" s="117"/>
      <c r="C79" s="109" t="s">
        <v>296</v>
      </c>
      <c r="D79" s="109" t="s">
        <v>73</v>
      </c>
      <c r="E79" s="109" t="s">
        <v>88</v>
      </c>
      <c r="F79" s="109" t="s">
        <v>74</v>
      </c>
      <c r="G79" s="145" t="s">
        <v>124</v>
      </c>
      <c r="H79" s="259"/>
      <c r="I79" s="296"/>
      <c r="J79" s="2"/>
      <c r="K79" s="2"/>
      <c r="L79" s="2"/>
      <c r="M79" s="2"/>
      <c r="N79" s="19"/>
      <c r="O79" s="19"/>
      <c r="P79" s="19"/>
      <c r="S79" s="19"/>
    </row>
    <row r="80" spans="1:19" ht="15.75" thickBot="1">
      <c r="A80" s="3"/>
      <c r="B80" s="119" t="s">
        <v>132</v>
      </c>
      <c r="C80" s="338">
        <v>4</v>
      </c>
      <c r="D80" s="338">
        <v>4</v>
      </c>
      <c r="E80" s="338">
        <v>4</v>
      </c>
      <c r="F80" s="338">
        <v>2</v>
      </c>
      <c r="G80" s="340">
        <v>2</v>
      </c>
      <c r="H80" s="297"/>
      <c r="I80" s="277"/>
      <c r="J80" s="2"/>
      <c r="K80" s="2"/>
      <c r="L80" s="2"/>
      <c r="M80" s="2"/>
      <c r="N80" s="19"/>
      <c r="O80" s="19"/>
      <c r="P80" s="19"/>
      <c r="S80" s="19"/>
    </row>
    <row r="81" spans="1:19" ht="15">
      <c r="A81" s="3"/>
      <c r="B81" s="2"/>
      <c r="C81" s="2"/>
      <c r="D81" s="2"/>
      <c r="E81" s="2"/>
      <c r="F81" s="2"/>
      <c r="G81" s="2"/>
      <c r="H81" s="2"/>
      <c r="J81" s="2"/>
      <c r="K81" s="2"/>
      <c r="L81" s="2"/>
      <c r="M81" s="2"/>
      <c r="N81" s="19"/>
      <c r="O81" s="19"/>
      <c r="P81" s="19"/>
      <c r="S81" s="19"/>
    </row>
    <row r="82" spans="1:19" ht="18.75">
      <c r="A82" s="3"/>
      <c r="B82" s="106" t="s">
        <v>388</v>
      </c>
      <c r="C82" s="2"/>
      <c r="D82" s="2"/>
      <c r="E82" s="2"/>
      <c r="F82" s="2"/>
      <c r="G82" s="2"/>
      <c r="H82" s="2"/>
      <c r="I82" s="2"/>
      <c r="J82" s="2"/>
      <c r="K82" s="2"/>
      <c r="L82" s="2"/>
      <c r="M82" s="2"/>
      <c r="N82" s="19"/>
      <c r="O82" s="19"/>
      <c r="P82" s="19"/>
      <c r="S82" s="19"/>
    </row>
    <row r="83" spans="1:19" ht="15.75" thickBot="1">
      <c r="A83" s="3"/>
      <c r="B83" s="2"/>
      <c r="C83" s="2"/>
      <c r="D83" s="2"/>
      <c r="E83" s="2"/>
      <c r="F83" s="2"/>
      <c r="G83" s="2"/>
      <c r="H83" s="2"/>
      <c r="I83" s="2"/>
      <c r="J83" s="2"/>
      <c r="K83" s="2"/>
      <c r="L83" s="2"/>
      <c r="M83" s="2"/>
      <c r="N83" s="19"/>
      <c r="O83" s="19"/>
      <c r="P83" s="19"/>
      <c r="S83" s="19"/>
    </row>
    <row r="84" spans="1:36" ht="15">
      <c r="A84" s="3"/>
      <c r="B84" s="117"/>
      <c r="C84" s="120" t="s">
        <v>71</v>
      </c>
      <c r="D84" s="120" t="s">
        <v>72</v>
      </c>
      <c r="E84" s="121" t="s">
        <v>293</v>
      </c>
      <c r="F84" s="2"/>
      <c r="G84" s="2"/>
      <c r="H84" s="2"/>
      <c r="I84" s="2"/>
      <c r="J84" s="19"/>
      <c r="K84" s="19"/>
      <c r="L84" s="19"/>
      <c r="N84"/>
      <c r="O84" s="19"/>
      <c r="AG84" s="36"/>
      <c r="AJ84"/>
    </row>
    <row r="85" spans="1:36" ht="15">
      <c r="A85" s="3"/>
      <c r="B85" s="113" t="s">
        <v>393</v>
      </c>
      <c r="C85" s="249">
        <v>19</v>
      </c>
      <c r="D85" s="491">
        <v>18</v>
      </c>
      <c r="E85" s="492">
        <f>C85-D85</f>
        <v>1</v>
      </c>
      <c r="F85" s="2"/>
      <c r="G85" s="2"/>
      <c r="H85" s="2"/>
      <c r="I85" s="2"/>
      <c r="J85" s="19"/>
      <c r="K85" s="19"/>
      <c r="L85" s="19"/>
      <c r="N85"/>
      <c r="O85" s="19"/>
      <c r="AG85" s="36"/>
      <c r="AJ85"/>
    </row>
    <row r="86" spans="1:36" ht="15.75" thickBot="1">
      <c r="A86" s="3"/>
      <c r="B86" s="115" t="s">
        <v>394</v>
      </c>
      <c r="C86" s="250">
        <v>2</v>
      </c>
      <c r="D86" s="489">
        <v>2</v>
      </c>
      <c r="E86" s="490">
        <f>C86-D86</f>
        <v>0</v>
      </c>
      <c r="F86" s="2"/>
      <c r="G86" s="2"/>
      <c r="H86" s="2"/>
      <c r="I86" s="2"/>
      <c r="J86" s="19"/>
      <c r="K86" s="19"/>
      <c r="L86" s="19"/>
      <c r="N86"/>
      <c r="O86" s="19"/>
      <c r="AG86" s="36"/>
      <c r="AJ86"/>
    </row>
    <row r="87" spans="1:19" ht="15">
      <c r="A87" s="3"/>
      <c r="B87" s="2"/>
      <c r="C87" s="2"/>
      <c r="D87" s="2"/>
      <c r="E87" s="2"/>
      <c r="F87" s="2"/>
      <c r="G87" s="2"/>
      <c r="H87" s="2"/>
      <c r="I87" s="2"/>
      <c r="J87" s="2"/>
      <c r="K87" s="2"/>
      <c r="L87" s="2"/>
      <c r="M87" s="2"/>
      <c r="N87" s="19"/>
      <c r="O87" s="19"/>
      <c r="P87" s="19"/>
      <c r="S87" s="19"/>
    </row>
    <row r="88" spans="1:19" ht="18.75">
      <c r="A88" s="3"/>
      <c r="B88" s="106" t="s">
        <v>395</v>
      </c>
      <c r="C88" s="2"/>
      <c r="D88" s="2"/>
      <c r="E88" s="2"/>
      <c r="F88" s="2"/>
      <c r="G88" s="2"/>
      <c r="H88" s="2"/>
      <c r="I88" s="2"/>
      <c r="J88" s="2"/>
      <c r="K88" s="2"/>
      <c r="L88" s="2"/>
      <c r="M88" s="2"/>
      <c r="N88" s="19"/>
      <c r="O88" s="19"/>
      <c r="P88" s="19"/>
      <c r="S88" s="19"/>
    </row>
    <row r="89" spans="1:19" ht="15.75" thickBot="1">
      <c r="A89" s="3"/>
      <c r="B89" s="2"/>
      <c r="C89" s="2"/>
      <c r="D89" s="2"/>
      <c r="E89" s="2"/>
      <c r="F89" s="2"/>
      <c r="G89" s="2"/>
      <c r="H89" s="2"/>
      <c r="I89" s="15"/>
      <c r="J89" s="15"/>
      <c r="K89" s="15"/>
      <c r="L89" s="15"/>
      <c r="M89" s="15"/>
      <c r="N89" s="20"/>
      <c r="O89" s="20"/>
      <c r="P89" s="20"/>
      <c r="S89" s="19"/>
    </row>
    <row r="90" spans="1:19" ht="15">
      <c r="A90" s="3"/>
      <c r="B90" s="215"/>
      <c r="C90" s="350" t="s">
        <v>110</v>
      </c>
      <c r="D90" s="350" t="s">
        <v>111</v>
      </c>
      <c r="E90" s="350" t="s">
        <v>112</v>
      </c>
      <c r="F90" s="350" t="s">
        <v>113</v>
      </c>
      <c r="G90" s="350" t="s">
        <v>125</v>
      </c>
      <c r="H90" s="350" t="s">
        <v>126</v>
      </c>
      <c r="I90" s="350" t="s">
        <v>127</v>
      </c>
      <c r="J90" s="350" t="s">
        <v>128</v>
      </c>
      <c r="K90" s="350" t="s">
        <v>129</v>
      </c>
      <c r="L90" s="350" t="s">
        <v>130</v>
      </c>
      <c r="M90" s="350" t="s">
        <v>131</v>
      </c>
      <c r="N90" s="351" t="s">
        <v>292</v>
      </c>
      <c r="O90" s="20"/>
      <c r="P90" s="20"/>
      <c r="S90" s="19"/>
    </row>
    <row r="91" spans="1:19" ht="15" customHeight="1">
      <c r="A91" s="3"/>
      <c r="B91" s="352" t="s">
        <v>372</v>
      </c>
      <c r="C91" s="341"/>
      <c r="D91" s="341"/>
      <c r="E91" s="341"/>
      <c r="F91" s="341"/>
      <c r="G91" s="341"/>
      <c r="H91" s="341"/>
      <c r="I91" s="341"/>
      <c r="J91" s="341"/>
      <c r="K91" s="341"/>
      <c r="L91" s="341"/>
      <c r="M91" s="341"/>
      <c r="N91" s="422"/>
      <c r="O91" s="20"/>
      <c r="P91" s="20"/>
      <c r="S91" s="19"/>
    </row>
    <row r="92" spans="1:19" ht="15" customHeight="1">
      <c r="A92" s="3"/>
      <c r="B92" s="352" t="s">
        <v>369</v>
      </c>
      <c r="C92" s="341"/>
      <c r="D92" s="341"/>
      <c r="E92" s="341"/>
      <c r="F92" s="341"/>
      <c r="G92" s="341"/>
      <c r="H92" s="341"/>
      <c r="I92" s="341"/>
      <c r="J92" s="341"/>
      <c r="K92" s="341"/>
      <c r="L92" s="341"/>
      <c r="M92" s="341"/>
      <c r="N92" s="422"/>
      <c r="O92" s="20"/>
      <c r="P92" s="20"/>
      <c r="S92" s="19"/>
    </row>
    <row r="93" spans="1:19" ht="15" customHeight="1">
      <c r="A93" s="3"/>
      <c r="B93" s="352" t="s">
        <v>317</v>
      </c>
      <c r="C93" s="341"/>
      <c r="D93" s="341"/>
      <c r="E93" s="341"/>
      <c r="F93" s="341"/>
      <c r="G93" s="341"/>
      <c r="H93" s="341"/>
      <c r="I93" s="341"/>
      <c r="J93" s="341"/>
      <c r="K93" s="341"/>
      <c r="L93" s="341"/>
      <c r="M93" s="341"/>
      <c r="N93" s="422"/>
      <c r="O93" s="20"/>
      <c r="P93" s="20"/>
      <c r="S93" s="19"/>
    </row>
    <row r="94" spans="1:19" ht="15" customHeight="1">
      <c r="A94" s="3"/>
      <c r="B94" s="299" t="s">
        <v>415</v>
      </c>
      <c r="C94" s="342">
        <f>+C91</f>
        <v>0</v>
      </c>
      <c r="D94" s="342">
        <f aca="true" t="shared" si="1" ref="D94:N94">+C94+D91</f>
        <v>0</v>
      </c>
      <c r="E94" s="342">
        <f>+D94+E91</f>
        <v>0</v>
      </c>
      <c r="F94" s="342">
        <f t="shared" si="1"/>
        <v>0</v>
      </c>
      <c r="G94" s="342">
        <f t="shared" si="1"/>
        <v>0</v>
      </c>
      <c r="H94" s="342">
        <f t="shared" si="1"/>
        <v>0</v>
      </c>
      <c r="I94" s="342">
        <f t="shared" si="1"/>
        <v>0</v>
      </c>
      <c r="J94" s="342">
        <f t="shared" si="1"/>
        <v>0</v>
      </c>
      <c r="K94" s="342">
        <f t="shared" si="1"/>
        <v>0</v>
      </c>
      <c r="L94" s="342">
        <f t="shared" si="1"/>
        <v>0</v>
      </c>
      <c r="M94" s="342">
        <f t="shared" si="1"/>
        <v>0</v>
      </c>
      <c r="N94" s="423">
        <f t="shared" si="1"/>
        <v>0</v>
      </c>
      <c r="O94" s="20"/>
      <c r="P94" s="20"/>
      <c r="S94" s="19"/>
    </row>
    <row r="95" spans="1:19" ht="15" customHeight="1">
      <c r="A95" s="3"/>
      <c r="B95" s="299" t="s">
        <v>10</v>
      </c>
      <c r="C95" s="342">
        <f>+C92</f>
        <v>0</v>
      </c>
      <c r="D95" s="342">
        <f aca="true" t="shared" si="2" ref="D95:N95">+C95+D92</f>
        <v>0</v>
      </c>
      <c r="E95" s="342">
        <f>+D95+E92</f>
        <v>0</v>
      </c>
      <c r="F95" s="342">
        <f t="shared" si="2"/>
        <v>0</v>
      </c>
      <c r="G95" s="342">
        <f t="shared" si="2"/>
        <v>0</v>
      </c>
      <c r="H95" s="342">
        <f t="shared" si="2"/>
        <v>0</v>
      </c>
      <c r="I95" s="342">
        <f t="shared" si="2"/>
        <v>0</v>
      </c>
      <c r="J95" s="342">
        <f t="shared" si="2"/>
        <v>0</v>
      </c>
      <c r="K95" s="342">
        <f t="shared" si="2"/>
        <v>0</v>
      </c>
      <c r="L95" s="342">
        <f t="shared" si="2"/>
        <v>0</v>
      </c>
      <c r="M95" s="342">
        <f t="shared" si="2"/>
        <v>0</v>
      </c>
      <c r="N95" s="423">
        <f t="shared" si="2"/>
        <v>0</v>
      </c>
      <c r="O95" s="20"/>
      <c r="P95" s="20"/>
      <c r="S95" s="19"/>
    </row>
    <row r="96" spans="1:19" ht="15.75" thickBot="1">
      <c r="A96" s="3"/>
      <c r="B96" s="419" t="s">
        <v>11</v>
      </c>
      <c r="C96" s="420">
        <f>+C93</f>
        <v>0</v>
      </c>
      <c r="D96" s="421">
        <f aca="true" t="shared" si="3" ref="D96:N96">+C96+D93</f>
        <v>0</v>
      </c>
      <c r="E96" s="421">
        <f>+D96+E93</f>
        <v>0</v>
      </c>
      <c r="F96" s="421">
        <f t="shared" si="3"/>
        <v>0</v>
      </c>
      <c r="G96" s="421">
        <f t="shared" si="3"/>
        <v>0</v>
      </c>
      <c r="H96" s="421">
        <f t="shared" si="3"/>
        <v>0</v>
      </c>
      <c r="I96" s="421">
        <f t="shared" si="3"/>
        <v>0</v>
      </c>
      <c r="J96" s="421">
        <f t="shared" si="3"/>
        <v>0</v>
      </c>
      <c r="K96" s="421">
        <f t="shared" si="3"/>
        <v>0</v>
      </c>
      <c r="L96" s="421">
        <f t="shared" si="3"/>
        <v>0</v>
      </c>
      <c r="M96" s="421">
        <f t="shared" si="3"/>
        <v>0</v>
      </c>
      <c r="N96" s="424">
        <f t="shared" si="3"/>
        <v>0</v>
      </c>
      <c r="O96" s="20"/>
      <c r="P96" s="20"/>
      <c r="S96" s="19"/>
    </row>
    <row r="97" spans="1:19" ht="15">
      <c r="A97" s="3"/>
      <c r="B97" s="3"/>
      <c r="C97" s="2"/>
      <c r="D97" s="2"/>
      <c r="E97" s="2"/>
      <c r="F97" s="2"/>
      <c r="G97" s="2"/>
      <c r="H97" s="2"/>
      <c r="I97" s="15"/>
      <c r="J97" s="122"/>
      <c r="K97" s="123"/>
      <c r="L97" s="15"/>
      <c r="M97" s="124"/>
      <c r="N97" s="20"/>
      <c r="O97" s="20"/>
      <c r="P97" s="20"/>
      <c r="S97" s="19"/>
    </row>
    <row r="98" spans="1:19" ht="15">
      <c r="A98" s="3"/>
      <c r="B98" s="2" t="s">
        <v>409</v>
      </c>
      <c r="C98" s="2"/>
      <c r="D98" s="2"/>
      <c r="E98" s="2"/>
      <c r="F98" s="2"/>
      <c r="G98" s="2"/>
      <c r="H98" s="2"/>
      <c r="I98" s="15"/>
      <c r="J98" s="122"/>
      <c r="K98" s="123"/>
      <c r="L98" s="15"/>
      <c r="M98" s="124"/>
      <c r="N98" s="20"/>
      <c r="O98" s="20"/>
      <c r="P98" s="20"/>
      <c r="S98" s="19"/>
    </row>
    <row r="99" spans="1:19" ht="15">
      <c r="A99" s="3"/>
      <c r="C99" s="2"/>
      <c r="D99" s="2"/>
      <c r="E99" s="2"/>
      <c r="F99" s="2"/>
      <c r="G99" s="2"/>
      <c r="H99" s="2"/>
      <c r="I99" s="15"/>
      <c r="J99" s="122"/>
      <c r="K99" s="124"/>
      <c r="L99" s="15"/>
      <c r="M99" s="124"/>
      <c r="N99" s="20"/>
      <c r="O99" s="20"/>
      <c r="P99" s="20"/>
      <c r="S99" s="19"/>
    </row>
    <row r="100" spans="1:16" ht="15">
      <c r="A100" s="3"/>
      <c r="B100" s="3"/>
      <c r="C100" s="3"/>
      <c r="D100" s="3"/>
      <c r="E100" s="3"/>
      <c r="F100" s="3"/>
      <c r="G100" s="3"/>
      <c r="H100" s="3"/>
      <c r="I100" s="15"/>
      <c r="J100" s="15"/>
      <c r="K100" s="15"/>
      <c r="L100" s="15"/>
      <c r="M100" s="15"/>
      <c r="N100" s="20"/>
      <c r="O100" s="20"/>
      <c r="P100" s="20"/>
    </row>
    <row r="101" spans="1:16" ht="18.75">
      <c r="A101" s="3"/>
      <c r="B101" s="106" t="s">
        <v>389</v>
      </c>
      <c r="C101" s="3"/>
      <c r="D101" s="3"/>
      <c r="E101" s="3"/>
      <c r="F101" s="3"/>
      <c r="G101" s="3"/>
      <c r="H101" s="3"/>
      <c r="I101" s="15"/>
      <c r="J101" s="15"/>
      <c r="K101" s="15"/>
      <c r="L101" s="15"/>
      <c r="M101" s="15"/>
      <c r="N101" s="20"/>
      <c r="O101" s="20"/>
      <c r="P101" s="20"/>
    </row>
    <row r="102" spans="1:19" ht="15.75" thickBot="1">
      <c r="A102" s="3"/>
      <c r="B102" s="3"/>
      <c r="C102" s="15"/>
      <c r="D102" s="15"/>
      <c r="E102" s="15"/>
      <c r="F102" s="15"/>
      <c r="G102" s="2"/>
      <c r="H102" s="2"/>
      <c r="I102" s="2"/>
      <c r="J102" s="15"/>
      <c r="K102" s="2"/>
      <c r="L102" s="15"/>
      <c r="M102" s="15"/>
      <c r="N102" s="20"/>
      <c r="O102" s="20"/>
      <c r="P102" s="20"/>
      <c r="Q102" s="19"/>
      <c r="S102" s="20"/>
    </row>
    <row r="103" spans="1:18" ht="90.75" customHeight="1">
      <c r="A103" s="3"/>
      <c r="B103" s="300" t="s">
        <v>38</v>
      </c>
      <c r="C103" s="301" t="s">
        <v>85</v>
      </c>
      <c r="D103" s="303" t="s">
        <v>371</v>
      </c>
      <c r="E103" s="303" t="s">
        <v>340</v>
      </c>
      <c r="F103" s="302" t="s">
        <v>341</v>
      </c>
      <c r="G103" s="302" t="s">
        <v>342</v>
      </c>
      <c r="H103" s="303" t="s">
        <v>343</v>
      </c>
      <c r="I103" s="303" t="s">
        <v>344</v>
      </c>
      <c r="J103" s="303" t="s">
        <v>345</v>
      </c>
      <c r="K103" s="304" t="s">
        <v>346</v>
      </c>
      <c r="L103" s="2"/>
      <c r="M103" s="20"/>
      <c r="N103" s="20"/>
      <c r="O103" s="20"/>
      <c r="P103" s="19"/>
      <c r="R103" s="20"/>
    </row>
    <row r="104" spans="1:18" ht="15">
      <c r="A104" s="3"/>
      <c r="B104" s="608" t="s">
        <v>33</v>
      </c>
      <c r="C104" s="374" t="s">
        <v>377</v>
      </c>
      <c r="D104" s="375"/>
      <c r="E104" s="376">
        <f>IF(ISBLANK(D104),"",D104*30)</f>
      </c>
      <c r="F104" s="343"/>
      <c r="G104" s="344">
        <f>IF(AND(E104&gt;0,F104&gt;0),(F104*E104),"")</f>
      </c>
      <c r="H104" s="343"/>
      <c r="I104" s="390">
        <f>IF(AND(G104&gt;0,H104&gt;0),H104/G104,"")</f>
      </c>
      <c r="J104" s="377"/>
      <c r="K104" s="425">
        <f>IF(AND(I104&gt;0,J104&gt;0),I104-J104,"")</f>
      </c>
      <c r="L104" s="2"/>
      <c r="M104" s="20"/>
      <c r="N104" s="20"/>
      <c r="O104" s="20"/>
      <c r="P104" s="19"/>
      <c r="R104" s="20"/>
    </row>
    <row r="105" spans="1:16" ht="15">
      <c r="A105" s="3"/>
      <c r="B105" s="609"/>
      <c r="C105" s="374" t="s">
        <v>377</v>
      </c>
      <c r="D105" s="375"/>
      <c r="E105" s="376">
        <f>IF(ISBLANK(D105),"",D105*30)</f>
      </c>
      <c r="F105" s="343"/>
      <c r="G105" s="344">
        <f>IF(AND(E105&gt;0,F105&gt;0),(F105*E105),"")</f>
      </c>
      <c r="H105" s="343"/>
      <c r="I105" s="390">
        <f>IF(AND(G105&gt;0,H105&gt;0),H105/G105,"")</f>
      </c>
      <c r="J105" s="377"/>
      <c r="K105" s="425">
        <f>IF(AND(I105&gt;0,J105&gt;0),I105-J105,"")</f>
      </c>
      <c r="L105" s="2"/>
      <c r="M105" s="20"/>
      <c r="N105" s="20"/>
      <c r="O105" s="20"/>
      <c r="P105" s="19"/>
    </row>
    <row r="106" spans="1:18" ht="15">
      <c r="A106" s="3"/>
      <c r="B106" s="609"/>
      <c r="C106" s="374" t="s">
        <v>377</v>
      </c>
      <c r="D106" s="375"/>
      <c r="E106" s="376">
        <f>IF(ISBLANK(D106),"",D106*30)</f>
      </c>
      <c r="F106" s="343"/>
      <c r="G106" s="344">
        <f>IF(AND(E106&gt;0,F106&gt;0),(F106*E106),"")</f>
      </c>
      <c r="H106" s="343"/>
      <c r="I106" s="390">
        <f>IF(AND(G106&gt;0,H106&gt;0),H106/G106,"")</f>
      </c>
      <c r="J106" s="377"/>
      <c r="K106" s="425">
        <f>IF(AND(I106&gt;0,J106&gt;0),I106-J106,"")</f>
      </c>
      <c r="L106" s="2"/>
      <c r="M106" s="20"/>
      <c r="N106" s="20"/>
      <c r="O106" s="20"/>
      <c r="P106" s="19"/>
      <c r="R106" s="20"/>
    </row>
    <row r="107" spans="1:18" ht="15.75" thickBot="1">
      <c r="A107" s="3"/>
      <c r="B107" s="610"/>
      <c r="C107" s="378" t="s">
        <v>377</v>
      </c>
      <c r="D107" s="379"/>
      <c r="E107" s="416">
        <f>IF(ISBLANK(D107),"",D107*30)</f>
      </c>
      <c r="F107" s="345"/>
      <c r="G107" s="417">
        <f>IF(AND(E107&gt;0,F107&gt;0),(F107*E107),"")</f>
      </c>
      <c r="H107" s="345"/>
      <c r="I107" s="418">
        <f>IF(AND(G107&gt;0,H107&gt;0),H107/G107,"")</f>
      </c>
      <c r="J107" s="380"/>
      <c r="K107" s="426">
        <f>IF(AND(I107&gt;0,J107&gt;0),I107-J107,"")</f>
      </c>
      <c r="L107" s="2"/>
      <c r="M107" s="20"/>
      <c r="N107" s="20"/>
      <c r="O107" s="20"/>
      <c r="P107" s="19"/>
      <c r="R107" s="20"/>
    </row>
    <row r="108" spans="1:19" ht="15">
      <c r="A108" s="3"/>
      <c r="B108" s="3"/>
      <c r="C108" s="3"/>
      <c r="D108" s="3"/>
      <c r="E108" s="3"/>
      <c r="F108" s="3"/>
      <c r="G108" s="2"/>
      <c r="H108" s="2"/>
      <c r="I108" s="2"/>
      <c r="J108" s="3"/>
      <c r="K108" s="3"/>
      <c r="L108" s="2"/>
      <c r="M108" s="2"/>
      <c r="N108" s="20"/>
      <c r="O108" s="20"/>
      <c r="P108" s="20"/>
      <c r="Q108" s="19"/>
      <c r="S108" s="20"/>
    </row>
    <row r="109" spans="1:13" ht="15.75" thickBot="1">
      <c r="A109" s="3"/>
      <c r="B109" s="3"/>
      <c r="C109" s="3"/>
      <c r="D109" s="3"/>
      <c r="E109" s="3"/>
      <c r="F109" s="3"/>
      <c r="G109" s="3"/>
      <c r="H109" s="3"/>
      <c r="I109" s="2"/>
      <c r="J109" s="105"/>
      <c r="K109" s="105"/>
      <c r="L109" s="3"/>
      <c r="M109" s="3"/>
    </row>
    <row r="110" spans="1:17" ht="19.5" thickBot="1">
      <c r="A110" s="3"/>
      <c r="B110" s="235" t="s">
        <v>396</v>
      </c>
      <c r="C110" s="125"/>
      <c r="D110" s="125"/>
      <c r="E110" s="126"/>
      <c r="F110" s="126"/>
      <c r="G110" s="126"/>
      <c r="H110" s="244"/>
      <c r="I110" s="236"/>
      <c r="J110" s="320"/>
      <c r="K110" s="321" t="s">
        <v>375</v>
      </c>
      <c r="L110" s="126"/>
      <c r="M110" s="322"/>
      <c r="N110" s="323"/>
      <c r="O110" s="323"/>
      <c r="P110" s="382"/>
      <c r="Q110" s="36"/>
    </row>
    <row r="111" spans="1:17" ht="15.75" thickBot="1">
      <c r="A111" s="3"/>
      <c r="B111" s="3"/>
      <c r="C111" s="3"/>
      <c r="D111" s="3"/>
      <c r="E111" s="3"/>
      <c r="F111" s="3"/>
      <c r="G111" s="3"/>
      <c r="H111" s="3"/>
      <c r="I111" s="3"/>
      <c r="J111" s="3"/>
      <c r="K111" s="3"/>
      <c r="L111" s="3"/>
      <c r="M111" s="3"/>
      <c r="N111"/>
      <c r="O111"/>
      <c r="P111" s="36"/>
      <c r="Q111" s="36"/>
    </row>
    <row r="112" spans="1:24" ht="15">
      <c r="A112" s="3"/>
      <c r="B112" s="632" t="s">
        <v>402</v>
      </c>
      <c r="C112" s="633"/>
      <c r="D112" s="634"/>
      <c r="E112" s="306" t="s">
        <v>331</v>
      </c>
      <c r="F112" s="266" t="s">
        <v>348</v>
      </c>
      <c r="G112" s="240"/>
      <c r="H112" s="366" t="s">
        <v>110</v>
      </c>
      <c r="I112" s="366" t="s">
        <v>111</v>
      </c>
      <c r="J112" s="366" t="s">
        <v>112</v>
      </c>
      <c r="K112" s="366" t="s">
        <v>113</v>
      </c>
      <c r="L112" s="366" t="s">
        <v>125</v>
      </c>
      <c r="M112" s="366" t="s">
        <v>126</v>
      </c>
      <c r="N112" s="366" t="s">
        <v>127</v>
      </c>
      <c r="O112" s="366" t="s">
        <v>128</v>
      </c>
      <c r="P112" s="366" t="s">
        <v>129</v>
      </c>
      <c r="Q112" s="366" t="s">
        <v>130</v>
      </c>
      <c r="R112" s="366" t="s">
        <v>131</v>
      </c>
      <c r="S112" s="367" t="s">
        <v>292</v>
      </c>
      <c r="T112" s="367" t="s">
        <v>459</v>
      </c>
      <c r="U112" s="367" t="s">
        <v>460</v>
      </c>
      <c r="W112" s="367" t="s">
        <v>476</v>
      </c>
      <c r="X112" s="367" t="s">
        <v>477</v>
      </c>
    </row>
    <row r="113" spans="1:24" ht="1.5" customHeight="1">
      <c r="A113" s="3"/>
      <c r="B113" s="429"/>
      <c r="C113" s="430"/>
      <c r="D113" s="430"/>
      <c r="E113" s="444"/>
      <c r="F113" s="445"/>
      <c r="G113" s="446"/>
      <c r="H113" s="447"/>
      <c r="I113" s="447"/>
      <c r="J113" s="447"/>
      <c r="K113" s="447"/>
      <c r="L113" s="447"/>
      <c r="M113" s="447"/>
      <c r="N113" s="447"/>
      <c r="O113" s="447"/>
      <c r="P113" s="447"/>
      <c r="Q113" s="447"/>
      <c r="R113" s="447"/>
      <c r="S113" s="448"/>
      <c r="T113" s="448"/>
      <c r="U113" s="448"/>
      <c r="W113" s="448"/>
      <c r="X113" s="448"/>
    </row>
    <row r="114" spans="1:24" ht="15" customHeight="1">
      <c r="A114" s="637" t="s">
        <v>379</v>
      </c>
      <c r="B114" s="616" t="s">
        <v>469</v>
      </c>
      <c r="C114" s="616"/>
      <c r="D114" s="616"/>
      <c r="E114" s="583">
        <v>4.2</v>
      </c>
      <c r="F114" s="589" t="s">
        <v>119</v>
      </c>
      <c r="G114" s="241" t="s">
        <v>91</v>
      </c>
      <c r="H114" s="127">
        <v>3250</v>
      </c>
      <c r="I114" s="127">
        <v>3500</v>
      </c>
      <c r="J114" s="127">
        <v>3750</v>
      </c>
      <c r="K114" s="261">
        <v>4000</v>
      </c>
      <c r="L114" s="127">
        <v>4375</v>
      </c>
      <c r="M114" s="127">
        <v>4750</v>
      </c>
      <c r="N114" s="127">
        <v>4832</v>
      </c>
      <c r="O114" s="127">
        <v>5207</v>
      </c>
      <c r="P114" s="127">
        <v>5357</v>
      </c>
      <c r="Q114" s="127">
        <v>5507</v>
      </c>
      <c r="R114" s="127">
        <v>5657</v>
      </c>
      <c r="S114" s="127">
        <v>5807</v>
      </c>
      <c r="T114" s="449">
        <v>5947</v>
      </c>
      <c r="U114" s="127">
        <v>6087</v>
      </c>
      <c r="W114" s="127">
        <v>6227</v>
      </c>
      <c r="X114" s="127">
        <v>6367</v>
      </c>
    </row>
    <row r="115" spans="1:24" ht="15">
      <c r="A115" s="637"/>
      <c r="B115" s="616"/>
      <c r="C115" s="616"/>
      <c r="D115" s="616"/>
      <c r="E115" s="583"/>
      <c r="F115" s="589"/>
      <c r="G115" s="241" t="s">
        <v>92</v>
      </c>
      <c r="H115" s="127">
        <v>2093</v>
      </c>
      <c r="I115" s="127">
        <v>2817</v>
      </c>
      <c r="J115" s="127">
        <v>3197</v>
      </c>
      <c r="K115" s="261">
        <v>3717</v>
      </c>
      <c r="L115" s="127">
        <v>3976</v>
      </c>
      <c r="M115" s="127">
        <v>4296</v>
      </c>
      <c r="N115" s="127">
        <v>4564</v>
      </c>
      <c r="O115" s="127">
        <v>4853</v>
      </c>
      <c r="P115" s="127">
        <v>5107</v>
      </c>
      <c r="Q115" s="127">
        <v>5327</v>
      </c>
      <c r="R115" s="127">
        <v>5519</v>
      </c>
      <c r="S115" s="127">
        <v>5704</v>
      </c>
      <c r="T115" s="449">
        <v>5874</v>
      </c>
      <c r="U115" s="127">
        <v>6085</v>
      </c>
      <c r="W115" s="127">
        <v>6262</v>
      </c>
      <c r="X115" s="127">
        <v>6444</v>
      </c>
    </row>
    <row r="116" spans="1:24" ht="21" customHeight="1">
      <c r="A116" s="637"/>
      <c r="B116" s="644" t="s">
        <v>464</v>
      </c>
      <c r="C116" s="644"/>
      <c r="D116" s="644"/>
      <c r="E116" s="592">
        <v>4.3</v>
      </c>
      <c r="F116" s="590" t="s">
        <v>119</v>
      </c>
      <c r="G116" s="410" t="s">
        <v>91</v>
      </c>
      <c r="H116" s="237">
        <v>95</v>
      </c>
      <c r="I116" s="237">
        <v>125</v>
      </c>
      <c r="J116" s="237">
        <v>155</v>
      </c>
      <c r="K116" s="262">
        <v>185</v>
      </c>
      <c r="L116" s="237">
        <v>216</v>
      </c>
      <c r="M116" s="237">
        <v>248</v>
      </c>
      <c r="N116" s="305">
        <v>352</v>
      </c>
      <c r="O116" s="305">
        <v>372</v>
      </c>
      <c r="P116" s="305">
        <v>392</v>
      </c>
      <c r="Q116" s="305">
        <v>412</v>
      </c>
      <c r="R116" s="305">
        <v>432</v>
      </c>
      <c r="S116" s="305">
        <v>452</v>
      </c>
      <c r="T116" s="305">
        <v>230</v>
      </c>
      <c r="U116" s="305">
        <v>244</v>
      </c>
      <c r="W116" s="305">
        <v>258</v>
      </c>
      <c r="X116" s="305">
        <v>272</v>
      </c>
    </row>
    <row r="117" spans="1:24" ht="21" customHeight="1">
      <c r="A117" s="637"/>
      <c r="B117" s="644"/>
      <c r="C117" s="644"/>
      <c r="D117" s="644"/>
      <c r="E117" s="592"/>
      <c r="F117" s="591"/>
      <c r="G117" s="410" t="s">
        <v>92</v>
      </c>
      <c r="H117" s="237">
        <v>91</v>
      </c>
      <c r="I117" s="237">
        <v>133</v>
      </c>
      <c r="J117" s="237">
        <v>195</v>
      </c>
      <c r="K117" s="262">
        <v>236</v>
      </c>
      <c r="L117" s="237">
        <v>298</v>
      </c>
      <c r="M117" s="237">
        <v>332</v>
      </c>
      <c r="N117" s="237">
        <v>363</v>
      </c>
      <c r="O117" s="237">
        <v>395</v>
      </c>
      <c r="P117" s="305">
        <v>395</v>
      </c>
      <c r="Q117" s="305">
        <v>462</v>
      </c>
      <c r="R117" s="305">
        <v>482</v>
      </c>
      <c r="S117" s="305">
        <v>509</v>
      </c>
      <c r="T117" s="305">
        <v>229</v>
      </c>
      <c r="U117" s="305">
        <v>264</v>
      </c>
      <c r="W117" s="305">
        <v>297</v>
      </c>
      <c r="X117" s="305">
        <v>325</v>
      </c>
    </row>
    <row r="118" spans="1:24" ht="27" customHeight="1">
      <c r="A118" s="637"/>
      <c r="B118" s="645" t="s">
        <v>465</v>
      </c>
      <c r="C118" s="645"/>
      <c r="D118" s="645"/>
      <c r="E118" s="631">
        <v>4.4</v>
      </c>
      <c r="F118" s="589" t="s">
        <v>119</v>
      </c>
      <c r="G118" s="431" t="s">
        <v>91</v>
      </c>
      <c r="H118" s="412">
        <v>54</v>
      </c>
      <c r="I118" s="412">
        <v>108</v>
      </c>
      <c r="J118" s="412">
        <v>162</v>
      </c>
      <c r="K118" s="412">
        <v>216</v>
      </c>
      <c r="L118" s="412">
        <v>280</v>
      </c>
      <c r="M118" s="412">
        <v>344</v>
      </c>
      <c r="N118" s="412">
        <v>407</v>
      </c>
      <c r="O118" s="412">
        <v>471</v>
      </c>
      <c r="P118" s="412">
        <v>511</v>
      </c>
      <c r="Q118" s="412">
        <v>551</v>
      </c>
      <c r="R118" s="412">
        <v>591</v>
      </c>
      <c r="S118" s="412">
        <v>631</v>
      </c>
      <c r="T118" s="449">
        <v>651</v>
      </c>
      <c r="U118" s="127">
        <v>671</v>
      </c>
      <c r="W118" s="127">
        <v>691</v>
      </c>
      <c r="X118" s="127">
        <v>711</v>
      </c>
    </row>
    <row r="119" spans="1:24" ht="28.5" customHeight="1">
      <c r="A119" s="637"/>
      <c r="B119" s="645"/>
      <c r="C119" s="645"/>
      <c r="D119" s="645"/>
      <c r="E119" s="584"/>
      <c r="F119" s="589"/>
      <c r="G119" s="431" t="s">
        <v>92</v>
      </c>
      <c r="H119" s="412">
        <v>61</v>
      </c>
      <c r="I119" s="412">
        <v>131</v>
      </c>
      <c r="J119" s="412">
        <v>180</v>
      </c>
      <c r="K119" s="412">
        <v>225</v>
      </c>
      <c r="L119" s="412">
        <v>284</v>
      </c>
      <c r="M119" s="412">
        <v>322</v>
      </c>
      <c r="N119" s="412">
        <v>368</v>
      </c>
      <c r="O119" s="412">
        <v>437</v>
      </c>
      <c r="P119" s="412">
        <v>462</v>
      </c>
      <c r="Q119" s="412">
        <v>481</v>
      </c>
      <c r="R119" s="412">
        <v>500</v>
      </c>
      <c r="S119" s="412">
        <v>534</v>
      </c>
      <c r="T119" s="449">
        <v>554</v>
      </c>
      <c r="U119" s="127">
        <v>579</v>
      </c>
      <c r="W119" s="127">
        <v>592</v>
      </c>
      <c r="X119" s="127">
        <v>632</v>
      </c>
    </row>
    <row r="120" spans="1:24" ht="25.5" customHeight="1">
      <c r="A120" s="3"/>
      <c r="B120" s="599" t="s">
        <v>471</v>
      </c>
      <c r="C120" s="599"/>
      <c r="D120" s="599"/>
      <c r="E120" s="590">
        <v>3.1</v>
      </c>
      <c r="F120" s="590" t="s">
        <v>119</v>
      </c>
      <c r="G120" s="433" t="s">
        <v>91</v>
      </c>
      <c r="H120" s="237">
        <v>25</v>
      </c>
      <c r="I120" s="237">
        <v>150</v>
      </c>
      <c r="J120" s="237">
        <v>225</v>
      </c>
      <c r="K120" s="237">
        <v>400</v>
      </c>
      <c r="L120" s="237">
        <v>500</v>
      </c>
      <c r="M120" s="237">
        <v>625</v>
      </c>
      <c r="N120" s="237">
        <v>1224</v>
      </c>
      <c r="O120" s="237">
        <v>1410</v>
      </c>
      <c r="P120" s="237">
        <v>1510</v>
      </c>
      <c r="Q120" s="237">
        <v>1610</v>
      </c>
      <c r="R120" s="237">
        <v>1710</v>
      </c>
      <c r="S120" s="237">
        <v>1810</v>
      </c>
      <c r="T120" s="450">
        <v>50</v>
      </c>
      <c r="U120" s="305">
        <v>90</v>
      </c>
      <c r="W120" s="305">
        <v>90</v>
      </c>
      <c r="X120" s="305">
        <v>90</v>
      </c>
    </row>
    <row r="121" spans="1:24" ht="27.75" customHeight="1">
      <c r="A121" s="3"/>
      <c r="B121" s="599"/>
      <c r="C121" s="599"/>
      <c r="D121" s="599"/>
      <c r="E121" s="591"/>
      <c r="F121" s="591"/>
      <c r="G121" s="433" t="s">
        <v>92</v>
      </c>
      <c r="H121" s="237">
        <v>50</v>
      </c>
      <c r="I121" s="237">
        <v>174</v>
      </c>
      <c r="J121" s="237">
        <v>268</v>
      </c>
      <c r="K121" s="237">
        <v>594</v>
      </c>
      <c r="L121" s="237">
        <v>788</v>
      </c>
      <c r="M121" s="237">
        <v>1099</v>
      </c>
      <c r="N121" s="237">
        <v>1224</v>
      </c>
      <c r="O121" s="237">
        <v>1395</v>
      </c>
      <c r="P121" s="237">
        <v>1448</v>
      </c>
      <c r="Q121" s="237">
        <v>1608</v>
      </c>
      <c r="R121" s="237">
        <v>1804</v>
      </c>
      <c r="S121" s="237">
        <v>1898</v>
      </c>
      <c r="T121" s="450">
        <v>24</v>
      </c>
      <c r="U121" s="305">
        <v>129</v>
      </c>
      <c r="W121" s="305">
        <v>86</v>
      </c>
      <c r="X121" s="305">
        <v>86</v>
      </c>
    </row>
    <row r="122" spans="1:24" ht="17.25" customHeight="1">
      <c r="A122" s="3"/>
      <c r="B122" s="616" t="s">
        <v>466</v>
      </c>
      <c r="C122" s="616"/>
      <c r="D122" s="616"/>
      <c r="E122" s="598">
        <v>4.1</v>
      </c>
      <c r="F122" s="602" t="s">
        <v>119</v>
      </c>
      <c r="G122" s="434" t="s">
        <v>91</v>
      </c>
      <c r="H122" s="412">
        <v>108</v>
      </c>
      <c r="I122" s="412">
        <v>216</v>
      </c>
      <c r="J122" s="412">
        <v>324</v>
      </c>
      <c r="K122" s="413">
        <v>432</v>
      </c>
      <c r="L122" s="412">
        <v>573</v>
      </c>
      <c r="M122" s="412">
        <v>715</v>
      </c>
      <c r="N122" s="412">
        <v>1011</v>
      </c>
      <c r="O122" s="412">
        <v>1061</v>
      </c>
      <c r="P122" s="412">
        <v>1101</v>
      </c>
      <c r="Q122" s="412">
        <v>1141</v>
      </c>
      <c r="R122" s="412">
        <v>1181</v>
      </c>
      <c r="S122" s="412">
        <v>1221</v>
      </c>
      <c r="T122" s="412">
        <v>800</v>
      </c>
      <c r="U122" s="412">
        <v>880</v>
      </c>
      <c r="W122" s="412">
        <v>960</v>
      </c>
      <c r="X122" s="412">
        <v>1040</v>
      </c>
    </row>
    <row r="123" spans="1:24" ht="19.5" customHeight="1">
      <c r="A123" s="3"/>
      <c r="B123" s="616"/>
      <c r="C123" s="616"/>
      <c r="D123" s="616"/>
      <c r="E123" s="598"/>
      <c r="F123" s="603"/>
      <c r="G123" s="434" t="s">
        <v>92</v>
      </c>
      <c r="H123" s="412">
        <v>108</v>
      </c>
      <c r="I123" s="412">
        <v>269</v>
      </c>
      <c r="J123" s="432">
        <v>462</v>
      </c>
      <c r="K123" s="435">
        <v>588</v>
      </c>
      <c r="L123" s="432">
        <v>803</v>
      </c>
      <c r="M123" s="432">
        <v>961</v>
      </c>
      <c r="N123" s="412">
        <v>1134</v>
      </c>
      <c r="O123" s="412">
        <v>1257</v>
      </c>
      <c r="P123" s="412">
        <v>1257</v>
      </c>
      <c r="Q123" s="412">
        <v>1452</v>
      </c>
      <c r="R123" s="412">
        <v>1554</v>
      </c>
      <c r="S123" s="412">
        <v>1611</v>
      </c>
      <c r="T123" s="412">
        <v>800</v>
      </c>
      <c r="U123" s="412">
        <v>842</v>
      </c>
      <c r="W123" s="412">
        <v>890</v>
      </c>
      <c r="X123" s="412">
        <v>948</v>
      </c>
    </row>
    <row r="124" spans="1:24" ht="22.5" customHeight="1">
      <c r="A124" s="3"/>
      <c r="B124" s="599" t="s">
        <v>468</v>
      </c>
      <c r="C124" s="599"/>
      <c r="D124" s="599"/>
      <c r="E124" s="592">
        <v>4.5</v>
      </c>
      <c r="F124" s="590"/>
      <c r="G124" s="433" t="s">
        <v>91</v>
      </c>
      <c r="H124" s="305" t="s">
        <v>425</v>
      </c>
      <c r="I124" s="305" t="s">
        <v>425</v>
      </c>
      <c r="J124" s="305" t="s">
        <v>425</v>
      </c>
      <c r="K124" s="465" t="s">
        <v>425</v>
      </c>
      <c r="L124" s="305" t="s">
        <v>425</v>
      </c>
      <c r="M124" s="466">
        <v>0.5</v>
      </c>
      <c r="N124" s="305" t="s">
        <v>425</v>
      </c>
      <c r="O124" s="466">
        <v>0.55</v>
      </c>
      <c r="P124" s="305" t="s">
        <v>425</v>
      </c>
      <c r="Q124" s="466">
        <v>0.57</v>
      </c>
      <c r="R124" s="305" t="s">
        <v>425</v>
      </c>
      <c r="S124" s="466">
        <v>0.59</v>
      </c>
      <c r="T124" s="450" t="s">
        <v>425</v>
      </c>
      <c r="U124" s="466">
        <v>0.6</v>
      </c>
      <c r="W124" s="450" t="s">
        <v>425</v>
      </c>
      <c r="X124" s="466">
        <v>0.6</v>
      </c>
    </row>
    <row r="125" spans="1:24" ht="29.25" customHeight="1">
      <c r="A125" s="3"/>
      <c r="B125" s="599"/>
      <c r="C125" s="599"/>
      <c r="D125" s="599"/>
      <c r="E125" s="592"/>
      <c r="F125" s="591"/>
      <c r="G125" s="433" t="s">
        <v>92</v>
      </c>
      <c r="H125" s="467" t="s">
        <v>425</v>
      </c>
      <c r="I125" s="467" t="s">
        <v>425</v>
      </c>
      <c r="J125" s="467" t="s">
        <v>425</v>
      </c>
      <c r="K125" s="465" t="s">
        <v>425</v>
      </c>
      <c r="L125" s="467" t="s">
        <v>425</v>
      </c>
      <c r="M125" s="468">
        <v>0.5318</v>
      </c>
      <c r="N125" s="305" t="s">
        <v>425</v>
      </c>
      <c r="O125" s="468">
        <v>0.5604</v>
      </c>
      <c r="P125" s="305" t="s">
        <v>425</v>
      </c>
      <c r="Q125" s="466">
        <v>0.5785</v>
      </c>
      <c r="R125" s="305" t="s">
        <v>425</v>
      </c>
      <c r="S125" s="466">
        <v>0.4268</v>
      </c>
      <c r="T125" s="450" t="s">
        <v>425</v>
      </c>
      <c r="U125" s="466">
        <v>0.4461</v>
      </c>
      <c r="W125" s="450" t="s">
        <v>425</v>
      </c>
      <c r="X125" s="466">
        <v>0.47</v>
      </c>
    </row>
    <row r="126" spans="1:24" ht="21" customHeight="1">
      <c r="A126" s="3"/>
      <c r="B126" s="615" t="s">
        <v>472</v>
      </c>
      <c r="C126" s="615"/>
      <c r="D126" s="615"/>
      <c r="E126" s="583">
        <v>5.1</v>
      </c>
      <c r="F126" s="589" t="s">
        <v>119</v>
      </c>
      <c r="G126" s="411" t="s">
        <v>91</v>
      </c>
      <c r="H126" s="412">
        <v>5</v>
      </c>
      <c r="I126" s="412">
        <v>10</v>
      </c>
      <c r="J126" s="412">
        <v>15</v>
      </c>
      <c r="K126" s="413">
        <v>20</v>
      </c>
      <c r="L126" s="412">
        <v>25</v>
      </c>
      <c r="M126" s="412">
        <v>30</v>
      </c>
      <c r="N126" s="412">
        <v>35</v>
      </c>
      <c r="O126" s="412">
        <v>40</v>
      </c>
      <c r="P126" s="412">
        <v>45</v>
      </c>
      <c r="Q126" s="412">
        <v>50</v>
      </c>
      <c r="R126" s="412">
        <v>55</v>
      </c>
      <c r="S126" s="451">
        <v>60</v>
      </c>
      <c r="T126" s="452">
        <v>5</v>
      </c>
      <c r="U126" s="412">
        <v>10</v>
      </c>
      <c r="W126" s="412">
        <v>5</v>
      </c>
      <c r="X126" s="412">
        <v>10</v>
      </c>
    </row>
    <row r="127" spans="1:24" ht="20.25" customHeight="1">
      <c r="A127" s="3"/>
      <c r="B127" s="615"/>
      <c r="C127" s="615"/>
      <c r="D127" s="615"/>
      <c r="E127" s="583"/>
      <c r="F127" s="589"/>
      <c r="G127" s="411" t="s">
        <v>92</v>
      </c>
      <c r="H127" s="428">
        <v>8</v>
      </c>
      <c r="I127" s="428">
        <f>H127+7</f>
        <v>15</v>
      </c>
      <c r="J127" s="428">
        <f>I127+9</f>
        <v>24</v>
      </c>
      <c r="K127" s="413">
        <f>J127+5</f>
        <v>29</v>
      </c>
      <c r="L127" s="428">
        <f>K127+5</f>
        <v>34</v>
      </c>
      <c r="M127" s="428">
        <f>L127+5</f>
        <v>39</v>
      </c>
      <c r="N127" s="412">
        <f>M127+5</f>
        <v>44</v>
      </c>
      <c r="O127" s="412">
        <f>N127+6</f>
        <v>50</v>
      </c>
      <c r="P127" s="412">
        <f>O127+5</f>
        <v>55</v>
      </c>
      <c r="Q127" s="412">
        <f>P127+5</f>
        <v>60</v>
      </c>
      <c r="R127" s="412">
        <v>65</v>
      </c>
      <c r="S127" s="412">
        <v>70</v>
      </c>
      <c r="T127" s="452">
        <v>5</v>
      </c>
      <c r="U127" s="412">
        <v>11</v>
      </c>
      <c r="W127" s="412">
        <v>5</v>
      </c>
      <c r="X127" s="412">
        <v>10</v>
      </c>
    </row>
    <row r="128" spans="1:24" ht="21.75" customHeight="1">
      <c r="A128" s="3"/>
      <c r="B128" s="599" t="s">
        <v>473</v>
      </c>
      <c r="C128" s="599"/>
      <c r="D128" s="599"/>
      <c r="E128" s="591">
        <v>5.2</v>
      </c>
      <c r="F128" s="591" t="s">
        <v>119</v>
      </c>
      <c r="G128" s="410" t="s">
        <v>91</v>
      </c>
      <c r="H128" s="237">
        <v>10</v>
      </c>
      <c r="I128" s="237">
        <v>20</v>
      </c>
      <c r="J128" s="237">
        <v>30</v>
      </c>
      <c r="K128" s="237">
        <v>40</v>
      </c>
      <c r="L128" s="237">
        <v>55</v>
      </c>
      <c r="M128" s="237">
        <v>70</v>
      </c>
      <c r="N128" s="237">
        <v>212</v>
      </c>
      <c r="O128" s="237">
        <v>242</v>
      </c>
      <c r="P128" s="237">
        <v>272</v>
      </c>
      <c r="Q128" s="237">
        <v>302</v>
      </c>
      <c r="R128" s="237">
        <v>332</v>
      </c>
      <c r="S128" s="237">
        <v>362</v>
      </c>
      <c r="T128" s="237">
        <v>35</v>
      </c>
      <c r="U128" s="237">
        <v>70</v>
      </c>
      <c r="W128" s="237">
        <v>35</v>
      </c>
      <c r="X128" s="237">
        <v>70</v>
      </c>
    </row>
    <row r="129" spans="1:24" ht="21" customHeight="1">
      <c r="A129" s="3"/>
      <c r="B129" s="599"/>
      <c r="C129" s="599"/>
      <c r="D129" s="599"/>
      <c r="E129" s="591"/>
      <c r="F129" s="591"/>
      <c r="G129" s="410" t="s">
        <v>92</v>
      </c>
      <c r="H129" s="237">
        <v>25</v>
      </c>
      <c r="I129" s="237">
        <v>78</v>
      </c>
      <c r="J129" s="237">
        <v>108</v>
      </c>
      <c r="K129" s="237">
        <v>142</v>
      </c>
      <c r="L129" s="237">
        <v>163</v>
      </c>
      <c r="M129" s="237">
        <v>182</v>
      </c>
      <c r="N129" s="237">
        <v>210</v>
      </c>
      <c r="O129" s="237">
        <v>251</v>
      </c>
      <c r="P129" s="237">
        <v>296</v>
      </c>
      <c r="Q129" s="237">
        <v>344</v>
      </c>
      <c r="R129" s="237">
        <v>394</v>
      </c>
      <c r="S129" s="237">
        <v>429</v>
      </c>
      <c r="T129" s="237">
        <v>52</v>
      </c>
      <c r="U129" s="237">
        <v>104</v>
      </c>
      <c r="W129" s="237">
        <v>57</v>
      </c>
      <c r="X129" s="237">
        <v>114</v>
      </c>
    </row>
    <row r="130" spans="1:24" ht="18" customHeight="1">
      <c r="A130" s="3"/>
      <c r="B130" s="615" t="s">
        <v>467</v>
      </c>
      <c r="C130" s="615"/>
      <c r="D130" s="615"/>
      <c r="E130" s="583">
        <v>5.3</v>
      </c>
      <c r="F130" s="584" t="s">
        <v>119</v>
      </c>
      <c r="G130" s="411" t="s">
        <v>91</v>
      </c>
      <c r="H130" s="440">
        <v>35</v>
      </c>
      <c r="I130" s="440">
        <v>70</v>
      </c>
      <c r="J130" s="440">
        <v>105</v>
      </c>
      <c r="K130" s="435">
        <v>140</v>
      </c>
      <c r="L130" s="440">
        <v>190</v>
      </c>
      <c r="M130" s="440">
        <v>240</v>
      </c>
      <c r="N130" s="440">
        <v>390</v>
      </c>
      <c r="O130" s="440">
        <v>440</v>
      </c>
      <c r="P130" s="440">
        <v>490</v>
      </c>
      <c r="Q130" s="440">
        <v>540</v>
      </c>
      <c r="R130" s="440">
        <v>590</v>
      </c>
      <c r="S130" s="440">
        <v>640</v>
      </c>
      <c r="T130" s="412">
        <v>0</v>
      </c>
      <c r="U130" s="412">
        <v>25</v>
      </c>
      <c r="W130" s="412">
        <v>25</v>
      </c>
      <c r="X130" s="412">
        <v>50</v>
      </c>
    </row>
    <row r="131" spans="1:24" ht="15">
      <c r="A131" s="3"/>
      <c r="B131" s="615"/>
      <c r="C131" s="615"/>
      <c r="D131" s="615"/>
      <c r="E131" s="583"/>
      <c r="F131" s="584"/>
      <c r="G131" s="411" t="s">
        <v>92</v>
      </c>
      <c r="H131" s="440"/>
      <c r="I131" s="440">
        <v>78</v>
      </c>
      <c r="J131" s="440"/>
      <c r="K131" s="435"/>
      <c r="L131" s="440"/>
      <c r="M131" s="440">
        <v>340</v>
      </c>
      <c r="N131" s="440">
        <v>411</v>
      </c>
      <c r="O131" s="440">
        <v>542</v>
      </c>
      <c r="P131" s="440">
        <v>608</v>
      </c>
      <c r="Q131" s="440">
        <v>712</v>
      </c>
      <c r="R131" s="440">
        <v>741</v>
      </c>
      <c r="S131" s="440">
        <v>780</v>
      </c>
      <c r="T131" s="412">
        <v>0</v>
      </c>
      <c r="U131" s="412">
        <v>30</v>
      </c>
      <c r="W131" s="412">
        <v>27</v>
      </c>
      <c r="X131" s="412">
        <v>54</v>
      </c>
    </row>
    <row r="132" spans="1:19" ht="15">
      <c r="A132" s="3"/>
      <c r="B132" s="3"/>
      <c r="C132" s="3"/>
      <c r="D132" s="3"/>
      <c r="E132" s="3"/>
      <c r="F132" s="3"/>
      <c r="G132" s="2"/>
      <c r="H132" s="3"/>
      <c r="I132" s="3"/>
      <c r="J132" s="3"/>
      <c r="K132" s="3"/>
      <c r="L132" s="3"/>
      <c r="M132" s="3"/>
      <c r="N132" s="3"/>
      <c r="O132" s="3"/>
      <c r="R132" s="36"/>
      <c r="S132" s="36"/>
    </row>
    <row r="133" spans="1:19" ht="15">
      <c r="A133" s="3"/>
      <c r="B133" s="3"/>
      <c r="C133" s="3"/>
      <c r="D133" s="3"/>
      <c r="E133" s="3"/>
      <c r="F133" s="3"/>
      <c r="G133" s="2"/>
      <c r="H133" s="3"/>
      <c r="I133" s="3"/>
      <c r="J133" s="3"/>
      <c r="K133" s="3"/>
      <c r="L133" s="3"/>
      <c r="M133" s="3"/>
      <c r="N133" s="3"/>
      <c r="O133" s="3"/>
      <c r="R133" s="36"/>
      <c r="S133" s="36"/>
    </row>
    <row r="134" spans="1:19" ht="15">
      <c r="A134" s="3"/>
      <c r="B134" s="3"/>
      <c r="C134" s="3"/>
      <c r="D134" s="3"/>
      <c r="E134" s="3"/>
      <c r="F134" s="3"/>
      <c r="G134" s="2"/>
      <c r="H134" s="3"/>
      <c r="I134" s="3"/>
      <c r="J134" s="3"/>
      <c r="K134" s="3"/>
      <c r="L134" s="3"/>
      <c r="M134" s="3"/>
      <c r="N134" s="3"/>
      <c r="O134" s="3"/>
      <c r="R134" s="36"/>
      <c r="S134" s="36"/>
    </row>
    <row r="135" spans="1:19" ht="16.5" thickBot="1">
      <c r="A135" s="3"/>
      <c r="B135" s="308"/>
      <c r="C135" s="3"/>
      <c r="D135" s="3"/>
      <c r="E135" s="3"/>
      <c r="F135" s="3"/>
      <c r="G135" s="2"/>
      <c r="H135" s="3"/>
      <c r="I135" s="3"/>
      <c r="J135" s="3"/>
      <c r="K135" s="3"/>
      <c r="L135" s="3"/>
      <c r="M135" s="3"/>
      <c r="N135" s="3"/>
      <c r="O135" s="3"/>
      <c r="R135" s="36"/>
      <c r="S135" s="36"/>
    </row>
    <row r="136" spans="1:24" ht="15">
      <c r="A136" s="3"/>
      <c r="B136" s="3" t="s">
        <v>410</v>
      </c>
      <c r="C136" s="3"/>
      <c r="D136" s="3"/>
      <c r="E136" s="453" t="s">
        <v>331</v>
      </c>
      <c r="F136" s="454" t="s">
        <v>348</v>
      </c>
      <c r="G136" s="455"/>
      <c r="H136" s="456">
        <f aca="true" t="shared" si="4" ref="H136:S136">C30</f>
        <v>0</v>
      </c>
      <c r="I136" s="456">
        <f t="shared" si="4"/>
        <v>0</v>
      </c>
      <c r="J136" s="456">
        <f t="shared" si="4"/>
        <v>0</v>
      </c>
      <c r="K136" s="456" t="str">
        <f t="shared" si="4"/>
        <v>P1-P12 (Q1.2010-Q4.2012)</v>
      </c>
      <c r="L136" s="456" t="str">
        <f t="shared" si="4"/>
        <v>P13 (Q1.2013)</v>
      </c>
      <c r="M136" s="456" t="str">
        <f t="shared" si="4"/>
        <v>P14 (Q2.2013)</v>
      </c>
      <c r="N136" s="456" t="str">
        <f t="shared" si="4"/>
        <v>P15 (Q2.2013)</v>
      </c>
      <c r="O136" s="456" t="str">
        <f t="shared" si="4"/>
        <v>P16 (Q2.2013)</v>
      </c>
      <c r="P136" s="456">
        <f t="shared" si="4"/>
        <v>0</v>
      </c>
      <c r="Q136" s="456">
        <f t="shared" si="4"/>
        <v>0</v>
      </c>
      <c r="R136" s="456">
        <f t="shared" si="4"/>
        <v>0</v>
      </c>
      <c r="S136" s="457">
        <f t="shared" si="4"/>
        <v>0</v>
      </c>
      <c r="T136" s="456" t="str">
        <f>T112</f>
        <v>P13</v>
      </c>
      <c r="U136" s="457" t="str">
        <f>U112</f>
        <v>P14</v>
      </c>
      <c r="V136" s="457">
        <f>V112</f>
        <v>0</v>
      </c>
      <c r="W136" s="457" t="str">
        <f>W112</f>
        <v>P15</v>
      </c>
      <c r="X136" s="457" t="str">
        <f>X112</f>
        <v>P16</v>
      </c>
    </row>
    <row r="137" spans="1:24" ht="15">
      <c r="A137" s="3"/>
      <c r="B137" s="596" t="str">
        <f>IF(ISBLANK(B114),"",(B114))</f>
        <v>Number of people living with HIV/AIDS reached with care and support services 
(Numărul persoanelor care trăiesc cu HIV/SIDA şi au primit suport social)</v>
      </c>
      <c r="C137" s="596"/>
      <c r="D137" s="596"/>
      <c r="E137" s="585">
        <f>IF(ISBLANK(E114),"",(E114))</f>
        <v>4.2</v>
      </c>
      <c r="F137" s="585" t="str">
        <f>IF(ISBLANK(F114),"",(F114))</f>
        <v>Yes</v>
      </c>
      <c r="G137" s="458" t="s">
        <v>91</v>
      </c>
      <c r="H137" s="389">
        <f aca="true" t="shared" si="5" ref="H137:M137">H114</f>
        <v>3250</v>
      </c>
      <c r="I137" s="389">
        <f t="shared" si="5"/>
        <v>3500</v>
      </c>
      <c r="J137" s="389">
        <f t="shared" si="5"/>
        <v>3750</v>
      </c>
      <c r="K137" s="389">
        <f t="shared" si="5"/>
        <v>4000</v>
      </c>
      <c r="L137" s="389">
        <f t="shared" si="5"/>
        <v>4375</v>
      </c>
      <c r="M137" s="389">
        <f t="shared" si="5"/>
        <v>4750</v>
      </c>
      <c r="N137" s="389">
        <f aca="true" t="shared" si="6" ref="N137:S138">N114</f>
        <v>4832</v>
      </c>
      <c r="O137" s="389">
        <f t="shared" si="6"/>
        <v>5207</v>
      </c>
      <c r="P137" s="389">
        <f t="shared" si="6"/>
        <v>5357</v>
      </c>
      <c r="Q137" s="389">
        <f t="shared" si="6"/>
        <v>5507</v>
      </c>
      <c r="R137" s="389">
        <f t="shared" si="6"/>
        <v>5657</v>
      </c>
      <c r="S137" s="389">
        <f t="shared" si="6"/>
        <v>5807</v>
      </c>
      <c r="T137" s="389">
        <f aca="true" t="shared" si="7" ref="T137:U142">T114</f>
        <v>5947</v>
      </c>
      <c r="U137" s="389">
        <f t="shared" si="7"/>
        <v>6087</v>
      </c>
      <c r="V137" s="389">
        <f aca="true" t="shared" si="8" ref="V137:X142">V114</f>
        <v>0</v>
      </c>
      <c r="W137" s="389">
        <f t="shared" si="8"/>
        <v>6227</v>
      </c>
      <c r="X137" s="389">
        <f t="shared" si="8"/>
        <v>6367</v>
      </c>
    </row>
    <row r="138" spans="1:24" ht="15">
      <c r="A138" s="3"/>
      <c r="B138" s="596"/>
      <c r="C138" s="596"/>
      <c r="D138" s="596"/>
      <c r="E138" s="585"/>
      <c r="F138" s="585"/>
      <c r="G138" s="458" t="s">
        <v>92</v>
      </c>
      <c r="H138" s="389">
        <f aca="true" t="shared" si="9" ref="H138:K142">H115</f>
        <v>2093</v>
      </c>
      <c r="I138" s="389">
        <f t="shared" si="9"/>
        <v>2817</v>
      </c>
      <c r="J138" s="389">
        <f t="shared" si="9"/>
        <v>3197</v>
      </c>
      <c r="K138" s="389">
        <f t="shared" si="9"/>
        <v>3717</v>
      </c>
      <c r="L138" s="389">
        <f>L115</f>
        <v>3976</v>
      </c>
      <c r="M138" s="389">
        <f>M115</f>
        <v>4296</v>
      </c>
      <c r="N138" s="389">
        <f t="shared" si="6"/>
        <v>4564</v>
      </c>
      <c r="O138" s="389">
        <f t="shared" si="6"/>
        <v>4853</v>
      </c>
      <c r="P138" s="389">
        <f t="shared" si="6"/>
        <v>5107</v>
      </c>
      <c r="Q138" s="389">
        <f t="shared" si="6"/>
        <v>5327</v>
      </c>
      <c r="R138" s="389">
        <f t="shared" si="6"/>
        <v>5519</v>
      </c>
      <c r="S138" s="389">
        <f t="shared" si="6"/>
        <v>5704</v>
      </c>
      <c r="T138" s="389">
        <f t="shared" si="7"/>
        <v>5874</v>
      </c>
      <c r="U138" s="389">
        <f t="shared" si="7"/>
        <v>6085</v>
      </c>
      <c r="V138" s="389">
        <f t="shared" si="8"/>
        <v>0</v>
      </c>
      <c r="W138" s="389">
        <f t="shared" si="8"/>
        <v>6262</v>
      </c>
      <c r="X138" s="389">
        <f t="shared" si="8"/>
        <v>6444</v>
      </c>
    </row>
    <row r="139" spans="1:24" ht="15">
      <c r="A139" s="3"/>
      <c r="B139" s="614" t="str">
        <f>IF(ISBLANK(B116),"",(B116))</f>
        <v>Number of children infected and affected by HIV/AIDS who receive social support 
(Numărul de copii infectaţi şi afectaţi de HIV/SIDA care primesc suport social)</v>
      </c>
      <c r="C139" s="614"/>
      <c r="D139" s="614"/>
      <c r="E139" s="597">
        <f>IF(ISBLANK(E116),"",(E116))</f>
        <v>4.3</v>
      </c>
      <c r="F139" s="597" t="str">
        <f>IF(ISBLANK(F116),"",(F116))</f>
        <v>Yes</v>
      </c>
      <c r="G139" s="414" t="s">
        <v>91</v>
      </c>
      <c r="H139" s="415">
        <f t="shared" si="9"/>
        <v>95</v>
      </c>
      <c r="I139" s="415">
        <f>I116</f>
        <v>125</v>
      </c>
      <c r="J139" s="415">
        <f t="shared" si="9"/>
        <v>155</v>
      </c>
      <c r="K139" s="415">
        <f>K116</f>
        <v>185</v>
      </c>
      <c r="L139" s="415">
        <f aca="true" t="shared" si="10" ref="L139:S139">L116</f>
        <v>216</v>
      </c>
      <c r="M139" s="415">
        <f t="shared" si="10"/>
        <v>248</v>
      </c>
      <c r="N139" s="415">
        <f t="shared" si="10"/>
        <v>352</v>
      </c>
      <c r="O139" s="415">
        <f t="shared" si="10"/>
        <v>372</v>
      </c>
      <c r="P139" s="415">
        <f t="shared" si="10"/>
        <v>392</v>
      </c>
      <c r="Q139" s="415">
        <f t="shared" si="10"/>
        <v>412</v>
      </c>
      <c r="R139" s="415">
        <f t="shared" si="10"/>
        <v>432</v>
      </c>
      <c r="S139" s="415">
        <f t="shared" si="10"/>
        <v>452</v>
      </c>
      <c r="T139" s="415">
        <f t="shared" si="7"/>
        <v>230</v>
      </c>
      <c r="U139" s="415">
        <f t="shared" si="7"/>
        <v>244</v>
      </c>
      <c r="V139" s="415">
        <f t="shared" si="8"/>
        <v>0</v>
      </c>
      <c r="W139" s="415">
        <f t="shared" si="8"/>
        <v>258</v>
      </c>
      <c r="X139" s="415">
        <f t="shared" si="8"/>
        <v>272</v>
      </c>
    </row>
    <row r="140" spans="1:24" ht="28.5" customHeight="1">
      <c r="A140" s="3"/>
      <c r="B140" s="614"/>
      <c r="C140" s="614"/>
      <c r="D140" s="614"/>
      <c r="E140" s="597"/>
      <c r="F140" s="597"/>
      <c r="G140" s="414" t="s">
        <v>92</v>
      </c>
      <c r="H140" s="415">
        <f t="shared" si="9"/>
        <v>91</v>
      </c>
      <c r="I140" s="415">
        <f t="shared" si="9"/>
        <v>133</v>
      </c>
      <c r="J140" s="415">
        <f t="shared" si="9"/>
        <v>195</v>
      </c>
      <c r="K140" s="415">
        <f t="shared" si="9"/>
        <v>236</v>
      </c>
      <c r="L140" s="415">
        <f aca="true" t="shared" si="11" ref="L140:S140">L117</f>
        <v>298</v>
      </c>
      <c r="M140" s="415">
        <f t="shared" si="11"/>
        <v>332</v>
      </c>
      <c r="N140" s="415">
        <f t="shared" si="11"/>
        <v>363</v>
      </c>
      <c r="O140" s="415">
        <f t="shared" si="11"/>
        <v>395</v>
      </c>
      <c r="P140" s="415">
        <f t="shared" si="11"/>
        <v>395</v>
      </c>
      <c r="Q140" s="415">
        <f t="shared" si="11"/>
        <v>462</v>
      </c>
      <c r="R140" s="415">
        <f t="shared" si="11"/>
        <v>482</v>
      </c>
      <c r="S140" s="415">
        <f t="shared" si="11"/>
        <v>509</v>
      </c>
      <c r="T140" s="415">
        <f t="shared" si="7"/>
        <v>229</v>
      </c>
      <c r="U140" s="415">
        <f t="shared" si="7"/>
        <v>264</v>
      </c>
      <c r="V140" s="415">
        <f t="shared" si="8"/>
        <v>0</v>
      </c>
      <c r="W140" s="415">
        <f t="shared" si="8"/>
        <v>297</v>
      </c>
      <c r="X140" s="415">
        <f t="shared" si="8"/>
        <v>325</v>
      </c>
    </row>
    <row r="141" spans="1:24" ht="15">
      <c r="A141" s="3"/>
      <c r="B141" s="596" t="str">
        <f>IF(ISBLANK(B118),"",(B118))</f>
        <v>Number of Injecting drug users on opioid substitution therapy that receive at least 3 support services from NGOs working in DUs rehabilitation 
(Numărul de CDI care sunt în terapia de substituţie cu metadonă şi primesc cel puţin 3 servicii de suport din partea ONG-urilor care lucrează la reabilitarea CDI)           </v>
      </c>
      <c r="C141" s="596"/>
      <c r="D141" s="596"/>
      <c r="E141" s="585">
        <f>IF(ISBLANK(E118),"",(E118))</f>
        <v>4.4</v>
      </c>
      <c r="F141" s="585" t="str">
        <f>IF(ISBLANK(F118),"",(F118))</f>
        <v>Yes</v>
      </c>
      <c r="G141" s="458" t="s">
        <v>91</v>
      </c>
      <c r="H141" s="389">
        <f t="shared" si="9"/>
        <v>54</v>
      </c>
      <c r="I141" s="389">
        <f t="shared" si="9"/>
        <v>108</v>
      </c>
      <c r="J141" s="389">
        <f t="shared" si="9"/>
        <v>162</v>
      </c>
      <c r="K141" s="389">
        <f t="shared" si="9"/>
        <v>216</v>
      </c>
      <c r="L141" s="389">
        <f aca="true" t="shared" si="12" ref="L141:S141">L118</f>
        <v>280</v>
      </c>
      <c r="M141" s="389">
        <f t="shared" si="12"/>
        <v>344</v>
      </c>
      <c r="N141" s="389">
        <f t="shared" si="12"/>
        <v>407</v>
      </c>
      <c r="O141" s="389">
        <f t="shared" si="12"/>
        <v>471</v>
      </c>
      <c r="P141" s="389">
        <f t="shared" si="12"/>
        <v>511</v>
      </c>
      <c r="Q141" s="389">
        <f t="shared" si="12"/>
        <v>551</v>
      </c>
      <c r="R141" s="389">
        <f t="shared" si="12"/>
        <v>591</v>
      </c>
      <c r="S141" s="389">
        <f t="shared" si="12"/>
        <v>631</v>
      </c>
      <c r="T141" s="389">
        <f t="shared" si="7"/>
        <v>651</v>
      </c>
      <c r="U141" s="389">
        <f t="shared" si="7"/>
        <v>671</v>
      </c>
      <c r="V141" s="389">
        <f t="shared" si="8"/>
        <v>0</v>
      </c>
      <c r="W141" s="389">
        <f t="shared" si="8"/>
        <v>691</v>
      </c>
      <c r="X141" s="389">
        <f t="shared" si="8"/>
        <v>711</v>
      </c>
    </row>
    <row r="142" spans="1:24" ht="26.25" customHeight="1">
      <c r="A142" s="3"/>
      <c r="B142" s="596"/>
      <c r="C142" s="596"/>
      <c r="D142" s="596"/>
      <c r="E142" s="585"/>
      <c r="F142" s="585"/>
      <c r="G142" s="458" t="s">
        <v>92</v>
      </c>
      <c r="H142" s="389">
        <f t="shared" si="9"/>
        <v>61</v>
      </c>
      <c r="I142" s="389">
        <f t="shared" si="9"/>
        <v>131</v>
      </c>
      <c r="J142" s="389">
        <f t="shared" si="9"/>
        <v>180</v>
      </c>
      <c r="K142" s="389">
        <f t="shared" si="9"/>
        <v>225</v>
      </c>
      <c r="L142" s="389">
        <f aca="true" t="shared" si="13" ref="L142:S142">L119</f>
        <v>284</v>
      </c>
      <c r="M142" s="389">
        <f t="shared" si="13"/>
        <v>322</v>
      </c>
      <c r="N142" s="389">
        <f t="shared" si="13"/>
        <v>368</v>
      </c>
      <c r="O142" s="389">
        <f t="shared" si="13"/>
        <v>437</v>
      </c>
      <c r="P142" s="389">
        <f t="shared" si="13"/>
        <v>462</v>
      </c>
      <c r="Q142" s="389">
        <f t="shared" si="13"/>
        <v>481</v>
      </c>
      <c r="R142" s="389">
        <f t="shared" si="13"/>
        <v>500</v>
      </c>
      <c r="S142" s="389">
        <f t="shared" si="13"/>
        <v>534</v>
      </c>
      <c r="T142" s="389">
        <f t="shared" si="7"/>
        <v>554</v>
      </c>
      <c r="U142" s="389">
        <f t="shared" si="7"/>
        <v>579</v>
      </c>
      <c r="V142" s="389">
        <f t="shared" si="8"/>
        <v>0</v>
      </c>
      <c r="W142" s="389">
        <f t="shared" si="8"/>
        <v>592</v>
      </c>
      <c r="X142" s="389">
        <f t="shared" si="8"/>
        <v>632</v>
      </c>
    </row>
    <row r="143" spans="1:19" ht="15">
      <c r="A143" s="3"/>
      <c r="B143" s="3"/>
      <c r="C143" s="3"/>
      <c r="D143" s="3"/>
      <c r="E143" s="3"/>
      <c r="F143" s="3"/>
      <c r="G143" s="3"/>
      <c r="H143" s="3"/>
      <c r="I143" s="3"/>
      <c r="J143" s="3"/>
      <c r="K143" s="3"/>
      <c r="L143" s="3"/>
      <c r="M143" s="3"/>
      <c r="N143"/>
      <c r="O143"/>
      <c r="P143" s="36"/>
      <c r="Q143" s="36"/>
      <c r="S143" s="19"/>
    </row>
    <row r="144" spans="14:17" ht="15">
      <c r="N144"/>
      <c r="O144"/>
      <c r="P144" s="36"/>
      <c r="Q144" s="36"/>
    </row>
  </sheetData>
  <sheetProtection/>
  <mergeCells count="70">
    <mergeCell ref="C6:D6"/>
    <mergeCell ref="E6:F6"/>
    <mergeCell ref="B68:C68"/>
    <mergeCell ref="A114:A119"/>
    <mergeCell ref="B29:N29"/>
    <mergeCell ref="B114:D115"/>
    <mergeCell ref="B56:D56"/>
    <mergeCell ref="F118:F119"/>
    <mergeCell ref="B116:D117"/>
    <mergeCell ref="B118:D119"/>
    <mergeCell ref="B69:C69"/>
    <mergeCell ref="E118:E119"/>
    <mergeCell ref="B112:D112"/>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37:D138"/>
    <mergeCell ref="B139:D140"/>
    <mergeCell ref="B124:D125"/>
    <mergeCell ref="B126:D127"/>
    <mergeCell ref="B128:D129"/>
    <mergeCell ref="B130:D131"/>
    <mergeCell ref="B122:D123"/>
    <mergeCell ref="E128:E129"/>
    <mergeCell ref="B120:D121"/>
    <mergeCell ref="C12:D12"/>
    <mergeCell ref="D18:F18"/>
    <mergeCell ref="F128:F129"/>
    <mergeCell ref="F122:F123"/>
    <mergeCell ref="B67:C67"/>
    <mergeCell ref="B26:C26"/>
    <mergeCell ref="B104:B107"/>
    <mergeCell ref="F124:F125"/>
    <mergeCell ref="E126:E127"/>
    <mergeCell ref="F126:F127"/>
    <mergeCell ref="E120:E121"/>
    <mergeCell ref="E124:E125"/>
    <mergeCell ref="B141:D142"/>
    <mergeCell ref="E139:E140"/>
    <mergeCell ref="E122:E123"/>
    <mergeCell ref="F139:F140"/>
    <mergeCell ref="F120:F121"/>
    <mergeCell ref="E141:E142"/>
    <mergeCell ref="F141:F142"/>
    <mergeCell ref="E130:E131"/>
    <mergeCell ref="F130:F131"/>
    <mergeCell ref="E137:E138"/>
    <mergeCell ref="F137:F138"/>
    <mergeCell ref="O31:O34"/>
    <mergeCell ref="E114:E115"/>
    <mergeCell ref="F114:F115"/>
    <mergeCell ref="F116:F117"/>
    <mergeCell ref="E116:E117"/>
    <mergeCell ref="F43:I43"/>
  </mergeCells>
  <conditionalFormatting sqref="B34 B32 C31 C32:F33 M33:N33">
    <cfRule type="expression" priority="19" dxfId="33" stopIfTrue="1">
      <formula>+AND(B30&gt;=#REF!,B30&lt;=#REF!)</formula>
    </cfRule>
  </conditionalFormatting>
  <conditionalFormatting sqref="C34:F34 M34:N34">
    <cfRule type="expression" priority="20" dxfId="33" stopIfTrue="1">
      <formula>+AND(C32&gt;=#REF!,C32&lt;=#REF!)</formula>
    </cfRule>
  </conditionalFormatting>
  <conditionalFormatting sqref="C30:F30 C90:N90 L30:N30">
    <cfRule type="cellIs" priority="23" dxfId="58" operator="equal" stopIfTrue="1">
      <formula>$C$16</formula>
    </cfRule>
  </conditionalFormatting>
  <conditionalFormatting sqref="C12:D12">
    <cfRule type="cellIs" priority="25" dxfId="59" operator="equal" stopIfTrue="1">
      <formula>"C"</formula>
    </cfRule>
    <cfRule type="cellIs" priority="26" dxfId="60" operator="equal" stopIfTrue="1">
      <formula>"B2"</formula>
    </cfRule>
    <cfRule type="cellIs" priority="27" dxfId="61" operator="equal" stopIfTrue="1">
      <formula>"B1"</formula>
    </cfRule>
  </conditionalFormatting>
  <conditionalFormatting sqref="H112:U113 H136:X136">
    <cfRule type="cellIs" priority="34" dxfId="62" operator="equal" stopIfTrue="1">
      <formula>$C$16</formula>
    </cfRule>
  </conditionalFormatting>
  <conditionalFormatting sqref="F43:I43">
    <cfRule type="expression" priority="35" dxfId="6" stopIfTrue="1">
      <formula>LEFT($F$43,2)="OK"</formula>
    </cfRule>
  </conditionalFormatting>
  <conditionalFormatting sqref="L33">
    <cfRule type="expression" priority="17" dxfId="33" stopIfTrue="1">
      <formula>+AND(L32&gt;=#REF!,L32&lt;=#REF!)</formula>
    </cfRule>
  </conditionalFormatting>
  <conditionalFormatting sqref="L34">
    <cfRule type="expression" priority="18" dxfId="33" stopIfTrue="1">
      <formula>+AND(L32&gt;=#REF!,L32&lt;=#REF!)</formula>
    </cfRule>
  </conditionalFormatting>
  <conditionalFormatting sqref="F32:H32">
    <cfRule type="expression" priority="13" dxfId="33" stopIfTrue="1">
      <formula>+AND(F31&gt;='Data Entry'!#REF!,F31&lt;='Data Entry'!#REF!)</formula>
    </cfRule>
  </conditionalFormatting>
  <conditionalFormatting sqref="F30:K30">
    <cfRule type="cellIs" priority="15" dxfId="58" operator="equal" stopIfTrue="1">
      <formula>$C$16</formula>
    </cfRule>
  </conditionalFormatting>
  <conditionalFormatting sqref="F30:H30">
    <cfRule type="cellIs" priority="16" dxfId="62" operator="equal" stopIfTrue="1">
      <formula>$C$16</formula>
    </cfRule>
  </conditionalFormatting>
  <conditionalFormatting sqref="F33:I33">
    <cfRule type="expression" priority="11" dxfId="33" stopIfTrue="1">
      <formula>+AND(F32&gt;='Data Entry'!#REF!,F32&lt;='Data Entry'!#REF!)</formula>
    </cfRule>
  </conditionalFormatting>
  <conditionalFormatting sqref="F34:I34">
    <cfRule type="expression" priority="12" dxfId="33" stopIfTrue="1">
      <formula>+AND(F32&gt;='Data Entry'!#REF!,F32&lt;='Data Entry'!#REF!)</formula>
    </cfRule>
  </conditionalFormatting>
  <conditionalFormatting sqref="W112:W113">
    <cfRule type="cellIs" priority="10" dxfId="62" operator="equal" stopIfTrue="1">
      <formula>$C$16</formula>
    </cfRule>
  </conditionalFormatting>
  <conditionalFormatting sqref="X112:X113">
    <cfRule type="cellIs" priority="9" dxfId="62" operator="equal" stopIfTrue="1">
      <formula>$C$16</formula>
    </cfRule>
  </conditionalFormatting>
  <conditionalFormatting sqref="J33">
    <cfRule type="expression" priority="7" dxfId="33" stopIfTrue="1">
      <formula>+AND(J32&gt;='Data Entry'!#REF!,J32&lt;='Data Entry'!#REF!)</formula>
    </cfRule>
  </conditionalFormatting>
  <conditionalFormatting sqref="J34">
    <cfRule type="expression" priority="8" dxfId="33" stopIfTrue="1">
      <formula>+AND(J32&gt;='Data Entry'!#REF!,J32&lt;='Data Entry'!#REF!)</formula>
    </cfRule>
  </conditionalFormatting>
  <conditionalFormatting sqref="K33">
    <cfRule type="expression" priority="5" dxfId="33" stopIfTrue="1">
      <formula>+AND(K32&gt;='Data Entry'!#REF!,K32&lt;='Data Entry'!#REF!)</formula>
    </cfRule>
  </conditionalFormatting>
  <conditionalFormatting sqref="K34">
    <cfRule type="expression" priority="6" dxfId="33" stopIfTrue="1">
      <formula>+AND(K32&gt;='Data Entry'!#REF!,K32&lt;='Data Entry'!#REF!)</formula>
    </cfRule>
  </conditionalFormatting>
  <conditionalFormatting sqref="I33">
    <cfRule type="expression" priority="3" dxfId="33" stopIfTrue="1">
      <formula>+AND(I32&gt;='Data Entry'!#REF!,I32&lt;='Data Entry'!#REF!)</formula>
    </cfRule>
  </conditionalFormatting>
  <conditionalFormatting sqref="I34">
    <cfRule type="expression" priority="4" dxfId="33" stopIfTrue="1">
      <formula>+AND(I32&gt;='Data Entry'!#REF!,I32&lt;='Data Entry'!#REF!)</formula>
    </cfRule>
  </conditionalFormatting>
  <conditionalFormatting sqref="J33">
    <cfRule type="expression" priority="1" dxfId="33" stopIfTrue="1">
      <formula>+AND(J32&gt;='Data Entry'!#REF!,J32&lt;='Data Entry'!#REF!)</formula>
    </cfRule>
  </conditionalFormatting>
  <conditionalFormatting sqref="J34">
    <cfRule type="expression" priority="2" dxfId="33" stopIfTrue="1">
      <formula>+AND(J32&gt;='Data Entry'!#REF!,J32&lt;='Data Entry'!#REF!)</formula>
    </cfRule>
  </conditionalFormatting>
  <dataValidations count="9">
    <dataValidation type="list" allowBlank="1" showInputMessage="1" showErrorMessage="1" sqref="B104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4:C107">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4" max="255" man="1"/>
  </rowBreaks>
  <ignoredErrors>
    <ignoredError sqref="H136:S136 E137"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G11" sqref="G11"/>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56"/>
      <c r="H1" s="2"/>
      <c r="I1" s="2"/>
      <c r="J1" s="2"/>
    </row>
    <row r="2" ht="25.5" customHeight="1"/>
    <row r="3" spans="2:20" ht="36">
      <c r="B3" s="651" t="str">
        <f>+"Dashboard: "&amp;" "&amp;+IF('Data Entry'!C4="Please Select","",'Data Entry'!C4&amp;" - ")&amp;+IF('Data Entry'!G6="Please Select","",'Data Entry'!G6)</f>
        <v>Dashboard:  Moldova - HIV / AIDS</v>
      </c>
      <c r="C3" s="651"/>
      <c r="D3" s="651"/>
      <c r="E3" s="651"/>
      <c r="F3" s="651"/>
      <c r="G3" s="651"/>
      <c r="H3" s="651"/>
      <c r="I3" s="651"/>
      <c r="J3" s="651"/>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52" t="s">
        <v>31</v>
      </c>
      <c r="B6" s="652" t="str">
        <f>+IF('Data Entry'!C4="Please Select","",'Data Entry'!C4)</f>
        <v>Moldova</v>
      </c>
      <c r="C6" s="652"/>
      <c r="D6" s="655" t="s">
        <v>17</v>
      </c>
      <c r="E6" s="655"/>
      <c r="F6" s="656" t="str">
        <f>+'Data Entry'!G4</f>
        <v>Reducing HIV-related burden in the Republic of Moldova</v>
      </c>
      <c r="G6" s="656"/>
      <c r="H6" s="656"/>
      <c r="I6" s="656"/>
      <c r="J6" s="656"/>
      <c r="K6" s="48"/>
      <c r="L6" s="80"/>
      <c r="M6" s="48"/>
      <c r="N6" s="48"/>
      <c r="O6" s="48"/>
      <c r="P6" s="49"/>
      <c r="Q6" s="17"/>
      <c r="R6" s="17"/>
      <c r="S6" s="17"/>
      <c r="T6" s="17"/>
      <c r="U6" s="17"/>
    </row>
    <row r="7" spans="2:21" ht="8.25" customHeight="1">
      <c r="B7" s="6"/>
      <c r="C7" s="7"/>
      <c r="D7" s="7"/>
      <c r="E7" s="8"/>
      <c r="F7" s="8"/>
      <c r="G7" s="9"/>
      <c r="H7" s="9"/>
      <c r="K7" s="48"/>
      <c r="L7" s="48"/>
      <c r="M7" s="48"/>
      <c r="N7" s="48"/>
      <c r="O7" s="48"/>
      <c r="P7" s="49"/>
      <c r="Q7" s="17"/>
      <c r="R7" s="17"/>
      <c r="S7" s="17"/>
      <c r="T7" s="17"/>
      <c r="U7" s="17"/>
    </row>
    <row r="8" spans="3:21" ht="3.75" customHeight="1">
      <c r="C8" s="10"/>
      <c r="D8" s="10"/>
      <c r="E8" s="10"/>
      <c r="F8" s="10"/>
      <c r="G8" s="10"/>
      <c r="H8" s="10"/>
      <c r="I8" s="10"/>
      <c r="J8" s="10"/>
      <c r="K8" s="48"/>
      <c r="L8" s="48"/>
      <c r="M8" s="48"/>
      <c r="N8" s="48"/>
      <c r="O8" s="50"/>
      <c r="P8" s="49"/>
      <c r="Q8" s="50"/>
      <c r="R8" s="51"/>
      <c r="S8" s="17"/>
      <c r="T8" s="17"/>
      <c r="U8" s="17"/>
    </row>
    <row r="9" spans="1:24" ht="25.5" customHeight="1">
      <c r="A9" s="356" t="s">
        <v>32</v>
      </c>
      <c r="B9" s="325" t="str">
        <f>+IF('Data Entry'!G6="Please Select","",'Data Entry'!G6)</f>
        <v>HIV / AIDS</v>
      </c>
      <c r="C9" s="220" t="s">
        <v>332</v>
      </c>
      <c r="D9" s="326" t="str">
        <f>+'Data Entry'!C6</f>
        <v>MOL-H-PAS</v>
      </c>
      <c r="E9" s="654" t="s">
        <v>18</v>
      </c>
      <c r="F9" s="654"/>
      <c r="G9" s="327" t="str">
        <f>+IF(ISBLANK('Data Entry'!C10),"",'Data Entry'!C10)</f>
        <v>January 01, 2010</v>
      </c>
      <c r="H9" s="356" t="s">
        <v>333</v>
      </c>
      <c r="I9" s="653" t="str">
        <f>+IF(ISBLANK('Data Entry'!I6),"",'Data Entry'!I6)</f>
        <v>EUR 12057410</v>
      </c>
      <c r="J9" s="653"/>
      <c r="K9" s="48"/>
      <c r="L9" s="48"/>
      <c r="M9" s="48"/>
      <c r="N9" s="48"/>
      <c r="O9" s="50"/>
      <c r="P9" s="49"/>
      <c r="Q9" s="50"/>
      <c r="R9" s="51"/>
      <c r="S9" s="17"/>
      <c r="T9" s="11"/>
      <c r="U9" s="11"/>
      <c r="V9" s="10"/>
      <c r="W9" s="10"/>
      <c r="X9" s="10"/>
    </row>
    <row r="10" spans="1:21" ht="25.5" customHeight="1">
      <c r="A10" s="356" t="s">
        <v>327</v>
      </c>
      <c r="B10" s="328" t="str">
        <f>+IF('Data Entry'!G8="Please Select","",'Data Entry'!G8)</f>
        <v>SSF (Round 8)</v>
      </c>
      <c r="C10" s="220" t="s">
        <v>326</v>
      </c>
      <c r="D10" s="329" t="str">
        <f>+IF('Data Entry'!I8="Please Select","",'Data Entry'!I8)</f>
        <v>Period 2 </v>
      </c>
      <c r="E10" s="647" t="s">
        <v>273</v>
      </c>
      <c r="F10" s="647"/>
      <c r="G10" s="646" t="str">
        <f>+'Data Entry'!C8</f>
        <v>PAS Center</v>
      </c>
      <c r="H10" s="646"/>
      <c r="I10" s="646"/>
      <c r="J10" s="646"/>
      <c r="K10" s="52"/>
      <c r="L10" s="52"/>
      <c r="M10" s="48"/>
      <c r="N10" s="52"/>
      <c r="O10" s="50"/>
      <c r="P10" s="49"/>
      <c r="Q10" s="11"/>
      <c r="R10" s="51"/>
      <c r="S10" s="17"/>
      <c r="T10" s="11"/>
      <c r="U10" s="11"/>
    </row>
    <row r="11" spans="1:21" ht="25.5" customHeight="1">
      <c r="A11" s="356" t="s">
        <v>26</v>
      </c>
      <c r="B11" s="330" t="str">
        <f>+'Data Entry'!C16</f>
        <v>P8</v>
      </c>
      <c r="C11" s="311" t="s">
        <v>271</v>
      </c>
      <c r="D11" s="331" t="str">
        <f>+IF(ISBLANK('Data Entry'!E16),"",'Data Entry'!E16)</f>
        <v>July 01, 2013</v>
      </c>
      <c r="E11" s="654" t="s">
        <v>27</v>
      </c>
      <c r="F11" s="654"/>
      <c r="G11" s="331" t="str">
        <f>+IF(ISBLANK('Data Entry'!G16),"",'Data Entry'!G16)</f>
        <v>December 31, 2013</v>
      </c>
      <c r="H11" s="356" t="s">
        <v>34</v>
      </c>
      <c r="I11" s="648" t="str">
        <f>+IF('Data Entry'!C12="Please Select","",'Data Entry'!C12)</f>
        <v>A2</v>
      </c>
      <c r="J11" s="648"/>
      <c r="K11" s="255"/>
      <c r="L11" s="52"/>
      <c r="M11" s="48"/>
      <c r="N11" s="52"/>
      <c r="O11" s="52"/>
      <c r="P11" s="49"/>
      <c r="Q11" s="11"/>
      <c r="R11" s="51"/>
      <c r="S11" s="17"/>
      <c r="T11" s="12"/>
      <c r="U11" s="11"/>
    </row>
    <row r="12" spans="1:24" ht="25.5" customHeight="1">
      <c r="A12" s="356" t="s">
        <v>36</v>
      </c>
      <c r="B12" s="646" t="str">
        <f>+IF('Data Entry'!G10="Please Select","",'Data Entry'!G10)</f>
        <v>PwC (PricewaterhouseCoopers)</v>
      </c>
      <c r="C12" s="646"/>
      <c r="D12" s="646"/>
      <c r="E12" s="647" t="s">
        <v>294</v>
      </c>
      <c r="F12" s="647"/>
      <c r="G12" s="646" t="str">
        <f>+'Data Entry'!G12</f>
        <v>Tatiana Vinichenko</v>
      </c>
      <c r="H12" s="646"/>
      <c r="I12" s="646"/>
      <c r="J12" s="646"/>
      <c r="K12" s="52"/>
      <c r="L12" s="52"/>
      <c r="M12" s="48"/>
      <c r="N12" s="52"/>
      <c r="O12" s="17"/>
      <c r="P12" s="49"/>
      <c r="Q12" s="11"/>
      <c r="R12" s="51"/>
      <c r="S12" s="17"/>
      <c r="T12" s="11"/>
      <c r="U12" s="53"/>
      <c r="V12" s="11"/>
      <c r="W12" s="12"/>
      <c r="X12" s="11"/>
    </row>
    <row r="13" spans="1:21" ht="25.5" customHeight="1">
      <c r="A13" s="356" t="s">
        <v>37</v>
      </c>
      <c r="B13" s="646" t="str">
        <f>+'Data Entry'!D18</f>
        <v>PAS Center</v>
      </c>
      <c r="C13" s="646"/>
      <c r="D13" s="646"/>
      <c r="E13" s="647" t="s">
        <v>35</v>
      </c>
      <c r="F13" s="647"/>
      <c r="G13" s="649" t="str">
        <f>+IF(ISBLANK('Data Entry'!J16),"",'Data Entry'!J16)</f>
        <v>March 10, 2014</v>
      </c>
      <c r="H13" s="650"/>
      <c r="I13" s="650"/>
      <c r="J13" s="650"/>
      <c r="K13" s="17"/>
      <c r="L13" s="18"/>
      <c r="M13" s="18"/>
      <c r="N13" s="18"/>
      <c r="O13" s="17"/>
      <c r="P13" s="18"/>
      <c r="Q13" s="18"/>
      <c r="R13" s="51"/>
      <c r="S13" s="17"/>
      <c r="T13" s="18"/>
      <c r="U13" s="54"/>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29"/>
      <c r="D16" s="16"/>
      <c r="E16" s="357"/>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63" operator="equal" stopIfTrue="1">
      <formula>"C"</formula>
    </cfRule>
    <cfRule type="cellIs" priority="2" dxfId="60" operator="equal" stopIfTrue="1">
      <formula>"B2"</formula>
    </cfRule>
    <cfRule type="cellIs" priority="3" dxfId="61"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30" zoomScaleNormal="130" zoomScalePageLayoutView="0" workbookViewId="0" topLeftCell="A16">
      <selection activeCell="P20" sqref="P20"/>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13" t="str">
        <f>+"Dashboard:  "&amp;"  "&amp;IF(+'Data Entry'!C4="Please Select","",'Data Entry'!C4&amp;" - ")&amp;IF('Data Entry'!G6="Please Select","",'Data Entry'!G6)</f>
        <v>Dashboard:    Moldova - HIV / AIDS</v>
      </c>
      <c r="C2" s="613"/>
      <c r="D2" s="613"/>
      <c r="E2" s="613"/>
      <c r="F2" s="613"/>
      <c r="G2" s="613"/>
      <c r="H2" s="613"/>
      <c r="I2" s="613"/>
      <c r="J2" s="613"/>
      <c r="K2" s="613"/>
      <c r="L2" s="1"/>
      <c r="M2" s="1"/>
      <c r="N2" s="1"/>
      <c r="O2" s="1"/>
    </row>
    <row r="3" spans="2:12" ht="15">
      <c r="B3" s="128" t="str">
        <f>+IF('Data Entry'!G8="Please Select","",'Data Entry'!G8)</f>
        <v>SSF (Round 8)</v>
      </c>
      <c r="C3" s="665" t="str">
        <f>+IF('Data Entry'!I8="Please Select","",'Data Entry'!I8)</f>
        <v>Period 2 </v>
      </c>
      <c r="D3" s="665"/>
      <c r="E3" s="664"/>
      <c r="F3" s="664"/>
      <c r="G3" s="664"/>
      <c r="H3" s="664"/>
      <c r="I3" s="662" t="str">
        <f>+'Data Entry'!B16</f>
        <v>Report Period:</v>
      </c>
      <c r="J3" s="662"/>
      <c r="K3" s="193" t="str">
        <f>+'Data Entry'!C16</f>
        <v>P8</v>
      </c>
      <c r="L3" s="81"/>
    </row>
    <row r="4" spans="2:11" ht="15">
      <c r="B4" s="128" t="str">
        <f>+'Data Entry'!B12</f>
        <v>Latest Rating:</v>
      </c>
      <c r="C4" s="666" t="str">
        <f>+IF('Data Entry'!C12="Please Select","",'Data Entry'!C12)</f>
        <v>A2</v>
      </c>
      <c r="D4" s="666"/>
      <c r="E4" s="664" t="str">
        <f>+'Data Entry'!C8</f>
        <v>PAS Center</v>
      </c>
      <c r="F4" s="664"/>
      <c r="G4" s="664"/>
      <c r="H4" s="664"/>
      <c r="I4" s="662" t="str">
        <f>+'Data Entry'!D16</f>
        <v>From:</v>
      </c>
      <c r="J4" s="663"/>
      <c r="K4" s="195" t="str">
        <f>+IF(ISBLANK('Data Entry'!E16),"",'Data Entry'!E16)</f>
        <v>July 01, 2013</v>
      </c>
    </row>
    <row r="5" spans="2:11" ht="18.75" customHeight="1">
      <c r="B5" s="128"/>
      <c r="C5" s="128"/>
      <c r="D5" s="661" t="str">
        <f>+'Data Entry'!G4</f>
        <v>Reducing HIV-related burden in the Republic of Moldova</v>
      </c>
      <c r="E5" s="661"/>
      <c r="F5" s="661"/>
      <c r="G5" s="661"/>
      <c r="H5" s="661"/>
      <c r="I5" s="661"/>
      <c r="J5" s="128" t="str">
        <f>+'Data Entry'!F16</f>
        <v>To:</v>
      </c>
      <c r="K5" s="195" t="str">
        <f>+IF(ISBLANK('Data Entry'!G16),"",'Data Entry'!G16)</f>
        <v>December 31, 2013</v>
      </c>
    </row>
    <row r="6" spans="2:11" ht="18.75">
      <c r="B6" s="132"/>
      <c r="C6" s="128"/>
      <c r="D6" s="129"/>
      <c r="E6" s="667" t="s">
        <v>68</v>
      </c>
      <c r="F6" s="667"/>
      <c r="G6" s="667"/>
      <c r="H6" s="667"/>
      <c r="I6" s="3"/>
      <c r="J6" s="3"/>
      <c r="K6" s="3"/>
    </row>
    <row r="7" spans="2:11" ht="10.5" customHeight="1">
      <c r="B7" s="133"/>
      <c r="C7" s="134"/>
      <c r="D7" s="135"/>
      <c r="E7" s="136"/>
      <c r="F7" s="136"/>
      <c r="G7" s="137"/>
      <c r="H7" s="137"/>
      <c r="I7" s="131"/>
      <c r="J7" s="131"/>
      <c r="K7" s="130"/>
    </row>
    <row r="8" spans="2:11" ht="15">
      <c r="B8" s="198" t="str">
        <f>+'Data Entry'!B27&amp;" - in ("&amp;'Data Entry'!D26&amp;")         "&amp;+I3&amp;" "&amp;+K3</f>
        <v>F1: Budget and disbursements by Global Fund - in (€)         Report Period: P8</v>
      </c>
      <c r="C8" s="138"/>
      <c r="D8" s="2"/>
      <c r="E8" s="2"/>
      <c r="F8" s="2"/>
      <c r="H8" s="198" t="str">
        <f>+'Data Entry'!B45&amp;" - in ("&amp;'Data Entry'!D26&amp;")         "&amp;+I3&amp;" "&amp;+K3</f>
        <v>F3: Disbursements and expenditures - in (€)         Report Period: P8</v>
      </c>
      <c r="I8" s="3"/>
      <c r="J8" s="3"/>
      <c r="K8" s="3"/>
    </row>
    <row r="9" spans="2:11" ht="15" customHeight="1">
      <c r="B9" s="334" t="s">
        <v>14</v>
      </c>
      <c r="C9" s="673" t="s">
        <v>483</v>
      </c>
      <c r="D9" s="674"/>
      <c r="E9" s="674"/>
      <c r="F9" s="675"/>
      <c r="H9" s="335" t="s">
        <v>14</v>
      </c>
      <c r="I9" s="676" t="s">
        <v>485</v>
      </c>
      <c r="J9" s="677"/>
      <c r="K9" s="678"/>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199" t="str">
        <f>+'Data Entry'!B36&amp;" - in ("&amp;'Data Entry'!D26&amp;")  "&amp;+I3&amp;" "&amp;+K3</f>
        <v>F2: Budget and actual expenditures by Grant Objective - in (€)  Report Period: P8</v>
      </c>
      <c r="C22" s="2"/>
      <c r="D22" s="2"/>
      <c r="E22" s="2"/>
      <c r="F22" s="2"/>
      <c r="H22" s="199" t="str">
        <f>+'Data Entry'!B54&amp;"      "&amp;+I3&amp;" "&amp;+K3</f>
        <v>F4: Latest PR reporting and disbursement cycle      Report Period: P8</v>
      </c>
      <c r="J22" s="3"/>
      <c r="K22" s="3"/>
    </row>
    <row r="23" spans="2:11" ht="15" customHeight="1">
      <c r="B23" s="335" t="s">
        <v>15</v>
      </c>
      <c r="C23" s="673" t="s">
        <v>496</v>
      </c>
      <c r="D23" s="674"/>
      <c r="E23" s="674"/>
      <c r="F23" s="675"/>
      <c r="G23" s="353"/>
      <c r="H23" s="335" t="s">
        <v>14</v>
      </c>
      <c r="I23" s="673" t="s">
        <v>488</v>
      </c>
      <c r="J23" s="674"/>
      <c r="K23" s="674"/>
    </row>
    <row r="24" spans="2:11" ht="15.75" thickBot="1">
      <c r="B24" s="208"/>
      <c r="C24" s="208"/>
      <c r="D24" s="208"/>
      <c r="E24" s="208"/>
      <c r="F24" s="208"/>
      <c r="G24" s="208"/>
      <c r="H24" s="209"/>
      <c r="I24" s="209"/>
      <c r="J24" s="208"/>
      <c r="K24" s="208"/>
    </row>
    <row r="25" spans="2:11" ht="29.25" customHeight="1" thickBot="1">
      <c r="B25" s="3"/>
      <c r="C25" s="3"/>
      <c r="D25" s="3"/>
      <c r="E25" s="3"/>
      <c r="F25" s="3"/>
      <c r="G25" s="309"/>
      <c r="H25" s="668" t="s">
        <v>312</v>
      </c>
      <c r="I25" s="669"/>
      <c r="J25" s="669"/>
      <c r="K25" s="670"/>
    </row>
    <row r="26" spans="2:11" ht="24">
      <c r="B26" s="3"/>
      <c r="C26" s="3"/>
      <c r="D26" s="3"/>
      <c r="E26" s="3"/>
      <c r="F26" s="3"/>
      <c r="G26" s="274"/>
      <c r="H26" s="671"/>
      <c r="I26" s="672"/>
      <c r="J26" s="289" t="s">
        <v>66</v>
      </c>
      <c r="K26" s="290" t="s">
        <v>67</v>
      </c>
    </row>
    <row r="27" spans="2:11" ht="23.25" customHeight="1">
      <c r="B27" s="3"/>
      <c r="C27" s="3"/>
      <c r="D27" s="3"/>
      <c r="E27" s="3"/>
      <c r="F27" s="3"/>
      <c r="G27" s="310"/>
      <c r="H27" s="657" t="str">
        <f>'Data Entry'!B58</f>
        <v>Days taken to submit final PU/DR to LFA</v>
      </c>
      <c r="I27" s="658"/>
      <c r="J27" s="291">
        <f>+'Data Entry'!C58</f>
        <v>45</v>
      </c>
      <c r="K27" s="288">
        <f>+'Data Entry'!D58</f>
        <v>42</v>
      </c>
    </row>
    <row r="28" spans="2:11" ht="21" customHeight="1">
      <c r="B28" s="3"/>
      <c r="C28" s="3"/>
      <c r="D28" s="3"/>
      <c r="E28" s="3"/>
      <c r="F28" s="3"/>
      <c r="G28" s="310"/>
      <c r="H28" s="657" t="str">
        <f>'Data Entry'!B59</f>
        <v>Days taken for disbursement to reach PR</v>
      </c>
      <c r="I28" s="658"/>
      <c r="J28" s="291">
        <f>+'Data Entry'!C59</f>
        <v>45</v>
      </c>
      <c r="K28" s="288">
        <f>+'Data Entry'!D59</f>
        <v>83</v>
      </c>
    </row>
    <row r="29" spans="2:11" ht="21" customHeight="1" thickBot="1">
      <c r="B29" s="3"/>
      <c r="C29" s="3"/>
      <c r="D29" s="3"/>
      <c r="E29" s="3"/>
      <c r="F29" s="3"/>
      <c r="G29" s="310"/>
      <c r="H29" s="659" t="str">
        <f>'Data Entry'!B60</f>
        <v>Days taken for disbursement to reach SRs </v>
      </c>
      <c r="I29" s="660"/>
      <c r="J29" s="292">
        <f>+'Data Entry'!C60</f>
        <v>20</v>
      </c>
      <c r="K29" s="293">
        <f>+'Data Entry'!D60</f>
        <v>5</v>
      </c>
    </row>
    <row r="30" spans="2:11" ht="15">
      <c r="B30" s="3"/>
      <c r="C30" s="3"/>
      <c r="D30" s="3"/>
      <c r="E30" s="3"/>
      <c r="F30" s="3"/>
      <c r="G30" s="3"/>
      <c r="H30" s="3"/>
      <c r="I30" s="3"/>
      <c r="J30" s="3"/>
      <c r="K30" s="3"/>
    </row>
    <row r="31" spans="2:11" ht="15">
      <c r="B31" s="3"/>
      <c r="C31" s="15"/>
      <c r="D31" s="230"/>
      <c r="E31" s="3"/>
      <c r="F31" s="3"/>
      <c r="G31" s="3"/>
      <c r="H31" s="3"/>
      <c r="I31" s="3"/>
      <c r="J31" s="3"/>
      <c r="K31" s="3"/>
    </row>
    <row r="32" spans="2:11" ht="15">
      <c r="B32" s="3"/>
      <c r="C32" s="15"/>
      <c r="D32" s="230"/>
      <c r="E32" s="3"/>
      <c r="F32" s="3"/>
      <c r="G32" s="3"/>
      <c r="H32" s="3"/>
      <c r="I32" s="3"/>
      <c r="J32" s="3"/>
      <c r="K32" s="3"/>
    </row>
    <row r="34" ht="1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64" operator="greaterThan" stopIfTrue="1">
      <formula>J27</formula>
    </cfRule>
    <cfRule type="cellIs" priority="5" dxfId="65" operator="between" stopIfTrue="1">
      <formula>J27</formula>
      <formula>1</formula>
    </cfRule>
    <cfRule type="cellIs" priority="6" dxfId="27" operator="equal" stopIfTrue="1">
      <formula>0</formula>
    </cfRule>
  </conditionalFormatting>
  <conditionalFormatting sqref="C4:D4">
    <cfRule type="cellIs" priority="1" dxfId="63" operator="equal" stopIfTrue="1">
      <formula>"C"</formula>
    </cfRule>
    <cfRule type="cellIs" priority="2" dxfId="60" operator="equal" stopIfTrue="1">
      <formula>"B2"</formula>
    </cfRule>
    <cfRule type="cellIs" priority="3" dxfId="6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7">
      <selection activeCell="F48" sqref="F48"/>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25.42187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29.140625" style="0" customWidth="1"/>
  </cols>
  <sheetData>
    <row r="1" spans="3:5" ht="28.5" customHeight="1">
      <c r="C1" s="226"/>
      <c r="E1" s="227"/>
    </row>
    <row r="2" spans="2:16" ht="27.75" customHeight="1">
      <c r="B2" s="692" t="str">
        <f>+"Dashboard:  "&amp;"  "&amp;IF(+'Data Entry'!C4="Please Select","",'Data Entry'!C4&amp;" - ")&amp;IF('Data Entry'!G6="Please Select","",'Data Entry'!G6)</f>
        <v>Dashboard:    Moldova - HIV / AIDS</v>
      </c>
      <c r="C2" s="692"/>
      <c r="D2" s="692"/>
      <c r="E2" s="692"/>
      <c r="F2" s="692"/>
      <c r="G2" s="692"/>
      <c r="H2" s="692"/>
      <c r="I2" s="692"/>
      <c r="J2" s="692"/>
      <c r="K2" s="692"/>
      <c r="L2" s="692"/>
      <c r="M2" s="26"/>
      <c r="N2" s="26"/>
      <c r="O2" s="26"/>
      <c r="P2" s="26"/>
    </row>
    <row r="3" spans="2:12" ht="15">
      <c r="B3" s="24" t="str">
        <f>+IF('Data Entry'!G8="Please Select","",'Data Entry'!G8)</f>
        <v>SSF (Round 8)</v>
      </c>
      <c r="C3" s="679" t="str">
        <f>+IF('Data Entry'!I8="Please Select","",'Data Entry'!I8)</f>
        <v>Period 2 </v>
      </c>
      <c r="D3" s="679"/>
      <c r="E3" s="680"/>
      <c r="F3" s="680"/>
      <c r="G3" s="680"/>
      <c r="H3" s="680"/>
      <c r="I3" s="680"/>
      <c r="J3" s="684" t="str">
        <f>+'Data Entry'!B16</f>
        <v>Report Period:</v>
      </c>
      <c r="K3" s="684"/>
      <c r="L3" s="193" t="str">
        <f>+'Data Entry'!C16</f>
        <v>P8</v>
      </c>
    </row>
    <row r="4" spans="2:12" ht="15">
      <c r="B4" s="24" t="str">
        <f>+'Data Entry'!B12</f>
        <v>Latest Rating:</v>
      </c>
      <c r="C4" s="666" t="str">
        <f>+IF('Data Entry'!C12="Please Select","",'Data Entry'!C12)</f>
        <v>A2</v>
      </c>
      <c r="D4" s="666"/>
      <c r="E4" s="680" t="str">
        <f>+'Data Entry'!C8</f>
        <v>PAS Center</v>
      </c>
      <c r="F4" s="680"/>
      <c r="G4" s="680"/>
      <c r="H4" s="680"/>
      <c r="I4" s="680"/>
      <c r="J4" s="684" t="str">
        <f>+'Data Entry'!D16</f>
        <v>From:</v>
      </c>
      <c r="K4" s="685"/>
      <c r="L4" s="195" t="str">
        <f>+IF(ISBLANK('Data Entry'!E16),"",'Data Entry'!E16)</f>
        <v>July 01, 2013</v>
      </c>
    </row>
    <row r="5" spans="2:12" ht="18.75" customHeight="1">
      <c r="B5" s="24"/>
      <c r="C5" s="24"/>
      <c r="D5" s="680" t="str">
        <f>+'Data Entry'!G4</f>
        <v>Reducing HIV-related burden in the Republic of Moldova</v>
      </c>
      <c r="E5" s="680"/>
      <c r="F5" s="680"/>
      <c r="G5" s="680"/>
      <c r="H5" s="680"/>
      <c r="I5" s="680"/>
      <c r="J5" s="680"/>
      <c r="K5" s="24" t="str">
        <f>+'Data Entry'!F16</f>
        <v>To:</v>
      </c>
      <c r="L5" s="195" t="str">
        <f>+IF(ISBLANK('Data Entry'!G16),"",'Data Entry'!G16)</f>
        <v>December 31, 2013</v>
      </c>
    </row>
    <row r="6" spans="2:9" ht="18.75">
      <c r="B6" s="23"/>
      <c r="C6" s="24"/>
      <c r="D6" s="25"/>
      <c r="E6" s="693" t="s">
        <v>75</v>
      </c>
      <c r="F6" s="693"/>
      <c r="G6" s="693"/>
      <c r="H6" s="693"/>
      <c r="I6" s="693"/>
    </row>
    <row r="7" spans="2:8" ht="15">
      <c r="B7" s="354" t="str">
        <f>+'Data Entry'!B65&amp;"                "&amp;+J3&amp;" "&amp;+L3</f>
        <v>M1: Status of Conditions Precedent (CPs) and Time Bound Actions (TBAs)                Report Period: P8</v>
      </c>
      <c r="C7" s="21"/>
      <c r="H7" s="354" t="str">
        <f>+'Data Entry'!B72&amp;"                                                                             "&amp;+J3&amp;"  "&amp;+L3</f>
        <v>M2: Status of key PR management positions                                                                             Report Period:  P8</v>
      </c>
    </row>
    <row r="8" spans="2:12" ht="57" customHeight="1">
      <c r="B8" s="336" t="s">
        <v>14</v>
      </c>
      <c r="C8" s="673" t="s">
        <v>498</v>
      </c>
      <c r="D8" s="686"/>
      <c r="E8" s="686"/>
      <c r="F8" s="687"/>
      <c r="G8" s="355"/>
      <c r="H8" s="335" t="s">
        <v>14</v>
      </c>
      <c r="I8" s="673" t="s">
        <v>489</v>
      </c>
      <c r="J8" s="686"/>
      <c r="K8" s="686"/>
      <c r="L8" s="687"/>
    </row>
    <row r="9" spans="2:8" ht="15">
      <c r="B9" s="19"/>
      <c r="C9" s="19"/>
      <c r="D9" s="19"/>
      <c r="E9" s="19"/>
      <c r="F9" s="19"/>
      <c r="G9" s="19"/>
      <c r="H9" s="19"/>
    </row>
    <row r="10" spans="1:16" ht="15">
      <c r="A10" s="45"/>
      <c r="B10" s="19"/>
      <c r="C10" s="19"/>
      <c r="D10" s="699"/>
      <c r="E10" s="529"/>
      <c r="F10" s="529"/>
      <c r="G10" s="202"/>
      <c r="H10" s="19"/>
      <c r="N10" s="47"/>
      <c r="O10" s="47"/>
      <c r="P10" s="46"/>
    </row>
    <row r="11" spans="2:15" ht="15">
      <c r="B11" s="19"/>
      <c r="C11" s="28"/>
      <c r="D11" s="699"/>
      <c r="E11" s="28"/>
      <c r="F11" s="28"/>
      <c r="G11" s="28"/>
      <c r="H11" s="28"/>
      <c r="N11" s="19"/>
      <c r="O11" s="19"/>
    </row>
    <row r="12" spans="2:8" ht="15">
      <c r="B12" s="28"/>
      <c r="C12" s="77"/>
      <c r="D12" s="78"/>
      <c r="E12" s="78"/>
      <c r="F12" s="78"/>
      <c r="G12" s="78"/>
      <c r="H12" s="79"/>
    </row>
    <row r="13" spans="2:8" ht="15">
      <c r="B13" s="28"/>
      <c r="C13" s="77"/>
      <c r="D13" s="78"/>
      <c r="E13" s="78"/>
      <c r="F13" s="78"/>
      <c r="G13" s="78"/>
      <c r="H13" s="79"/>
    </row>
    <row r="15" spans="2:8" ht="27.75" customHeight="1">
      <c r="B15" s="354" t="str">
        <f>+'Data Entry'!B77&amp;"                                                                                                  "&amp;+J3&amp;" "&amp;+L3</f>
        <v>M3: Contractual arrangements (SRs)                                                                                                   Report Period: P8</v>
      </c>
      <c r="H15" s="354" t="str">
        <f>+'Data Entry'!B82&amp;"                                                             "&amp;+J3&amp;" "&amp;+L3</f>
        <v>M4: Number of complete reports received on time                                                             Report Period: P8</v>
      </c>
    </row>
    <row r="16" spans="2:12" ht="318" customHeight="1">
      <c r="B16" s="336" t="s">
        <v>14</v>
      </c>
      <c r="C16" s="673" t="s">
        <v>500</v>
      </c>
      <c r="D16" s="686"/>
      <c r="E16" s="686"/>
      <c r="F16" s="687"/>
      <c r="G16" s="355"/>
      <c r="H16" s="335" t="s">
        <v>14</v>
      </c>
      <c r="I16" s="694" t="s">
        <v>499</v>
      </c>
      <c r="J16" s="695"/>
      <c r="K16" s="695"/>
      <c r="L16" s="696"/>
    </row>
    <row r="17" spans="2:8" ht="15">
      <c r="B17" s="29"/>
      <c r="H17" s="30"/>
    </row>
    <row r="18" ht="15">
      <c r="M18" s="81"/>
    </row>
    <row r="26" spans="2:8" ht="15">
      <c r="B26" s="354" t="str">
        <f>+'Data Entry'!B88</f>
        <v>M5: Budget and Procurement of health products, health equipment, medicines and pharmaceuticals</v>
      </c>
      <c r="H26" s="354" t="str">
        <f>+'Data Entry'!B101&amp;"                                                                "&amp;+J3&amp;"  "&amp;+L3</f>
        <v>M6: Difference between current and safety stock                                                                Report Period:  P8</v>
      </c>
    </row>
    <row r="27" spans="2:12" ht="15">
      <c r="B27" s="334" t="s">
        <v>14</v>
      </c>
      <c r="C27" s="689" t="s">
        <v>4</v>
      </c>
      <c r="D27" s="690"/>
      <c r="E27" s="690"/>
      <c r="F27" s="691"/>
      <c r="G27" s="355"/>
      <c r="H27" s="335" t="s">
        <v>14</v>
      </c>
      <c r="I27" s="676" t="s">
        <v>4</v>
      </c>
      <c r="J27" s="697"/>
      <c r="K27" s="697"/>
      <c r="L27" s="698"/>
    </row>
    <row r="28" ht="15.75" thickBot="1"/>
    <row r="29" spans="6:12" ht="44.25" customHeight="1">
      <c r="F29" s="316"/>
      <c r="G29" s="316"/>
      <c r="H29" s="214" t="s">
        <v>38</v>
      </c>
      <c r="I29" s="312" t="s">
        <v>85</v>
      </c>
      <c r="J29" s="333" t="s">
        <v>347</v>
      </c>
      <c r="K29" s="213" t="s">
        <v>335</v>
      </c>
      <c r="L29" s="313" t="s">
        <v>334</v>
      </c>
    </row>
    <row r="30" spans="6:12" ht="15" customHeight="1">
      <c r="F30" s="316"/>
      <c r="G30" s="316"/>
      <c r="H30" s="681" t="str">
        <f>+'Data Entry'!B104</f>
        <v>HIV / AIDS</v>
      </c>
      <c r="I30" s="314" t="str">
        <f>+'Data Entry'!C104</f>
        <v>Please Select</v>
      </c>
      <c r="J30" s="406">
        <f>+'Data Entry'!I104</f>
      </c>
      <c r="K30" s="407">
        <f>+'Data Entry'!J104</f>
        <v>0</v>
      </c>
      <c r="L30" s="391">
        <f>+'Data Entry'!K104</f>
      </c>
    </row>
    <row r="31" spans="6:12" ht="15">
      <c r="F31" s="316"/>
      <c r="G31" s="316"/>
      <c r="H31" s="682"/>
      <c r="I31" s="314" t="str">
        <f>+'Data Entry'!C105</f>
        <v>Please Select</v>
      </c>
      <c r="J31" s="406">
        <f>+'Data Entry'!I105</f>
      </c>
      <c r="K31" s="407">
        <f>+'Data Entry'!J105</f>
        <v>0</v>
      </c>
      <c r="L31" s="392">
        <f>+'Data Entry'!K105</f>
      </c>
    </row>
    <row r="32" spans="6:12" ht="15">
      <c r="F32" s="316"/>
      <c r="G32" s="316"/>
      <c r="H32" s="682"/>
      <c r="I32" s="314" t="str">
        <f>+'Data Entry'!C106</f>
        <v>Please Select</v>
      </c>
      <c r="J32" s="406">
        <f>+'Data Entry'!I106</f>
      </c>
      <c r="K32" s="407">
        <f>+'Data Entry'!J106</f>
        <v>0</v>
      </c>
      <c r="L32" s="391">
        <f>+'Data Entry'!K106</f>
      </c>
    </row>
    <row r="33" spans="6:12" ht="15.75" thickBot="1">
      <c r="F33" s="316"/>
      <c r="G33" s="316"/>
      <c r="H33" s="683"/>
      <c r="I33" s="315" t="str">
        <f>+'Data Entry'!C107</f>
        <v>Please Select</v>
      </c>
      <c r="J33" s="408">
        <f>+'Data Entry'!I107</f>
      </c>
      <c r="K33" s="409">
        <f>+'Data Entry'!J107</f>
        <v>0</v>
      </c>
      <c r="L33" s="391">
        <f>+'Data Entry'!K107</f>
      </c>
    </row>
    <row r="34" spans="2:12" ht="24.75" customHeight="1">
      <c r="B34" s="688" t="str">
        <f>+'Data Entry'!B98</f>
        <v>* Includes only EFR category 4 and 5  (Health products and health equipment &amp; Medicines and Pharmaceuticals)</v>
      </c>
      <c r="C34" s="688"/>
      <c r="D34" s="688"/>
      <c r="E34" s="688"/>
      <c r="F34" s="19"/>
      <c r="G34" s="19"/>
      <c r="H34" s="210"/>
      <c r="I34" s="211"/>
      <c r="J34" s="212"/>
      <c r="K34" s="202"/>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63" operator="greaterThan" stopIfTrue="1">
      <formula>0</formula>
    </cfRule>
  </conditionalFormatting>
  <conditionalFormatting sqref="C4:D4">
    <cfRule type="cellIs" priority="4" dxfId="63" operator="equal" stopIfTrue="1">
      <formula>"C"</formula>
    </cfRule>
    <cfRule type="cellIs" priority="5" dxfId="60" operator="equal" stopIfTrue="1">
      <formula>"B2"</formula>
    </cfRule>
    <cfRule type="cellIs" priority="6" dxfId="61" operator="equal" stopIfTrue="1">
      <formula>"B1"</formula>
    </cfRule>
  </conditionalFormatting>
  <conditionalFormatting sqref="L30 L32:L33">
    <cfRule type="cellIs" priority="13" dxfId="66" operator="lessThan" stopIfTrue="1">
      <formula>1</formula>
    </cfRule>
    <cfRule type="cellIs" priority="14" dxfId="67" operator="between" stopIfTrue="1">
      <formula>3</formula>
      <formula>17</formula>
    </cfRule>
    <cfRule type="cellIs" priority="15" dxfId="68" operator="between" stopIfTrue="1">
      <formula>1</formula>
      <formula>3</formula>
    </cfRule>
  </conditionalFormatting>
  <conditionalFormatting sqref="L31">
    <cfRule type="cellIs" priority="16" dxfId="66" operator="lessThan" stopIfTrue="1">
      <formula>1</formula>
    </cfRule>
    <cfRule type="cellIs" priority="17" dxfId="67" operator="between" stopIfTrue="1">
      <formula>3</formula>
      <formula>100</formula>
    </cfRule>
    <cfRule type="cellIs" priority="18" dxfId="68"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5"/>
  <sheetViews>
    <sheetView showGridLines="0" tabSelected="1" zoomScale="115" zoomScaleNormal="115" zoomScalePageLayoutView="0" workbookViewId="0" topLeftCell="A25">
      <selection activeCell="L25" sqref="L25:Q25"/>
    </sheetView>
  </sheetViews>
  <sheetFormatPr defaultColWidth="11.00390625" defaultRowHeight="15"/>
  <cols>
    <col min="1" max="1" width="0.42578125" style="0" customWidth="1"/>
    <col min="2" max="2" width="11.28125" style="0" customWidth="1"/>
    <col min="3" max="3" width="16.140625" style="0" customWidth="1"/>
    <col min="4" max="4" width="26.140625" style="0" customWidth="1"/>
    <col min="5" max="5" width="8.00390625" style="0" customWidth="1"/>
    <col min="6" max="6" width="7.7109375" style="0" customWidth="1"/>
    <col min="7" max="7" width="5.7109375" style="0" customWidth="1"/>
    <col min="8" max="8" width="16.421875" style="0" customWidth="1"/>
    <col min="9" max="9" width="6.00390625" style="0" customWidth="1"/>
    <col min="10" max="10" width="16.7109375" style="0" customWidth="1"/>
    <col min="11" max="11" width="20.851562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53.4218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10" t="str">
        <f>+"Dashboard:  "&amp;"  "&amp;IF(+'Data Entry'!C4="Please Select","",'Data Entry'!C4&amp;" - ")&amp;IF('Data Entry'!G6="Please Select","",'Data Entry'!G6)</f>
        <v>Dashboard:    Moldova - HIV / AIDS</v>
      </c>
      <c r="C2" s="710"/>
      <c r="D2" s="710"/>
      <c r="E2" s="710"/>
      <c r="F2" s="710"/>
      <c r="G2" s="710"/>
      <c r="H2" s="710"/>
      <c r="I2" s="710"/>
      <c r="J2" s="710"/>
      <c r="K2" s="710"/>
      <c r="L2" s="710"/>
      <c r="M2" s="710"/>
      <c r="N2" s="710"/>
      <c r="O2" s="710"/>
      <c r="P2" s="710"/>
      <c r="Q2" s="710"/>
    </row>
    <row r="3" spans="1:17" ht="18.75">
      <c r="A3" s="3"/>
      <c r="B3" s="128" t="str">
        <f>+IF('Data Entry'!G8="Please Select","",'Data Entry'!G8)</f>
        <v>SSF (Round 8)</v>
      </c>
      <c r="C3" s="665" t="str">
        <f>+IF('Data Entry'!I8="Please Select","",'Data Entry'!I8)</f>
        <v>Period 2 </v>
      </c>
      <c r="D3" s="665"/>
      <c r="E3" s="664"/>
      <c r="F3" s="664"/>
      <c r="G3" s="664"/>
      <c r="H3" s="664"/>
      <c r="I3" s="715"/>
      <c r="J3" s="715"/>
      <c r="K3" s="715"/>
      <c r="L3" s="3"/>
      <c r="M3" s="3"/>
      <c r="O3" s="662" t="str">
        <f>+'Data Entry'!B16</f>
        <v>Report Period:</v>
      </c>
      <c r="P3" s="662"/>
      <c r="Q3" s="194" t="str">
        <f>+'Data Entry'!C16</f>
        <v>P8</v>
      </c>
    </row>
    <row r="4" spans="1:29" ht="12" customHeight="1">
      <c r="A4" s="3"/>
      <c r="B4" s="128" t="str">
        <f>+'Data Entry'!B12</f>
        <v>Latest Rating:</v>
      </c>
      <c r="C4" s="716" t="str">
        <f>+IF('Data Entry'!C12="Please Select","",'Data Entry'!C12)</f>
        <v>A2</v>
      </c>
      <c r="D4" s="716"/>
      <c r="E4" s="664" t="str">
        <f>+'Data Entry'!C8</f>
        <v>PAS Center</v>
      </c>
      <c r="F4" s="664"/>
      <c r="G4" s="664"/>
      <c r="H4" s="664"/>
      <c r="I4" s="664"/>
      <c r="J4" s="664"/>
      <c r="K4" s="664"/>
      <c r="L4" s="664"/>
      <c r="M4" s="3"/>
      <c r="O4" s="318"/>
      <c r="P4" s="128" t="str">
        <f>+'Data Entry'!D16</f>
        <v>From:</v>
      </c>
      <c r="Q4" s="319" t="str">
        <f>+IF(ISBLANK('Data Entry'!E16),"",'Data Entry'!E16)</f>
        <v>July 01, 2013</v>
      </c>
      <c r="Y4" s="69"/>
      <c r="Z4" s="69"/>
      <c r="AA4" s="69"/>
      <c r="AB4" s="69"/>
      <c r="AC4" s="69"/>
    </row>
    <row r="5" spans="1:35" ht="15.75" customHeight="1">
      <c r="A5" s="3"/>
      <c r="B5" s="128"/>
      <c r="C5" s="128"/>
      <c r="D5" s="664" t="str">
        <f>+'Data Entry'!G4</f>
        <v>Reducing HIV-related burden in the Republic of Moldova</v>
      </c>
      <c r="E5" s="664"/>
      <c r="F5" s="664"/>
      <c r="G5" s="664"/>
      <c r="H5" s="664"/>
      <c r="I5" s="664"/>
      <c r="J5" s="664"/>
      <c r="K5" s="664"/>
      <c r="L5" s="664"/>
      <c r="M5" s="664"/>
      <c r="N5" s="664"/>
      <c r="P5" s="128" t="str">
        <f>+'Data Entry'!F16</f>
        <v>To:</v>
      </c>
      <c r="Q5" s="319" t="str">
        <f>+IF(ISBLANK('Data Entry'!G16),"",'Data Entry'!G16)</f>
        <v>December 31, 2013</v>
      </c>
      <c r="S5" s="221"/>
      <c r="T5" s="221"/>
      <c r="U5" s="221"/>
      <c r="V5" s="221"/>
      <c r="W5" s="221"/>
      <c r="X5" s="221"/>
      <c r="Y5" s="69"/>
      <c r="Z5" s="69"/>
      <c r="AA5" s="69" t="s">
        <v>48</v>
      </c>
      <c r="AB5" s="69"/>
      <c r="AC5" s="69" t="s">
        <v>269</v>
      </c>
      <c r="AD5" s="221"/>
      <c r="AE5" s="221"/>
      <c r="AF5" s="221"/>
      <c r="AG5" s="221"/>
      <c r="AH5" s="221"/>
      <c r="AI5" s="221"/>
    </row>
    <row r="6" spans="1:35" ht="15.75" customHeight="1">
      <c r="A6" s="3"/>
      <c r="B6" s="128"/>
      <c r="C6" s="128"/>
      <c r="D6" s="219"/>
      <c r="E6" s="219"/>
      <c r="F6" s="711" t="s">
        <v>397</v>
      </c>
      <c r="G6" s="711"/>
      <c r="H6" s="711"/>
      <c r="I6" s="711"/>
      <c r="J6" s="711"/>
      <c r="K6" s="711"/>
      <c r="L6" s="219"/>
      <c r="M6" s="3"/>
      <c r="N6" s="3"/>
      <c r="O6" s="196"/>
      <c r="P6" s="248"/>
      <c r="S6" s="221"/>
      <c r="T6" s="221"/>
      <c r="U6" s="221"/>
      <c r="V6" s="221"/>
      <c r="W6" s="221"/>
      <c r="X6" s="221"/>
      <c r="Y6" s="69"/>
      <c r="Z6" s="69"/>
      <c r="AA6" s="69"/>
      <c r="AB6" s="69"/>
      <c r="AC6" s="69"/>
      <c r="AD6" s="221"/>
      <c r="AE6" s="221"/>
      <c r="AF6" s="221"/>
      <c r="AG6" s="221"/>
      <c r="AH6" s="221"/>
      <c r="AI6" s="221"/>
    </row>
    <row r="7" spans="1:35" ht="3" customHeight="1">
      <c r="A7" s="3"/>
      <c r="B7" s="128"/>
      <c r="C7" s="128"/>
      <c r="D7" s="219"/>
      <c r="E7" s="219"/>
      <c r="F7" s="219"/>
      <c r="G7" s="219"/>
      <c r="H7" s="219"/>
      <c r="I7" s="219"/>
      <c r="J7" s="219"/>
      <c r="K7" s="219"/>
      <c r="L7" s="219"/>
      <c r="M7" s="3"/>
      <c r="N7" s="3"/>
      <c r="O7" s="196"/>
      <c r="P7" s="195"/>
      <c r="Q7" s="195"/>
      <c r="S7" s="221"/>
      <c r="T7" s="221"/>
      <c r="U7" s="221"/>
      <c r="V7" s="221"/>
      <c r="W7" s="221"/>
      <c r="X7" s="221"/>
      <c r="Y7" s="69"/>
      <c r="Z7" s="69"/>
      <c r="AA7" s="69"/>
      <c r="AB7" s="69"/>
      <c r="AC7" s="69"/>
      <c r="AD7" s="221"/>
      <c r="AE7" s="221"/>
      <c r="AF7" s="221"/>
      <c r="AG7" s="221"/>
      <c r="AH7" s="221"/>
      <c r="AI7" s="221"/>
    </row>
    <row r="8" spans="1:35" ht="59.25" customHeight="1">
      <c r="A8" s="3"/>
      <c r="B8" s="700" t="str">
        <f>+'Data Entry'!B114</f>
        <v>Number of people living with HIV/AIDS reached with care and support services 
(Numărul persoanelor care trăiesc cu HIV/SIDA şi au primit suport social)</v>
      </c>
      <c r="C8" s="700"/>
      <c r="D8" s="700"/>
      <c r="E8" s="700"/>
      <c r="F8" s="700" t="str">
        <f>+'Data Entry'!B116</f>
        <v>Number of children infected and affected by HIV/AIDS who receive social support 
(Numărul de copii infectaţi şi afectaţi de HIV/SIDA care primesc suport social)</v>
      </c>
      <c r="G8" s="700"/>
      <c r="H8" s="700"/>
      <c r="I8" s="700"/>
      <c r="J8" s="700"/>
      <c r="K8" s="700"/>
      <c r="L8" s="700" t="str">
        <f>+'Data Entry'!B118</f>
        <v>Number of Injecting drug users on opioid substitution therapy that receive at least 3 support services from NGOs working in DUs rehabilitation 
(Numărul de CDI care sunt în terapia de substituţie cu metadonă şi primesc cel puţin 3 servicii de suport din partea ONG-urilor care lucrează la reabilitarea CDI)           </v>
      </c>
      <c r="M8" s="700"/>
      <c r="N8" s="700"/>
      <c r="O8" s="700"/>
      <c r="P8" s="700"/>
      <c r="Q8" s="700"/>
      <c r="S8" s="221"/>
      <c r="T8" s="221"/>
      <c r="U8" s="221"/>
      <c r="V8" s="221"/>
      <c r="W8" s="221"/>
      <c r="X8" s="221"/>
      <c r="Y8" s="69"/>
      <c r="Z8" s="69"/>
      <c r="AA8" s="69"/>
      <c r="AB8" s="69"/>
      <c r="AC8" s="69"/>
      <c r="AD8" s="221"/>
      <c r="AE8" s="221"/>
      <c r="AF8" s="221"/>
      <c r="AG8" s="221"/>
      <c r="AH8" s="221"/>
      <c r="AI8" s="221"/>
    </row>
    <row r="9" spans="1:35" ht="347.25" customHeight="1">
      <c r="A9" s="3"/>
      <c r="B9" s="427" t="s">
        <v>416</v>
      </c>
      <c r="C9" s="741" t="str">
        <f>L20</f>
        <v>During S8 a total 359 PLHIV were primarily reached with care and support services through four social regional centers providing assistance to PLHIV and 10 territorial organizations that ensures outreach to PLHIV and their families. The beneficiaries are provided with the following services: psycho-social counseling and support, medical counseling and referral, distribution of information materials, peer counseling, self-support groups and food support, etc.
The indicator is achieved.
(Pe parcursul semestrului 8, un total de 359 PTH au fost primar acoperiți cu servicii de îngrijire şi suport prestate în cadrul celor patru Centre Sociale Regionale şi a 10 organizații teritoriale care prestează servicii direct PTH și membrilor familiilor lor. Beneficiarilor le sunt prestate următoarele servicii: suport și consiliere psiho-socială, consiliere medicală și referiri, diseminarea materialelor informaționale şi consiliere de la egal la egal, grupuri de ajutor reciproc și suport alimentar, etc. 
Indicatorul este atins.)</v>
      </c>
      <c r="D9" s="742"/>
      <c r="E9" s="743"/>
      <c r="F9" s="427" t="s">
        <v>417</v>
      </c>
      <c r="G9" s="707" t="str">
        <f>L21</f>
        <v>A total of 325 children (109 infected and 216 affected by HIV) received social support during year 2013 (primarily reached), out of them 61 (13 infected and 48 affected by HIV) primarily reached during S8.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During reported period the number of HIV positive children that benefited of clothing and school supplies was 109, exceeding by 14 the planned number of 95. This fact has determined the need to reallocate additional budget (from savings under other budget lines targeted at PLHIV support) in order to cover fourteen additional sets of clothing and school supplies.
The indicator is overachieved. Reason for variance: The number of children primarily reached with social support is determined by the number of children diagnosed with HIV that are reached and by the number of children born from HIV positive mothers immediately before and during the reported period. During reported period the number of HIV positive children reached was 109, exceeding by fourteen the planned number of 95.
Note: In Peroada 1 the targets were cumulative over program term, but starting with Period 2 - the targets are cumulative annually.
(Un total de 325 copii (109 copii HIV infectați și 216 copii afectați de HIV) au beneficiat de suport social  pe parcursul anului 2013 (acoperiți primar), dintre care 61 (13 infectati și 48 afectati de HIV) primari acoperiti in S8. În același timp, în fiecare trimestru, 230 copii (toți copiii infectați cu HIV, care pot fi acoperiți cu servicii, și majoritatea copiilor născuți din mame HIV pozitive) beneficiază semestrial de un set de haine şi rechizite școlare ca parte a programului de acordare a suportului social. Pe parcursul perioadei de raportare, numărul de copii HIV infectați care au primit cîte un set de haine şi rechizite școlare a crescut la 109, depășind cu 14 unități numărul planificat de 95. Acest fapt a determinat necesitatea realocării unui buget adițional (din economiile obținute în cadrul altor linii bugetare orientate către suportul PTH) pentru a acoperi patrusprezece seturi suplimentare de îmbrăcăminte şi rechizite școlare. 
Indicatorul este depășit. Cauza variației: Numărul de copii primar acoperiți cu suport social este determinat de numărul de copii diagnosticați cu HIV și numărul copiilor născuți din mame HIV pozitive imediat înainte și în perioada de raportate. Pe parcursul perioadei de raportare numarul copiilor HIV pozitivi acoperiți cu servicii a fost 109, depasit cu 14 numarul planificat de 95.) 
Notă: În Peroada 1, tintele erau cumulative pe durata programului, iar începînd cu Perioada 2 - tintele sunt cumulative anual. </v>
      </c>
      <c r="H9" s="744"/>
      <c r="I9" s="744"/>
      <c r="J9" s="744"/>
      <c r="K9" s="745"/>
      <c r="L9" s="427" t="s">
        <v>418</v>
      </c>
      <c r="M9" s="707" t="str">
        <f>L22</f>
        <v>During S8 a total of 53 PWIDs on opioid substitution therapy (primarily reached) received at least 3 support services from the package (psycho-social support, self-support groups, peer to peer education, distributions of information materials, food support, etc.) offered by NGOs working in PWUDs rehabilitation. 
The number of PWIDs on OST covered with psycho-social support is directly dependent to the number of PWIDs enrolled in OST treatment (new patients) which is continuously decreasing. During S2, 2013, 50 new clients were enrolled in the substitution therapy program, the number of OST patients covered with support services (primarily reached) being 53 versus 40 planned.
The indicator is achieved in proportion of 89%. Reason for variance: The target for the period 8 (40 persons primarily reached) has been exceeded (53 people reached). The underachievement of the cumulative target for the reported period (over program term) is determined by the variation between targets settled and results registered for period one of grant implementation caused by continuously decreasing enrolment of new patients in OST. As the number of OST patients that can be covered with psycho-support services is directly tied to new patients enrolled in OST, the enrolment dynamics in period one has determined and directly impacted the achievement of targets for this indicator and is affecting the results for the reported period as the target is cumulative over program term.  
(Pe parcursul semestrului 8 un total de 53 CDI aflați în terapia de substituție cu metadonă (primar acoperiți) au primit cel puțin 3 servicii de suport din pachetul serviciilor (suport psiho-social, grupuri de ajutor reciproc, educație de la egal la egal, diseminarea materialelor informaționale, suport alimentar) oferite în cadrul centrelor de zi de către ONG-urile care lucrează în domeniul reabilitării CDI. Numărul de CDI aflați în TSO, acoperiți cu suport psiho-social este direct dependent de numărul CDI înrolați în TSO (cazuri noi), cifra care este în continuă scădere. Pe parcursul S2, 2013, 50 beneficiari noi au fost înrolați în terapia de substituție, numărul de pacienți în TSO acoperiți cu servicii de suport (primari acoperiți) fiind de 53 față de 40 planificați.
Indicatorul este atins în proporție de 89%. Cauza variației: Ținta pentru perioada 8 (40 persoane noi primar acoperite) a fost depășită (53 persoane acoperite). Neatingerea țintei cumulative pentru perioada raportată (pe toata perioada grantului) este determinată de variația între țintele stabilite și rezultatele înregistrate pentru perioada întâi de implementare a grantului cauzată de scăderea continua a pacienților înrolați în TSO. Numărul de pacienți în TSO care pot fi acoperiți cu servicii de suport psiho-social este direct proporțional cu numărul pacienților noi înrolați în TSO, dinamica înrolării în perioada întâi a determinat și a afectat direct atingerea țintei pentru acest indicator și afectează rezultatul pentru perioada raportată deoarece ținta propusă se calculează cumulativ pentru toată perioada grantului.)</v>
      </c>
      <c r="N9" s="695"/>
      <c r="O9" s="695"/>
      <c r="P9" s="695"/>
      <c r="Q9" s="696"/>
      <c r="S9" s="221"/>
      <c r="T9" s="221"/>
      <c r="U9" s="221"/>
      <c r="V9" s="221"/>
      <c r="W9" s="221"/>
      <c r="X9" s="221"/>
      <c r="Y9" s="221"/>
      <c r="Z9" s="221"/>
      <c r="AA9" s="221"/>
      <c r="AB9" s="221"/>
      <c r="AC9" s="221"/>
      <c r="AD9" s="221"/>
      <c r="AE9" s="221"/>
      <c r="AF9" s="221"/>
      <c r="AG9" s="221"/>
      <c r="AH9" s="221"/>
      <c r="AI9" s="221"/>
    </row>
    <row r="10" spans="1:35" ht="18.75" customHeight="1">
      <c r="A10" s="3"/>
      <c r="B10" s="128"/>
      <c r="C10" s="128"/>
      <c r="D10" s="219"/>
      <c r="E10" s="219"/>
      <c r="F10" s="219"/>
      <c r="G10" s="219"/>
      <c r="H10" s="219"/>
      <c r="I10" s="219"/>
      <c r="J10" s="219"/>
      <c r="K10" s="219"/>
      <c r="L10" s="219"/>
      <c r="M10" s="3"/>
      <c r="N10" s="3"/>
      <c r="O10" s="196"/>
      <c r="P10" s="195"/>
      <c r="S10" s="221"/>
      <c r="T10" s="221"/>
      <c r="U10" s="221"/>
      <c r="V10" s="221"/>
      <c r="W10" s="221"/>
      <c r="X10" s="221"/>
      <c r="Y10" s="221"/>
      <c r="Z10" s="221"/>
      <c r="AA10" s="221"/>
      <c r="AB10" s="221"/>
      <c r="AC10" s="221"/>
      <c r="AD10" s="221"/>
      <c r="AE10" s="221"/>
      <c r="AF10" s="221"/>
      <c r="AG10" s="221"/>
      <c r="AH10" s="221"/>
      <c r="AI10" s="221"/>
    </row>
    <row r="11" spans="1:35" ht="18.75" customHeight="1">
      <c r="A11" s="3"/>
      <c r="B11" s="128"/>
      <c r="C11" s="128"/>
      <c r="D11" s="219"/>
      <c r="E11" s="219"/>
      <c r="F11" s="219"/>
      <c r="G11" s="219"/>
      <c r="H11" s="219"/>
      <c r="I11" s="219"/>
      <c r="J11" s="219"/>
      <c r="K11" s="219"/>
      <c r="L11" s="219"/>
      <c r="M11" s="3"/>
      <c r="N11" s="3"/>
      <c r="O11" s="196"/>
      <c r="P11" s="195"/>
      <c r="S11" s="221"/>
      <c r="T11" s="221"/>
      <c r="U11" s="221"/>
      <c r="V11" s="221"/>
      <c r="W11" s="221"/>
      <c r="X11" s="221"/>
      <c r="Y11" s="221"/>
      <c r="Z11" s="221"/>
      <c r="AA11" s="221"/>
      <c r="AB11" s="221"/>
      <c r="AC11" s="221"/>
      <c r="AD11" s="221"/>
      <c r="AE11" s="221"/>
      <c r="AF11" s="221"/>
      <c r="AG11" s="221"/>
      <c r="AH11" s="221"/>
      <c r="AI11" s="221"/>
    </row>
    <row r="12" spans="1:35" ht="18.75" customHeight="1">
      <c r="A12" s="3"/>
      <c r="B12" s="128"/>
      <c r="C12" s="128"/>
      <c r="D12" s="219"/>
      <c r="E12" s="219"/>
      <c r="F12" s="219"/>
      <c r="G12" s="219"/>
      <c r="H12" s="219"/>
      <c r="I12" s="219"/>
      <c r="J12" s="219"/>
      <c r="K12" s="219"/>
      <c r="L12" s="219"/>
      <c r="M12" s="3"/>
      <c r="N12" s="3"/>
      <c r="O12" s="196"/>
      <c r="P12" s="195"/>
      <c r="S12" s="221"/>
      <c r="T12" s="221"/>
      <c r="U12" s="221"/>
      <c r="V12" s="221"/>
      <c r="W12" s="221"/>
      <c r="X12" s="221"/>
      <c r="Y12" s="221"/>
      <c r="Z12" s="221"/>
      <c r="AA12" s="221"/>
      <c r="AB12" s="221"/>
      <c r="AC12" s="221"/>
      <c r="AD12" s="221"/>
      <c r="AE12" s="221"/>
      <c r="AF12" s="221"/>
      <c r="AG12" s="221"/>
      <c r="AH12" s="221"/>
      <c r="AI12" s="221"/>
    </row>
    <row r="13" spans="1:35" ht="18.75" customHeight="1">
      <c r="A13" s="3"/>
      <c r="B13" s="128"/>
      <c r="C13" s="128"/>
      <c r="D13" s="219"/>
      <c r="E13" s="219"/>
      <c r="F13" s="219"/>
      <c r="G13" s="219"/>
      <c r="H13" s="219"/>
      <c r="I13" s="219"/>
      <c r="J13" s="219"/>
      <c r="K13" s="219"/>
      <c r="L13" s="219"/>
      <c r="M13" s="3"/>
      <c r="N13" s="3"/>
      <c r="O13" s="196"/>
      <c r="P13" s="195"/>
      <c r="S13" s="221"/>
      <c r="T13" s="221"/>
      <c r="U13" s="221"/>
      <c r="V13" s="221"/>
      <c r="W13" s="221"/>
      <c r="X13" s="221"/>
      <c r="Y13" s="221"/>
      <c r="Z13" s="221"/>
      <c r="AA13" s="221"/>
      <c r="AB13" s="221"/>
      <c r="AC13" s="221"/>
      <c r="AD13" s="221"/>
      <c r="AE13" s="221"/>
      <c r="AF13" s="221"/>
      <c r="AG13" s="221"/>
      <c r="AH13" s="221"/>
      <c r="AI13" s="221"/>
    </row>
    <row r="14" spans="1:35" ht="18.75" customHeight="1">
      <c r="A14" s="3"/>
      <c r="B14" s="128"/>
      <c r="C14" s="128"/>
      <c r="D14" s="219"/>
      <c r="E14" s="219"/>
      <c r="F14" s="219"/>
      <c r="G14" s="219"/>
      <c r="H14" s="219"/>
      <c r="I14" s="219"/>
      <c r="J14" s="219"/>
      <c r="K14" s="219"/>
      <c r="L14" s="219"/>
      <c r="M14" s="3"/>
      <c r="N14" s="3"/>
      <c r="O14" s="196"/>
      <c r="P14" s="195"/>
      <c r="S14" s="221"/>
      <c r="T14" s="221"/>
      <c r="U14" s="221"/>
      <c r="V14" s="221"/>
      <c r="W14" s="221"/>
      <c r="X14" s="221"/>
      <c r="Y14" s="221"/>
      <c r="Z14" s="221"/>
      <c r="AA14" s="221"/>
      <c r="AB14" s="221"/>
      <c r="AC14" s="221"/>
      <c r="AD14" s="221"/>
      <c r="AE14" s="221"/>
      <c r="AF14" s="221"/>
      <c r="AG14" s="221"/>
      <c r="AH14" s="221"/>
      <c r="AI14" s="221"/>
    </row>
    <row r="15" spans="1:35" ht="18.75" customHeight="1">
      <c r="A15" s="3"/>
      <c r="B15" s="128"/>
      <c r="C15" s="128"/>
      <c r="D15" s="219"/>
      <c r="E15" s="219"/>
      <c r="F15" s="219"/>
      <c r="G15" s="219"/>
      <c r="H15" s="219"/>
      <c r="I15" s="219"/>
      <c r="J15" s="219"/>
      <c r="K15" s="219"/>
      <c r="L15" s="219"/>
      <c r="M15" s="3"/>
      <c r="N15" s="3"/>
      <c r="O15" s="196"/>
      <c r="P15" s="195"/>
      <c r="S15" s="221"/>
      <c r="T15" s="221"/>
      <c r="U15" s="221"/>
      <c r="V15" s="221"/>
      <c r="W15" s="221"/>
      <c r="X15" s="221"/>
      <c r="Y15" s="221"/>
      <c r="Z15" s="221"/>
      <c r="AA15" s="221"/>
      <c r="AB15" s="221"/>
      <c r="AC15" s="221"/>
      <c r="AD15" s="221"/>
      <c r="AE15" s="221"/>
      <c r="AF15" s="221"/>
      <c r="AG15" s="221"/>
      <c r="AH15" s="221"/>
      <c r="AI15" s="221"/>
    </row>
    <row r="16" spans="1:35" ht="18.75" customHeight="1">
      <c r="A16" s="3"/>
      <c r="B16" s="128"/>
      <c r="C16" s="128"/>
      <c r="D16" s="219"/>
      <c r="E16" s="219"/>
      <c r="F16" s="219"/>
      <c r="G16" s="219"/>
      <c r="H16" s="219"/>
      <c r="I16" s="219"/>
      <c r="J16" s="219"/>
      <c r="K16" s="219"/>
      <c r="L16" s="219"/>
      <c r="M16" s="3"/>
      <c r="N16" s="3"/>
      <c r="O16" s="196"/>
      <c r="P16" s="195"/>
      <c r="S16" s="221"/>
      <c r="T16" s="221"/>
      <c r="U16" s="221"/>
      <c r="V16" s="221"/>
      <c r="W16" s="221"/>
      <c r="X16" s="221"/>
      <c r="Y16" s="221"/>
      <c r="Z16" s="221"/>
      <c r="AA16" s="221"/>
      <c r="AB16" s="221"/>
      <c r="AC16" s="221"/>
      <c r="AD16" s="221"/>
      <c r="AE16" s="221"/>
      <c r="AF16" s="221"/>
      <c r="AG16" s="221"/>
      <c r="AH16" s="221"/>
      <c r="AI16" s="221"/>
    </row>
    <row r="17" spans="1:35" ht="17.25" customHeight="1">
      <c r="A17" s="3"/>
      <c r="B17" s="128"/>
      <c r="C17" s="128"/>
      <c r="D17" s="219"/>
      <c r="E17" s="219"/>
      <c r="F17" s="219"/>
      <c r="G17" s="219"/>
      <c r="H17" s="219"/>
      <c r="I17" s="219"/>
      <c r="J17" s="219"/>
      <c r="K17" s="219"/>
      <c r="L17" s="219"/>
      <c r="M17" s="3"/>
      <c r="N17" s="3"/>
      <c r="O17" s="196"/>
      <c r="P17" s="195"/>
      <c r="S17" s="221"/>
      <c r="T17" s="221"/>
      <c r="U17" s="221"/>
      <c r="V17" s="221"/>
      <c r="W17" s="221"/>
      <c r="X17" s="221"/>
      <c r="Y17" s="221"/>
      <c r="Z17" s="221"/>
      <c r="AA17" s="221"/>
      <c r="AB17" s="221"/>
      <c r="AC17" s="221"/>
      <c r="AD17" s="221"/>
      <c r="AE17" s="221"/>
      <c r="AF17" s="221"/>
      <c r="AG17" s="221"/>
      <c r="AH17" s="221"/>
      <c r="AI17" s="221"/>
    </row>
    <row r="18" spans="1:35" ht="6" customHeight="1">
      <c r="A18" s="3"/>
      <c r="B18" s="132"/>
      <c r="C18" s="128"/>
      <c r="D18" s="129"/>
      <c r="E18" s="708"/>
      <c r="F18" s="708"/>
      <c r="G18" s="708"/>
      <c r="H18" s="708"/>
      <c r="I18" s="708"/>
      <c r="J18" s="708"/>
      <c r="K18" s="708"/>
      <c r="L18" s="3"/>
      <c r="M18" s="3"/>
      <c r="N18" s="3"/>
      <c r="O18" s="3"/>
      <c r="P18" s="3"/>
      <c r="S18" s="221"/>
      <c r="T18" s="221"/>
      <c r="U18" s="221"/>
      <c r="V18" s="221"/>
      <c r="W18" s="221"/>
      <c r="X18" s="221"/>
      <c r="Y18" s="221"/>
      <c r="Z18" s="221"/>
      <c r="AA18" s="221"/>
      <c r="AB18" s="221"/>
      <c r="AC18" s="221"/>
      <c r="AD18" s="221"/>
      <c r="AE18" s="221"/>
      <c r="AF18" s="221"/>
      <c r="AG18" s="221"/>
      <c r="AH18" s="221"/>
      <c r="AI18" s="221"/>
    </row>
    <row r="19" spans="1:35" ht="55.5" customHeight="1">
      <c r="A19" s="3"/>
      <c r="B19" s="709" t="s">
        <v>94</v>
      </c>
      <c r="C19" s="709"/>
      <c r="D19" s="709"/>
      <c r="E19" s="139" t="s">
        <v>2</v>
      </c>
      <c r="F19" s="139" t="s">
        <v>3</v>
      </c>
      <c r="G19" s="722" t="s">
        <v>336</v>
      </c>
      <c r="H19" s="723"/>
      <c r="I19" s="724" t="s">
        <v>337</v>
      </c>
      <c r="J19" s="725"/>
      <c r="K19" s="317" t="s">
        <v>338</v>
      </c>
      <c r="L19" s="719" t="s">
        <v>97</v>
      </c>
      <c r="M19" s="720"/>
      <c r="N19" s="720"/>
      <c r="O19" s="720"/>
      <c r="P19" s="720"/>
      <c r="Q19" s="721"/>
      <c r="S19" s="63" t="s">
        <v>95</v>
      </c>
      <c r="T19" s="64">
        <v>0</v>
      </c>
      <c r="U19" s="65">
        <v>0.3</v>
      </c>
      <c r="V19" s="65">
        <v>0.6</v>
      </c>
      <c r="W19" s="65">
        <v>0.9</v>
      </c>
      <c r="X19" s="65">
        <v>1</v>
      </c>
      <c r="Y19" s="69"/>
      <c r="Z19" s="69"/>
      <c r="AA19" s="63" t="s">
        <v>95</v>
      </c>
      <c r="AB19" s="64">
        <v>0</v>
      </c>
      <c r="AC19" s="65">
        <v>0.2</v>
      </c>
      <c r="AD19" s="65">
        <v>0.4</v>
      </c>
      <c r="AE19" s="65">
        <v>0.6</v>
      </c>
      <c r="AF19" s="65">
        <v>0.8</v>
      </c>
      <c r="AG19" s="69"/>
      <c r="AH19" s="69"/>
      <c r="AI19" s="69"/>
    </row>
    <row r="20" spans="1:35" ht="126.75" customHeight="1">
      <c r="A20" s="3"/>
      <c r="B20" s="735" t="s">
        <v>470</v>
      </c>
      <c r="C20" s="717"/>
      <c r="D20" s="717"/>
      <c r="E20" s="441">
        <v>6367</v>
      </c>
      <c r="F20" s="441">
        <v>6444</v>
      </c>
      <c r="G20" s="701">
        <f aca="true" t="shared" si="0" ref="G20:G27">+IF(ISERROR(F20/E20),0,F20/E20)</f>
        <v>1.0120936076645202</v>
      </c>
      <c r="H20" s="702"/>
      <c r="I20" s="702"/>
      <c r="J20" s="702"/>
      <c r="K20" s="703"/>
      <c r="L20" s="712" t="s">
        <v>492</v>
      </c>
      <c r="M20" s="713"/>
      <c r="N20" s="713"/>
      <c r="O20" s="713"/>
      <c r="P20" s="713"/>
      <c r="Q20" s="714"/>
      <c r="S20" s="63" t="s">
        <v>96</v>
      </c>
      <c r="T20" s="66">
        <v>0.3</v>
      </c>
      <c r="U20" s="65">
        <v>0.6</v>
      </c>
      <c r="V20" s="65">
        <v>0.9</v>
      </c>
      <c r="W20" s="65">
        <v>1</v>
      </c>
      <c r="X20" s="65">
        <v>2</v>
      </c>
      <c r="Y20" s="69"/>
      <c r="Z20" s="69"/>
      <c r="AA20" s="63" t="s">
        <v>96</v>
      </c>
      <c r="AB20" s="66">
        <v>0.2</v>
      </c>
      <c r="AC20" s="65">
        <v>0.4</v>
      </c>
      <c r="AD20" s="65">
        <v>0.6</v>
      </c>
      <c r="AE20" s="65">
        <v>0.8</v>
      </c>
      <c r="AF20" s="65">
        <v>1</v>
      </c>
      <c r="AG20" s="69"/>
      <c r="AH20" s="69"/>
      <c r="AI20" s="69"/>
    </row>
    <row r="21" spans="1:35" ht="289.5" customHeight="1">
      <c r="A21" s="3"/>
      <c r="B21" s="735" t="str">
        <f>+'Data Entry'!B116</f>
        <v>Number of children infected and affected by HIV/AIDS who receive social support 
(Numărul de copii infectaţi şi afectaţi de HIV/SIDA care primesc suport social)</v>
      </c>
      <c r="C21" s="717"/>
      <c r="D21" s="717"/>
      <c r="E21" s="442">
        <v>272</v>
      </c>
      <c r="F21" s="442">
        <v>325</v>
      </c>
      <c r="G21" s="701">
        <f t="shared" si="0"/>
        <v>1.1948529411764706</v>
      </c>
      <c r="H21" s="702"/>
      <c r="I21" s="702"/>
      <c r="J21" s="702"/>
      <c r="K21" s="703"/>
      <c r="L21" s="704" t="s">
        <v>497</v>
      </c>
      <c r="M21" s="705"/>
      <c r="N21" s="705"/>
      <c r="O21" s="705"/>
      <c r="P21" s="705"/>
      <c r="Q21" s="706"/>
      <c r="S21" s="67"/>
      <c r="T21" s="68" t="str">
        <f>"de "&amp;T19&amp;" a "&amp;T20</f>
        <v>de 0 a 0.3</v>
      </c>
      <c r="U21" s="68" t="str">
        <f>"de "&amp;U19&amp;" a "&amp;U20</f>
        <v>de 0.3 a 0.6</v>
      </c>
      <c r="V21" s="68" t="str">
        <f>"de "&amp;V19&amp;" a "&amp;V20</f>
        <v>de 0.6 a 0.9</v>
      </c>
      <c r="W21" s="68" t="str">
        <f>"de "&amp;W19&amp;" a "&amp;W20</f>
        <v>de 0.9 a 1</v>
      </c>
      <c r="X21" s="68" t="str">
        <f>"de "&amp;X19&amp;" a "&amp;X20</f>
        <v>de 1 a 2</v>
      </c>
      <c r="Y21" s="69"/>
      <c r="Z21" s="69" t="s">
        <v>270</v>
      </c>
      <c r="AA21" s="67" t="s">
        <v>269</v>
      </c>
      <c r="AB21" s="68" t="str">
        <f>"de "&amp;AB19&amp;" a "&amp;AB20</f>
        <v>de 0 a 0.2</v>
      </c>
      <c r="AC21" s="68" t="str">
        <f>"de "&amp;AC19&amp;" a "&amp;AC20</f>
        <v>de 0.2 a 0.4</v>
      </c>
      <c r="AD21" s="68" t="str">
        <f>"de "&amp;AD19&amp;" a "&amp;AD20</f>
        <v>de 0.4 a 0.6</v>
      </c>
      <c r="AE21" s="68" t="str">
        <f>"de "&amp;AE19&amp;" a "&amp;AE20</f>
        <v>de 0.6 a 0.8</v>
      </c>
      <c r="AF21" s="68" t="str">
        <f>"de "&amp;AF19&amp;" a "&amp;AF20</f>
        <v>de 0.8 a 1</v>
      </c>
      <c r="AG21" s="69"/>
      <c r="AH21" s="69"/>
      <c r="AI21" s="69"/>
    </row>
    <row r="22" spans="1:35" ht="323.25" customHeight="1">
      <c r="A22" s="3"/>
      <c r="B22" s="737" t="str">
        <f>+'Data Entry'!B118</f>
        <v>Number of Injecting drug users on opioid substitution therapy that receive at least 3 support services from NGOs working in DUs rehabilitation 
(Numărul de CDI care sunt în terapia de substituţie cu metadonă şi primesc cel puţin 3 servicii de suport din partea ONG-urilor care lucrează la reabilitarea CDI)           </v>
      </c>
      <c r="C22" s="717"/>
      <c r="D22" s="717"/>
      <c r="E22" s="441">
        <v>711</v>
      </c>
      <c r="F22" s="441">
        <v>632</v>
      </c>
      <c r="G22" s="701">
        <f t="shared" si="0"/>
        <v>0.8888888888888888</v>
      </c>
      <c r="H22" s="702"/>
      <c r="I22" s="702"/>
      <c r="J22" s="702"/>
      <c r="K22" s="703"/>
      <c r="L22" s="704" t="s">
        <v>490</v>
      </c>
      <c r="M22" s="705"/>
      <c r="N22" s="705"/>
      <c r="O22" s="705"/>
      <c r="P22" s="705"/>
      <c r="Q22" s="706"/>
      <c r="S22" s="67"/>
      <c r="T22" s="65" t="e">
        <f aca="true" t="shared" si="1" ref="T22:W32">IF($K20&gt;T$19,IF($K20&lt;=T$20,$K20,NA()),NA())</f>
        <v>#N/A</v>
      </c>
      <c r="U22" s="65" t="e">
        <f t="shared" si="1"/>
        <v>#N/A</v>
      </c>
      <c r="V22" s="65" t="e">
        <f t="shared" si="1"/>
        <v>#N/A</v>
      </c>
      <c r="W22" s="65" t="e">
        <f t="shared" si="1"/>
        <v>#N/A</v>
      </c>
      <c r="X22" s="65" t="e">
        <f>IF($K20&gt;X$19,IF($K20&lt;=X$20,1,NA()),NA())</f>
        <v>#N/A</v>
      </c>
      <c r="Y22" s="69"/>
      <c r="Z22" s="192" t="e">
        <f>+'Grant Detail'!#REF!</f>
        <v>#REF!</v>
      </c>
      <c r="AA22" s="65" t="e">
        <f>+IF(Z22="A1",1,IF(Z22="A2",0.8,IF(Z22="B1",0.6,IF(Z22="B2",0.4,0.2))))</f>
        <v>#REF!</v>
      </c>
      <c r="AB22" s="65" t="e">
        <f>IF($AA22&gt;AB$19,IF($AA22&lt;=AB$20,$AA22,NA()),NA())</f>
        <v>#REF!</v>
      </c>
      <c r="AC22" s="65" t="e">
        <f aca="true" t="shared" si="2" ref="AC22:AF24">IF($AA22&gt;AC$19,IF($AA22&lt;=AC$20,$AA22,NA()),NA())</f>
        <v>#REF!</v>
      </c>
      <c r="AD22" s="65" t="e">
        <f t="shared" si="2"/>
        <v>#REF!</v>
      </c>
      <c r="AE22" s="65" t="e">
        <f t="shared" si="2"/>
        <v>#REF!</v>
      </c>
      <c r="AF22" s="65" t="e">
        <f t="shared" si="2"/>
        <v>#REF!</v>
      </c>
      <c r="AG22" s="69"/>
      <c r="AH22" s="69"/>
      <c r="AI22" s="69"/>
    </row>
    <row r="23" spans="1:35" ht="293.25" customHeight="1">
      <c r="A23" s="3"/>
      <c r="B23" s="728" t="str">
        <f>+'Data Entry'!B120</f>
        <v>Number of medical (doctors and nurses) and non-medical staff (psychologists, social assistants, peer consultants) trained in HIV/AIDS 
(Numărul personalului medical (medici şi asistente medicale) şi non-medical (psihologi, asistenţi sociali, educatori de la egal la egal) instruiţi în HIV/SIDA) </v>
      </c>
      <c r="C23" s="729"/>
      <c r="D23" s="730"/>
      <c r="E23" s="442">
        <v>90</v>
      </c>
      <c r="F23" s="442">
        <v>86</v>
      </c>
      <c r="G23" s="701">
        <f>+IF(ISERROR(F23/E23),0,F23/E23)</f>
        <v>0.9555555555555556</v>
      </c>
      <c r="H23" s="702"/>
      <c r="I23" s="702"/>
      <c r="J23" s="702"/>
      <c r="K23" s="703"/>
      <c r="L23" s="704" t="s">
        <v>501</v>
      </c>
      <c r="M23" s="705"/>
      <c r="N23" s="705"/>
      <c r="O23" s="705"/>
      <c r="P23" s="705"/>
      <c r="Q23" s="706"/>
      <c r="S23" s="67"/>
      <c r="T23" s="65" t="e">
        <f t="shared" si="1"/>
        <v>#N/A</v>
      </c>
      <c r="U23" s="65" t="e">
        <f t="shared" si="1"/>
        <v>#N/A</v>
      </c>
      <c r="V23" s="65" t="e">
        <f t="shared" si="1"/>
        <v>#N/A</v>
      </c>
      <c r="W23" s="65" t="e">
        <f t="shared" si="1"/>
        <v>#N/A</v>
      </c>
      <c r="X23" s="65" t="e">
        <f>IF($K21&gt;X$19,IF($K21&lt;=X$20,1,1),NA())</f>
        <v>#N/A</v>
      </c>
      <c r="Y23" s="69"/>
      <c r="Z23" s="192" t="e">
        <f>+'Grant Detail'!#REF!</f>
        <v>#REF!</v>
      </c>
      <c r="AA23" s="65" t="e">
        <f>+IF(Z23="A1",1,IF(Z23="A2",0.8,IF(Z23="B1",0.6,IF(Z23="B2",0.4,0.2))))</f>
        <v>#REF!</v>
      </c>
      <c r="AB23" s="65" t="e">
        <f>IF($AA23&gt;AB$19,IF($AA23&lt;=AB$20,$AA23,NA()),NA())</f>
        <v>#REF!</v>
      </c>
      <c r="AC23" s="65" t="e">
        <f t="shared" si="2"/>
        <v>#REF!</v>
      </c>
      <c r="AD23" s="65" t="e">
        <f t="shared" si="2"/>
        <v>#REF!</v>
      </c>
      <c r="AE23" s="65" t="e">
        <f t="shared" si="2"/>
        <v>#REF!</v>
      </c>
      <c r="AF23" s="65" t="e">
        <f t="shared" si="2"/>
        <v>#REF!</v>
      </c>
      <c r="AG23" s="69"/>
      <c r="AH23" s="69"/>
      <c r="AI23" s="69"/>
    </row>
    <row r="24" spans="1:35" ht="221.25" customHeight="1">
      <c r="A24" s="3"/>
      <c r="B24" s="717" t="str">
        <f>+'Data Entry'!B122</f>
        <v>Number of PLHIV receiving food parcels to improve ARV treatment adherence 
(Numărul de PTH care primesc pachete alimentare pentru a îmbunătăți aderenţa la tratamentul ARV)</v>
      </c>
      <c r="C24" s="717"/>
      <c r="D24" s="717"/>
      <c r="E24" s="441">
        <v>1040</v>
      </c>
      <c r="F24" s="441">
        <v>948</v>
      </c>
      <c r="G24" s="701">
        <f t="shared" si="0"/>
        <v>0.9115384615384615</v>
      </c>
      <c r="H24" s="702"/>
      <c r="I24" s="702"/>
      <c r="J24" s="702"/>
      <c r="K24" s="703"/>
      <c r="L24" s="704" t="s">
        <v>491</v>
      </c>
      <c r="M24" s="705"/>
      <c r="N24" s="705"/>
      <c r="O24" s="705"/>
      <c r="P24" s="705"/>
      <c r="Q24" s="706"/>
      <c r="S24" s="67"/>
      <c r="T24" s="65" t="e">
        <f t="shared" si="1"/>
        <v>#N/A</v>
      </c>
      <c r="U24" s="65" t="e">
        <f t="shared" si="1"/>
        <v>#N/A</v>
      </c>
      <c r="V24" s="65" t="e">
        <f t="shared" si="1"/>
        <v>#N/A</v>
      </c>
      <c r="W24" s="65" t="e">
        <f t="shared" si="1"/>
        <v>#N/A</v>
      </c>
      <c r="X24" s="65" t="e">
        <f aca="true" t="shared" si="3" ref="X24:X32">IF($K22&gt;X$19,IF($K22&lt;=X$20,1,NA()),NA())</f>
        <v>#N/A</v>
      </c>
      <c r="Y24" s="69"/>
      <c r="Z24" s="192" t="e">
        <f>+'Grant Detail'!#REF!</f>
        <v>#REF!</v>
      </c>
      <c r="AA24" s="65" t="e">
        <f>+IF(Z24="A1",1,IF(Z24="A2",0.8,IF(Z24="B1",0.6,IF(Z24="B2",0.4,0.2))))</f>
        <v>#REF!</v>
      </c>
      <c r="AB24" s="65" t="e">
        <f>IF($AA24&gt;AB$19,IF($AA24&lt;=AB$20,$AA24,NA()),NA())</f>
        <v>#REF!</v>
      </c>
      <c r="AC24" s="65" t="e">
        <f t="shared" si="2"/>
        <v>#REF!</v>
      </c>
      <c r="AD24" s="65" t="e">
        <f t="shared" si="2"/>
        <v>#REF!</v>
      </c>
      <c r="AE24" s="65" t="e">
        <f t="shared" si="2"/>
        <v>#REF!</v>
      </c>
      <c r="AF24" s="65" t="e">
        <f t="shared" si="2"/>
        <v>#REF!</v>
      </c>
      <c r="AG24" s="69"/>
      <c r="AH24" s="69"/>
      <c r="AI24" s="69"/>
    </row>
    <row r="25" spans="1:35" ht="248.25" customHeight="1">
      <c r="A25" s="3"/>
      <c r="B25" s="717" t="str">
        <f>+'Data Entry'!B124</f>
        <v>Number and percentage of individuals currently on OST who have been on OST continuously at least 6 months for the past 12 months 
(Numărul şi procentul persoanelor aflate în tratamentul de substituție cu metadonă (TSO) care au fost în TSO continuu cel puțin 6 luni pe parcursul ultimelor 12 luni) </v>
      </c>
      <c r="C25" s="717"/>
      <c r="D25" s="717"/>
      <c r="E25" s="443">
        <f>'[1]Introducerea datelor'!I124</f>
        <v>0.6</v>
      </c>
      <c r="F25" s="443">
        <v>0.47</v>
      </c>
      <c r="G25" s="701">
        <f>+IF(ISERROR(F25/E25),0,F25/E25)</f>
        <v>0.7833333333333333</v>
      </c>
      <c r="H25" s="702"/>
      <c r="I25" s="702"/>
      <c r="J25" s="702"/>
      <c r="K25" s="703"/>
      <c r="L25" s="712" t="s">
        <v>502</v>
      </c>
      <c r="M25" s="713"/>
      <c r="N25" s="713"/>
      <c r="O25" s="713"/>
      <c r="P25" s="713"/>
      <c r="Q25" s="714"/>
      <c r="S25" s="67"/>
      <c r="T25" s="65" t="e">
        <f t="shared" si="1"/>
        <v>#N/A</v>
      </c>
      <c r="U25" s="65" t="e">
        <f t="shared" si="1"/>
        <v>#N/A</v>
      </c>
      <c r="V25" s="65" t="e">
        <f t="shared" si="1"/>
        <v>#N/A</v>
      </c>
      <c r="W25" s="65" t="e">
        <f t="shared" si="1"/>
        <v>#N/A</v>
      </c>
      <c r="X25" s="65" t="e">
        <f t="shared" si="3"/>
        <v>#N/A</v>
      </c>
      <c r="Y25" s="69"/>
      <c r="Z25" s="69"/>
      <c r="AA25" s="69"/>
      <c r="AB25" s="69"/>
      <c r="AC25" s="69"/>
      <c r="AD25" s="69"/>
      <c r="AE25" s="69"/>
      <c r="AF25" s="69"/>
      <c r="AG25" s="69"/>
      <c r="AH25" s="69"/>
      <c r="AI25" s="69"/>
    </row>
    <row r="26" spans="1:35" ht="111" customHeight="1">
      <c r="A26" s="3"/>
      <c r="B26" s="735" t="str">
        <f>+'Data Entry'!B126</f>
        <v>Number of human rights strategic litigation cases for PLWH initiated 
(Numărul de cazuri de încălcare a drepturilor PTH inițiate pentru litigare strategică)</v>
      </c>
      <c r="C26" s="717"/>
      <c r="D26" s="717"/>
      <c r="E26" s="441">
        <v>10</v>
      </c>
      <c r="F26" s="441">
        <v>10</v>
      </c>
      <c r="G26" s="701">
        <f>+IF(ISERROR(F26/E26),0,F26/E26)</f>
        <v>1</v>
      </c>
      <c r="H26" s="702"/>
      <c r="I26" s="702"/>
      <c r="J26" s="702"/>
      <c r="K26" s="703"/>
      <c r="L26" s="712" t="s">
        <v>493</v>
      </c>
      <c r="M26" s="713"/>
      <c r="N26" s="713"/>
      <c r="O26" s="713"/>
      <c r="P26" s="713"/>
      <c r="Q26" s="714"/>
      <c r="S26" s="67"/>
      <c r="T26" s="65" t="e">
        <f t="shared" si="1"/>
        <v>#N/A</v>
      </c>
      <c r="U26" s="65" t="e">
        <f t="shared" si="1"/>
        <v>#N/A</v>
      </c>
      <c r="V26" s="65" t="e">
        <f t="shared" si="1"/>
        <v>#N/A</v>
      </c>
      <c r="W26" s="65" t="e">
        <f t="shared" si="1"/>
        <v>#N/A</v>
      </c>
      <c r="X26" s="65" t="e">
        <f t="shared" si="3"/>
        <v>#N/A</v>
      </c>
      <c r="Y26" s="69"/>
      <c r="Z26" s="69"/>
      <c r="AA26" s="69"/>
      <c r="AB26" s="69"/>
      <c r="AC26" s="69"/>
      <c r="AD26" s="69"/>
      <c r="AE26" s="69"/>
      <c r="AF26" s="69"/>
      <c r="AG26" s="69"/>
      <c r="AH26" s="69"/>
      <c r="AI26" s="69"/>
    </row>
    <row r="27" spans="1:35" ht="177" customHeight="1">
      <c r="A27" s="3"/>
      <c r="B27" s="737" t="str">
        <f>+'Data Entry'!B128</f>
        <v>Number of PLHIV assisted by legal aid (consultancies offered by legal network) 
(Numărul de PTH care au beneficiat de asistență juridică)</v>
      </c>
      <c r="C27" s="717"/>
      <c r="D27" s="717"/>
      <c r="E27" s="441">
        <f>'[1]Introducerea datelor'!I128</f>
        <v>70</v>
      </c>
      <c r="F27" s="441">
        <v>114</v>
      </c>
      <c r="G27" s="701">
        <f t="shared" si="0"/>
        <v>1.6285714285714286</v>
      </c>
      <c r="H27" s="702"/>
      <c r="I27" s="702"/>
      <c r="J27" s="702"/>
      <c r="K27" s="703"/>
      <c r="L27" s="712" t="s">
        <v>494</v>
      </c>
      <c r="M27" s="713"/>
      <c r="N27" s="713"/>
      <c r="O27" s="713"/>
      <c r="P27" s="713"/>
      <c r="Q27" s="714"/>
      <c r="S27" s="67"/>
      <c r="T27" s="65" t="e">
        <f t="shared" si="1"/>
        <v>#N/A</v>
      </c>
      <c r="U27" s="65" t="e">
        <f t="shared" si="1"/>
        <v>#N/A</v>
      </c>
      <c r="V27" s="65" t="e">
        <f t="shared" si="1"/>
        <v>#N/A</v>
      </c>
      <c r="W27" s="65" t="e">
        <f t="shared" si="1"/>
        <v>#N/A</v>
      </c>
      <c r="X27" s="65" t="e">
        <f t="shared" si="3"/>
        <v>#N/A</v>
      </c>
      <c r="Y27" s="69"/>
      <c r="Z27" s="69"/>
      <c r="AA27" s="69"/>
      <c r="AB27" s="69"/>
      <c r="AC27" s="69"/>
      <c r="AD27" s="69"/>
      <c r="AE27" s="69"/>
      <c r="AF27" s="69"/>
      <c r="AG27" s="69"/>
      <c r="AH27" s="69"/>
      <c r="AI27" s="69"/>
    </row>
    <row r="28" spans="1:35" ht="132.75" customHeight="1">
      <c r="A28" s="3"/>
      <c r="B28" s="717" t="str">
        <f>+'Data Entry'!B130</f>
        <v>Number of members of the civil society trained in services provision to PLHIV 
(Numărul de membri ai societăţii civile instruiţi în furnizarea de servicii pentru PTH)</v>
      </c>
      <c r="C28" s="717"/>
      <c r="D28" s="717"/>
      <c r="E28" s="441">
        <v>50</v>
      </c>
      <c r="F28" s="441">
        <v>54</v>
      </c>
      <c r="G28" s="701">
        <f>+IF(ISERROR(F28/E28),0,F28/E28)</f>
        <v>1.08</v>
      </c>
      <c r="H28" s="702"/>
      <c r="I28" s="702"/>
      <c r="J28" s="702"/>
      <c r="K28" s="703"/>
      <c r="L28" s="738" t="s">
        <v>495</v>
      </c>
      <c r="M28" s="739"/>
      <c r="N28" s="739"/>
      <c r="O28" s="739"/>
      <c r="P28" s="739"/>
      <c r="Q28" s="740"/>
      <c r="S28" s="67"/>
      <c r="T28" s="65" t="e">
        <f t="shared" si="1"/>
        <v>#N/A</v>
      </c>
      <c r="U28" s="65" t="e">
        <f t="shared" si="1"/>
        <v>#N/A</v>
      </c>
      <c r="V28" s="65" t="e">
        <f t="shared" si="1"/>
        <v>#N/A</v>
      </c>
      <c r="W28" s="65" t="e">
        <f t="shared" si="1"/>
        <v>#N/A</v>
      </c>
      <c r="X28" s="65" t="e">
        <f t="shared" si="3"/>
        <v>#N/A</v>
      </c>
      <c r="Y28" s="69"/>
      <c r="Z28" s="69"/>
      <c r="AA28" s="69"/>
      <c r="AB28" s="69"/>
      <c r="AC28" s="69"/>
      <c r="AD28" s="69"/>
      <c r="AE28" s="69"/>
      <c r="AF28" s="69"/>
      <c r="AG28" s="69"/>
      <c r="AH28" s="69"/>
      <c r="AI28" s="69"/>
    </row>
    <row r="29" spans="1:35" ht="22.5" customHeight="1">
      <c r="A29" s="3"/>
      <c r="B29" s="718"/>
      <c r="C29" s="718"/>
      <c r="D29" s="718"/>
      <c r="E29" s="718"/>
      <c r="F29" s="736"/>
      <c r="G29" s="736"/>
      <c r="H29" s="736"/>
      <c r="I29" s="736"/>
      <c r="J29" s="736"/>
      <c r="K29" s="736"/>
      <c r="L29" s="726"/>
      <c r="M29" s="726"/>
      <c r="N29" s="726"/>
      <c r="O29" s="726"/>
      <c r="P29" s="726"/>
      <c r="S29" s="67"/>
      <c r="T29" s="65" t="e">
        <f>IF($K28&gt;T$19,IF($K28&lt;=T$20,$K28,NA()),NA())</f>
        <v>#N/A</v>
      </c>
      <c r="U29" s="65" t="e">
        <f>IF($K28&gt;U$19,IF($K28&lt;=U$20,$K28,NA()),NA())</f>
        <v>#N/A</v>
      </c>
      <c r="V29" s="65" t="e">
        <f>IF($K28&gt;V$19,IF($K28&lt;=V$20,$K28,NA()),NA())</f>
        <v>#N/A</v>
      </c>
      <c r="W29" s="65" t="e">
        <f>IF($K28&gt;W$19,IF($K28&lt;=W$20,$K28,NA()),NA())</f>
        <v>#N/A</v>
      </c>
      <c r="X29" s="65" t="e">
        <f>IF($K28&gt;X$19,IF($K28&lt;=X$20,1,NA()),NA())</f>
        <v>#N/A</v>
      </c>
      <c r="Y29" s="69"/>
      <c r="Z29" s="69"/>
      <c r="AA29" s="69"/>
      <c r="AB29" s="69"/>
      <c r="AC29" s="69"/>
      <c r="AD29" s="69"/>
      <c r="AE29" s="69"/>
      <c r="AF29" s="69"/>
      <c r="AG29" s="69"/>
      <c r="AH29" s="69"/>
      <c r="AI29" s="69"/>
    </row>
    <row r="30" spans="1:35" ht="22.5" customHeight="1">
      <c r="A30" s="3"/>
      <c r="B30" s="731"/>
      <c r="C30" s="731"/>
      <c r="D30" s="731"/>
      <c r="E30" s="732"/>
      <c r="F30" s="733"/>
      <c r="G30" s="734"/>
      <c r="H30" s="734"/>
      <c r="I30" s="734"/>
      <c r="J30" s="734"/>
      <c r="K30" s="732"/>
      <c r="L30" s="733"/>
      <c r="M30" s="734"/>
      <c r="N30" s="734"/>
      <c r="O30" s="734"/>
      <c r="P30" s="734"/>
      <c r="S30" s="67"/>
      <c r="T30" s="65" t="e">
        <f>IF(#REF!&gt;T$19,IF(#REF!&lt;=T$20,#REF!,NA()),NA())</f>
        <v>#REF!</v>
      </c>
      <c r="U30" s="65" t="e">
        <f>IF(#REF!&gt;U$19,IF(#REF!&lt;=U$20,#REF!,NA()),NA())</f>
        <v>#REF!</v>
      </c>
      <c r="V30" s="65" t="e">
        <f>IF(#REF!&gt;V$19,IF(#REF!&lt;=V$20,#REF!,NA()),NA())</f>
        <v>#REF!</v>
      </c>
      <c r="W30" s="65" t="e">
        <f>IF(#REF!&gt;W$19,IF(#REF!&lt;=W$20,#REF!,NA()),NA())</f>
        <v>#REF!</v>
      </c>
      <c r="X30" s="65" t="e">
        <f>IF(#REF!&gt;X$19,IF(#REF!&lt;=X$20,1,NA()),NA())</f>
        <v>#REF!</v>
      </c>
      <c r="Y30" s="69"/>
      <c r="Z30" s="69"/>
      <c r="AA30" s="69"/>
      <c r="AB30" s="69"/>
      <c r="AC30" s="69"/>
      <c r="AD30" s="69"/>
      <c r="AE30" s="69"/>
      <c r="AF30" s="69"/>
      <c r="AG30" s="69"/>
      <c r="AH30" s="69"/>
      <c r="AI30" s="69"/>
    </row>
    <row r="31" spans="1:35" ht="15">
      <c r="A31" s="3"/>
      <c r="B31" s="222"/>
      <c r="C31" s="222"/>
      <c r="D31" s="222"/>
      <c r="E31" s="222"/>
      <c r="F31" s="222"/>
      <c r="G31" s="222"/>
      <c r="H31" s="223"/>
      <c r="I31" s="222"/>
      <c r="J31" s="222"/>
      <c r="K31" s="222"/>
      <c r="L31" s="222"/>
      <c r="M31" s="222"/>
      <c r="N31" s="222"/>
      <c r="O31" s="222"/>
      <c r="P31" s="222"/>
      <c r="S31" s="67"/>
      <c r="T31" s="65" t="e">
        <f t="shared" si="1"/>
        <v>#N/A</v>
      </c>
      <c r="U31" s="65" t="e">
        <f t="shared" si="1"/>
        <v>#N/A</v>
      </c>
      <c r="V31" s="65" t="e">
        <f t="shared" si="1"/>
        <v>#N/A</v>
      </c>
      <c r="W31" s="65" t="e">
        <f t="shared" si="1"/>
        <v>#N/A</v>
      </c>
      <c r="X31" s="65" t="e">
        <f t="shared" si="3"/>
        <v>#N/A</v>
      </c>
      <c r="Y31" s="69"/>
      <c r="Z31" s="69"/>
      <c r="AA31" s="69"/>
      <c r="AB31" s="69"/>
      <c r="AC31" s="69"/>
      <c r="AD31" s="69"/>
      <c r="AE31" s="69"/>
      <c r="AF31" s="69"/>
      <c r="AG31" s="69"/>
      <c r="AH31" s="69"/>
      <c r="AI31" s="69"/>
    </row>
    <row r="32" spans="1:35" ht="15">
      <c r="A32" s="3"/>
      <c r="B32" s="727"/>
      <c r="C32" s="727"/>
      <c r="D32" s="727"/>
      <c r="E32" s="727"/>
      <c r="F32" s="727"/>
      <c r="G32" s="727"/>
      <c r="H32" s="727"/>
      <c r="I32" s="727"/>
      <c r="J32" s="727"/>
      <c r="K32" s="727"/>
      <c r="L32" s="222"/>
      <c r="M32" s="222"/>
      <c r="N32" s="222"/>
      <c r="O32" s="222"/>
      <c r="P32" s="222"/>
      <c r="S32" s="67"/>
      <c r="T32" s="65" t="e">
        <f t="shared" si="1"/>
        <v>#N/A</v>
      </c>
      <c r="U32" s="65" t="e">
        <f t="shared" si="1"/>
        <v>#N/A</v>
      </c>
      <c r="V32" s="65" t="e">
        <f t="shared" si="1"/>
        <v>#N/A</v>
      </c>
      <c r="W32" s="65" t="e">
        <f t="shared" si="1"/>
        <v>#N/A</v>
      </c>
      <c r="X32" s="65" t="e">
        <f t="shared" si="3"/>
        <v>#N/A</v>
      </c>
      <c r="Y32" s="69"/>
      <c r="Z32" s="69"/>
      <c r="AA32" s="69"/>
      <c r="AB32" s="69"/>
      <c r="AC32" s="69"/>
      <c r="AD32" s="69"/>
      <c r="AE32" s="69"/>
      <c r="AF32" s="69"/>
      <c r="AG32" s="69"/>
      <c r="AH32" s="69"/>
      <c r="AI32" s="69"/>
    </row>
    <row r="33" spans="1:35" ht="15">
      <c r="A33" s="3"/>
      <c r="B33" s="727"/>
      <c r="C33" s="727"/>
      <c r="D33" s="727"/>
      <c r="E33" s="727"/>
      <c r="F33" s="727"/>
      <c r="G33" s="727"/>
      <c r="H33" s="727"/>
      <c r="I33" s="727"/>
      <c r="J33" s="727"/>
      <c r="K33" s="727"/>
      <c r="L33" s="222"/>
      <c r="M33" s="222"/>
      <c r="N33" s="222"/>
      <c r="O33" s="222"/>
      <c r="P33" s="222"/>
      <c r="S33" s="69"/>
      <c r="T33" s="69"/>
      <c r="U33" s="69"/>
      <c r="V33" s="69"/>
      <c r="W33" s="69"/>
      <c r="X33" s="69"/>
      <c r="Y33" s="69"/>
      <c r="Z33" s="69"/>
      <c r="AA33" s="69"/>
      <c r="AB33" s="69"/>
      <c r="AC33" s="69"/>
      <c r="AD33" s="69"/>
      <c r="AE33" s="69"/>
      <c r="AF33" s="69"/>
      <c r="AG33" s="69"/>
      <c r="AH33" s="69"/>
      <c r="AI33" s="69"/>
    </row>
    <row r="34" spans="1:35" ht="15">
      <c r="A34" s="3"/>
      <c r="B34" s="3"/>
      <c r="C34" s="3"/>
      <c r="D34" s="3"/>
      <c r="E34" s="3"/>
      <c r="F34" s="3"/>
      <c r="G34" s="3"/>
      <c r="H34" s="3"/>
      <c r="I34" s="98"/>
      <c r="J34" s="98"/>
      <c r="K34" s="98"/>
      <c r="L34" s="3"/>
      <c r="M34" s="3"/>
      <c r="N34" s="3"/>
      <c r="O34" s="3"/>
      <c r="P34" s="3"/>
      <c r="S34" s="69"/>
      <c r="T34" s="69"/>
      <c r="U34" s="69"/>
      <c r="V34" s="69"/>
      <c r="W34" s="69"/>
      <c r="X34" s="69"/>
      <c r="Y34" s="69"/>
      <c r="Z34" s="69"/>
      <c r="AA34" s="69"/>
      <c r="AB34" s="69"/>
      <c r="AC34" s="69"/>
      <c r="AD34" s="69"/>
      <c r="AE34" s="69"/>
      <c r="AF34" s="69"/>
      <c r="AG34" s="69"/>
      <c r="AH34" s="69"/>
      <c r="AI34" s="69"/>
    </row>
    <row r="35" spans="1:35" ht="15">
      <c r="A35" s="3"/>
      <c r="B35" s="3"/>
      <c r="C35" s="3"/>
      <c r="D35" s="3"/>
      <c r="E35" s="3"/>
      <c r="F35" s="3"/>
      <c r="G35" s="3"/>
      <c r="H35" s="3"/>
      <c r="I35" s="140"/>
      <c r="J35" s="141"/>
      <c r="K35" s="141"/>
      <c r="L35" s="3"/>
      <c r="M35" s="3"/>
      <c r="N35" s="3"/>
      <c r="O35" s="3"/>
      <c r="P35" s="3"/>
      <c r="S35" s="69"/>
      <c r="T35" s="69"/>
      <c r="U35" s="69"/>
      <c r="V35" s="69"/>
      <c r="W35" s="69"/>
      <c r="X35" s="69"/>
      <c r="Y35" s="69"/>
      <c r="Z35" s="69"/>
      <c r="AA35" s="69"/>
      <c r="AB35" s="69"/>
      <c r="AC35" s="69"/>
      <c r="AD35" s="69"/>
      <c r="AE35" s="69"/>
      <c r="AF35" s="69"/>
      <c r="AG35" s="69"/>
      <c r="AH35" s="69"/>
      <c r="AI35" s="69"/>
    </row>
    <row r="36" spans="1:35" ht="15">
      <c r="A36" s="3"/>
      <c r="B36" s="3"/>
      <c r="C36" s="3"/>
      <c r="D36" s="3"/>
      <c r="E36" s="3"/>
      <c r="F36" s="3"/>
      <c r="G36" s="3"/>
      <c r="H36" s="3"/>
      <c r="I36" s="142"/>
      <c r="J36" s="143"/>
      <c r="K36" s="100"/>
      <c r="L36" s="3"/>
      <c r="M36" s="3"/>
      <c r="N36" s="3"/>
      <c r="O36" s="3"/>
      <c r="P36" s="3"/>
      <c r="S36" s="69"/>
      <c r="T36" s="69"/>
      <c r="U36" s="69"/>
      <c r="V36" s="69"/>
      <c r="W36" s="69"/>
      <c r="X36" s="69"/>
      <c r="Y36" s="69"/>
      <c r="Z36" s="69"/>
      <c r="AA36" s="69"/>
      <c r="AB36" s="69"/>
      <c r="AC36" s="69"/>
      <c r="AD36" s="69"/>
      <c r="AE36" s="69"/>
      <c r="AF36" s="69"/>
      <c r="AG36" s="69"/>
      <c r="AH36" s="69"/>
      <c r="AI36" s="69"/>
    </row>
    <row r="37" spans="1:35" ht="15">
      <c r="A37" s="3"/>
      <c r="B37" s="3"/>
      <c r="C37" s="3"/>
      <c r="D37" s="3"/>
      <c r="E37" s="3"/>
      <c r="F37" s="3"/>
      <c r="G37" s="3"/>
      <c r="H37" s="3"/>
      <c r="I37" s="144"/>
      <c r="J37" s="143"/>
      <c r="K37" s="100"/>
      <c r="L37" s="3"/>
      <c r="M37" s="3"/>
      <c r="N37" s="3"/>
      <c r="O37" s="3"/>
      <c r="P37" s="3"/>
      <c r="S37" s="69"/>
      <c r="T37" s="69"/>
      <c r="U37" s="69"/>
      <c r="V37" s="69"/>
      <c r="W37" s="69"/>
      <c r="X37" s="69"/>
      <c r="Y37" s="69"/>
      <c r="Z37" s="69"/>
      <c r="AA37" s="69"/>
      <c r="AB37" s="69"/>
      <c r="AC37" s="69"/>
      <c r="AD37" s="69"/>
      <c r="AE37" s="69"/>
      <c r="AF37" s="69"/>
      <c r="AG37" s="69"/>
      <c r="AH37" s="69"/>
      <c r="AI37" s="69"/>
    </row>
    <row r="38" spans="1:35" ht="15">
      <c r="A38" s="3"/>
      <c r="B38" s="3"/>
      <c r="C38" s="3"/>
      <c r="D38" s="3"/>
      <c r="E38" s="3"/>
      <c r="F38" s="3"/>
      <c r="G38" s="3"/>
      <c r="H38" s="3"/>
      <c r="I38" s="142"/>
      <c r="J38" s="143"/>
      <c r="K38" s="100"/>
      <c r="L38" s="3"/>
      <c r="M38" s="3"/>
      <c r="N38" s="3"/>
      <c r="O38" s="3"/>
      <c r="P38" s="3"/>
      <c r="S38" s="69"/>
      <c r="T38" s="69"/>
      <c r="U38" s="69"/>
      <c r="V38" s="69"/>
      <c r="W38" s="69"/>
      <c r="X38" s="69"/>
      <c r="Y38" s="69"/>
      <c r="Z38" s="69"/>
      <c r="AA38" s="69"/>
      <c r="AB38" s="69"/>
      <c r="AC38" s="69"/>
      <c r="AD38" s="69"/>
      <c r="AE38" s="69"/>
      <c r="AF38" s="69"/>
      <c r="AG38" s="69"/>
      <c r="AH38" s="69"/>
      <c r="AI38" s="69"/>
    </row>
    <row r="39" spans="1:35" ht="15">
      <c r="A39" s="3"/>
      <c r="B39" s="3"/>
      <c r="C39" s="3"/>
      <c r="D39" s="3"/>
      <c r="E39" s="3"/>
      <c r="F39" s="3"/>
      <c r="G39" s="3"/>
      <c r="H39" s="3"/>
      <c r="I39" s="3"/>
      <c r="J39" s="3"/>
      <c r="K39" s="3"/>
      <c r="L39" s="3"/>
      <c r="M39" s="3"/>
      <c r="N39" s="3"/>
      <c r="O39" s="3"/>
      <c r="P39" s="3"/>
      <c r="S39" s="69"/>
      <c r="T39" s="69"/>
      <c r="U39" s="69"/>
      <c r="V39" s="69"/>
      <c r="W39" s="69"/>
      <c r="X39" s="69"/>
      <c r="Y39" s="69"/>
      <c r="Z39" s="69"/>
      <c r="AA39" s="69"/>
      <c r="AB39" s="69"/>
      <c r="AC39" s="69"/>
      <c r="AD39" s="69"/>
      <c r="AE39" s="69"/>
      <c r="AF39" s="69"/>
      <c r="AG39" s="69"/>
      <c r="AH39" s="69"/>
      <c r="AI39" s="69"/>
    </row>
    <row r="40" spans="1:35" ht="15">
      <c r="A40" s="3"/>
      <c r="B40" s="3"/>
      <c r="C40" s="3"/>
      <c r="D40" s="3"/>
      <c r="E40" s="3"/>
      <c r="F40" s="3"/>
      <c r="G40" s="3"/>
      <c r="H40" s="3"/>
      <c r="I40" s="3"/>
      <c r="J40" s="3"/>
      <c r="K40" s="3"/>
      <c r="L40" s="3"/>
      <c r="M40" s="3"/>
      <c r="N40" s="3"/>
      <c r="O40" s="3"/>
      <c r="P40" s="3"/>
      <c r="S40" s="69"/>
      <c r="T40" s="69"/>
      <c r="U40" s="69"/>
      <c r="V40" s="69"/>
      <c r="W40" s="69"/>
      <c r="X40" s="69"/>
      <c r="Y40" s="69"/>
      <c r="Z40" s="69"/>
      <c r="AA40" s="69"/>
      <c r="AB40" s="69"/>
      <c r="AC40" s="69"/>
      <c r="AD40" s="69"/>
      <c r="AE40" s="69"/>
      <c r="AF40" s="69"/>
      <c r="AG40" s="69"/>
      <c r="AH40" s="69"/>
      <c r="AI40" s="69"/>
    </row>
    <row r="41" spans="1:28" ht="15">
      <c r="A41" s="3"/>
      <c r="B41" s="3"/>
      <c r="C41" s="3"/>
      <c r="D41" s="3"/>
      <c r="E41" s="3"/>
      <c r="F41" s="3"/>
      <c r="G41" s="3"/>
      <c r="H41" s="3"/>
      <c r="I41" s="3"/>
      <c r="J41" s="3"/>
      <c r="K41" s="3"/>
      <c r="L41" s="3"/>
      <c r="M41" s="3"/>
      <c r="N41" s="3"/>
      <c r="O41" s="3"/>
      <c r="P41" s="3"/>
      <c r="S41" s="62"/>
      <c r="T41" s="62"/>
      <c r="U41" s="62"/>
      <c r="V41" s="62"/>
      <c r="W41" s="62"/>
      <c r="X41" s="62"/>
      <c r="Y41" s="62"/>
      <c r="Z41" s="62"/>
      <c r="AA41" s="62"/>
      <c r="AB41" s="62"/>
    </row>
    <row r="42" spans="19:28" ht="15">
      <c r="S42" s="62"/>
      <c r="T42" s="62"/>
      <c r="U42" s="62"/>
      <c r="V42" s="62"/>
      <c r="W42" s="62"/>
      <c r="X42" s="62"/>
      <c r="Y42" s="62"/>
      <c r="Z42" s="62"/>
      <c r="AA42" s="62"/>
      <c r="AB42" s="62"/>
    </row>
    <row r="43" spans="19:28" ht="15">
      <c r="S43" s="62"/>
      <c r="T43" s="62"/>
      <c r="U43" s="62"/>
      <c r="V43" s="62"/>
      <c r="W43" s="62"/>
      <c r="X43" s="62"/>
      <c r="Y43" s="62"/>
      <c r="Z43" s="62"/>
      <c r="AA43" s="62"/>
      <c r="AB43" s="62"/>
    </row>
    <row r="44" spans="19:28" ht="15">
      <c r="S44" s="62"/>
      <c r="T44" s="62"/>
      <c r="U44" s="62"/>
      <c r="V44" s="62"/>
      <c r="W44" s="62"/>
      <c r="X44" s="62"/>
      <c r="Y44" s="62"/>
      <c r="Z44" s="62"/>
      <c r="AA44" s="62"/>
      <c r="AB44" s="62"/>
    </row>
    <row r="45" spans="19:28" ht="15">
      <c r="S45" s="62"/>
      <c r="T45" s="62"/>
      <c r="U45" s="62"/>
      <c r="V45" s="62"/>
      <c r="W45" s="62"/>
      <c r="X45" s="62"/>
      <c r="Y45" s="62"/>
      <c r="Z45" s="62"/>
      <c r="AA45" s="62"/>
      <c r="AB45" s="62"/>
    </row>
  </sheetData>
  <sheetProtection/>
  <mergeCells count="55">
    <mergeCell ref="B22:D22"/>
    <mergeCell ref="B26:D26"/>
    <mergeCell ref="G23:K23"/>
    <mergeCell ref="C9:E9"/>
    <mergeCell ref="G9:K9"/>
    <mergeCell ref="B20:D20"/>
    <mergeCell ref="G25:K25"/>
    <mergeCell ref="L24:Q24"/>
    <mergeCell ref="B30:E30"/>
    <mergeCell ref="F30:K30"/>
    <mergeCell ref="B21:D21"/>
    <mergeCell ref="G28:K28"/>
    <mergeCell ref="F29:K29"/>
    <mergeCell ref="L30:P30"/>
    <mergeCell ref="B27:D27"/>
    <mergeCell ref="L22:Q22"/>
    <mergeCell ref="L28:Q28"/>
    <mergeCell ref="L29:P29"/>
    <mergeCell ref="B32:D33"/>
    <mergeCell ref="E32:G33"/>
    <mergeCell ref="H32:K33"/>
    <mergeCell ref="B23:D23"/>
    <mergeCell ref="B24:D24"/>
    <mergeCell ref="G26:K26"/>
    <mergeCell ref="G27:K27"/>
    <mergeCell ref="B25:D25"/>
    <mergeCell ref="G24:K24"/>
    <mergeCell ref="B28:D28"/>
    <mergeCell ref="B29:E29"/>
    <mergeCell ref="L19:Q19"/>
    <mergeCell ref="L25:Q25"/>
    <mergeCell ref="L26:Q26"/>
    <mergeCell ref="L27:Q27"/>
    <mergeCell ref="G20:K20"/>
    <mergeCell ref="G22:K22"/>
    <mergeCell ref="G19:H19"/>
    <mergeCell ref="I19:J19"/>
    <mergeCell ref="L23:Q23"/>
    <mergeCell ref="B2:Q2"/>
    <mergeCell ref="O3:P3"/>
    <mergeCell ref="D5:N5"/>
    <mergeCell ref="L8:Q8"/>
    <mergeCell ref="F6:K6"/>
    <mergeCell ref="L20:Q20"/>
    <mergeCell ref="E3:K3"/>
    <mergeCell ref="C4:D4"/>
    <mergeCell ref="C3:D3"/>
    <mergeCell ref="E4:L4"/>
    <mergeCell ref="B8:E8"/>
    <mergeCell ref="G21:K21"/>
    <mergeCell ref="L21:Q21"/>
    <mergeCell ref="M9:Q9"/>
    <mergeCell ref="F8:K8"/>
    <mergeCell ref="E18:K18"/>
    <mergeCell ref="B19:D19"/>
  </mergeCells>
  <conditionalFormatting sqref="C4:D4">
    <cfRule type="cellIs" priority="50" dxfId="63" operator="equal" stopIfTrue="1">
      <formula>"C"</formula>
    </cfRule>
    <cfRule type="cellIs" priority="51" dxfId="60" operator="equal" stopIfTrue="1">
      <formula>"B2"</formula>
    </cfRule>
    <cfRule type="cellIs" priority="52" dxfId="61" operator="equal" stopIfTrue="1">
      <formula>"B1"</formula>
    </cfRule>
  </conditionalFormatting>
  <conditionalFormatting sqref="G20:G28">
    <cfRule type="cellIs" priority="56" dxfId="69" operator="between" stopIfTrue="1">
      <formula>0</formula>
      <formula>0.599</formula>
    </cfRule>
    <cfRule type="cellIs" priority="57" dxfId="68" operator="between" stopIfTrue="1">
      <formula>0.6</formula>
      <formula>0.899</formula>
    </cfRule>
    <cfRule type="cellIs" priority="58" dxfId="70"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25">
      <selection activeCell="R23" sqref="R23"/>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46"/>
      <c r="B1" s="146"/>
      <c r="C1" s="146"/>
      <c r="D1" s="146"/>
      <c r="E1" s="146"/>
      <c r="F1" s="146"/>
      <c r="G1" s="146"/>
      <c r="H1" s="146"/>
      <c r="I1" s="146"/>
      <c r="J1" s="146"/>
      <c r="K1" s="147"/>
      <c r="L1" s="146"/>
      <c r="M1" s="146"/>
      <c r="N1" s="146"/>
    </row>
    <row r="2" spans="1:15" ht="27.75" customHeight="1">
      <c r="A2" s="3"/>
      <c r="B2" s="710" t="str">
        <f>+"Dashboard:  "&amp;"  "&amp;IF(+'Data Entry'!C4="Please Select","",'Data Entry'!C4&amp;" - ")&amp;IF('Data Entry'!G6="Please Select","",'Data Entry'!G6)</f>
        <v>Dashboard:    Moldova - HIV / AIDS</v>
      </c>
      <c r="C2" s="710"/>
      <c r="D2" s="710"/>
      <c r="E2" s="710"/>
      <c r="F2" s="710"/>
      <c r="G2" s="710"/>
      <c r="H2" s="710"/>
      <c r="I2" s="710"/>
      <c r="J2" s="710"/>
      <c r="K2" s="710"/>
      <c r="L2" s="710"/>
      <c r="M2" s="710"/>
      <c r="N2" s="710"/>
      <c r="O2" s="71"/>
    </row>
    <row r="3" spans="1:14" ht="18.75">
      <c r="A3" s="3"/>
      <c r="B3" s="128" t="str">
        <f>+IF('Data Entry'!G8="Please Select","",'Data Entry'!G8)</f>
        <v>SSF (Round 8)</v>
      </c>
      <c r="C3" s="665" t="str">
        <f>+IF('Data Entry'!I8="Please Select","",'Data Entry'!I8)</f>
        <v>Period 2 </v>
      </c>
      <c r="D3" s="665"/>
      <c r="E3" s="715"/>
      <c r="F3" s="715"/>
      <c r="G3" s="715"/>
      <c r="H3" s="715"/>
      <c r="I3" s="715"/>
      <c r="J3" s="715"/>
      <c r="K3" s="715"/>
      <c r="L3" s="128" t="str">
        <f>+'Data Entry'!B16</f>
        <v>Report Period:</v>
      </c>
      <c r="M3" s="194" t="str">
        <f>+'Data Entry'!C16</f>
        <v>P8</v>
      </c>
      <c r="N3" s="194"/>
    </row>
    <row r="4" spans="1:14" ht="15">
      <c r="A4" s="3"/>
      <c r="B4" s="128" t="str">
        <f>+'Data Entry'!B12</f>
        <v>Latest Rating:</v>
      </c>
      <c r="C4" s="716" t="str">
        <f>+IF('Data Entry'!C12="Please Select","",'Data Entry'!C12)</f>
        <v>A2</v>
      </c>
      <c r="D4" s="716"/>
      <c r="E4" s="664" t="str">
        <f>+'Data Entry'!C8</f>
        <v>PAS Center</v>
      </c>
      <c r="F4" s="664"/>
      <c r="G4" s="664"/>
      <c r="H4" s="664"/>
      <c r="I4" s="664"/>
      <c r="J4" s="664"/>
      <c r="K4" s="664"/>
      <c r="L4" s="128" t="str">
        <f>+'Data Entry'!D16</f>
        <v>From:</v>
      </c>
      <c r="M4" s="195" t="str">
        <f>+IF(ISBLANK('Data Entry'!E16),"",'Data Entry'!E16)</f>
        <v>July 01, 2013</v>
      </c>
      <c r="N4" s="195"/>
    </row>
    <row r="5" spans="1:14" ht="18.75" customHeight="1">
      <c r="A5" s="3"/>
      <c r="B5" s="128"/>
      <c r="C5" s="128"/>
      <c r="D5" s="129"/>
      <c r="E5" s="664" t="str">
        <f>+'Data Entry'!G4</f>
        <v>Reducing HIV-related burden in the Republic of Moldova</v>
      </c>
      <c r="F5" s="664"/>
      <c r="G5" s="664"/>
      <c r="H5" s="664"/>
      <c r="I5" s="664"/>
      <c r="J5" s="664"/>
      <c r="K5" s="664"/>
      <c r="L5" s="128" t="str">
        <f>+'Data Entry'!F16</f>
        <v>To:</v>
      </c>
      <c r="M5" s="195" t="str">
        <f>+IF(ISBLANK('Data Entry'!G16),"",'Data Entry'!G16)</f>
        <v>December 31, 2013</v>
      </c>
      <c r="N5" s="195"/>
    </row>
    <row r="6" spans="1:14" ht="22.5" customHeight="1">
      <c r="A6" s="3"/>
      <c r="B6" s="133"/>
      <c r="C6" s="134"/>
      <c r="D6" s="135"/>
      <c r="E6" s="774" t="s">
        <v>319</v>
      </c>
      <c r="F6" s="774"/>
      <c r="G6" s="774"/>
      <c r="H6" s="774"/>
      <c r="I6" s="774"/>
      <c r="J6" s="774"/>
      <c r="K6" s="774"/>
      <c r="L6" s="2"/>
      <c r="M6" s="2"/>
      <c r="N6" s="2"/>
    </row>
    <row r="7" spans="1:14" s="33" customFormat="1" ht="4.5" customHeight="1">
      <c r="A7" s="148"/>
      <c r="B7" s="149"/>
      <c r="C7" s="149"/>
      <c r="D7" s="149"/>
      <c r="E7" s="149"/>
      <c r="F7" s="149"/>
      <c r="G7" s="149"/>
      <c r="H7" s="149"/>
      <c r="I7" s="149"/>
      <c r="J7" s="149"/>
      <c r="K7" s="149"/>
      <c r="L7" s="150"/>
      <c r="M7" s="150"/>
      <c r="N7" s="151"/>
    </row>
    <row r="8" spans="1:14" s="33" customFormat="1" ht="21" customHeight="1" thickBot="1">
      <c r="A8" s="148"/>
      <c r="B8" s="752" t="s">
        <v>103</v>
      </c>
      <c r="C8" s="752"/>
      <c r="D8" s="752"/>
      <c r="E8" s="752"/>
      <c r="F8" s="752"/>
      <c r="G8" s="752"/>
      <c r="H8" s="752"/>
      <c r="I8" s="752"/>
      <c r="J8" s="752"/>
      <c r="K8" s="752"/>
      <c r="L8" s="752"/>
      <c r="M8" s="752"/>
      <c r="N8" s="752"/>
    </row>
    <row r="9" spans="1:14" s="33" customFormat="1" ht="3.75" customHeight="1" thickBot="1">
      <c r="A9" s="148"/>
      <c r="B9" s="149"/>
      <c r="C9" s="149"/>
      <c r="D9" s="149"/>
      <c r="E9" s="149"/>
      <c r="F9" s="149"/>
      <c r="G9" s="149"/>
      <c r="H9" s="149"/>
      <c r="I9" s="149"/>
      <c r="J9" s="149"/>
      <c r="K9" s="149"/>
      <c r="L9" s="150"/>
      <c r="M9" s="150"/>
      <c r="N9" s="151"/>
    </row>
    <row r="10" spans="1:14" s="34" customFormat="1" ht="25.5" customHeight="1" thickBot="1">
      <c r="A10" s="152"/>
      <c r="B10" s="773" t="s">
        <v>98</v>
      </c>
      <c r="C10" s="765"/>
      <c r="D10" s="753" t="s">
        <v>102</v>
      </c>
      <c r="E10" s="754"/>
      <c r="F10" s="754"/>
      <c r="G10" s="755"/>
      <c r="H10" s="155"/>
      <c r="I10" s="753" t="s">
        <v>319</v>
      </c>
      <c r="J10" s="754"/>
      <c r="K10" s="754"/>
      <c r="L10" s="754"/>
      <c r="M10" s="754"/>
      <c r="N10" s="755"/>
    </row>
    <row r="11" spans="1:14" s="34" customFormat="1" ht="28.5" customHeight="1">
      <c r="A11" s="152"/>
      <c r="B11" s="396" t="s">
        <v>106</v>
      </c>
      <c r="C11" s="172"/>
      <c r="D11" s="777" t="str">
        <f>IF(ISBLANK(Finance!C9),"",(Finance!C9))</f>
        <v>By December 31, 2013, the total amount disbursed by TGF to PAS Center was EUR 10,565,583. The cumulative disbursement rate is 104.6%. The variance is due to the fact that the cumulative disbursement includes the  buffer for Q1, 2014 in a total amount of EUR 465,363.
(Până la 31 decembrie 2013, Centrului PAS i-au fost disbursate de către Fondul Global 10,565,583 Euro. Rata cumulativă a disbursării este de 104.6%. Variația este cauzată de faptul că disbursarea cumulativă include un buffer pentru Tr.1, 2014 în valoare totală de 465,363 Euro.)  </v>
      </c>
      <c r="E11" s="777"/>
      <c r="F11" s="777"/>
      <c r="G11" s="778"/>
      <c r="H11" s="178"/>
      <c r="I11" s="779"/>
      <c r="J11" s="780"/>
      <c r="K11" s="780"/>
      <c r="L11" s="780"/>
      <c r="M11" s="780"/>
      <c r="N11" s="781"/>
    </row>
    <row r="12" spans="1:14" s="34" customFormat="1" ht="27.75" customHeight="1">
      <c r="A12" s="152"/>
      <c r="B12" s="397" t="s">
        <v>107</v>
      </c>
      <c r="C12" s="173"/>
      <c r="D12" s="777" t="str">
        <f>IF(ISBLANK(Finance!C23),"",(Finance!C23))</f>
        <v>The cumulative cash outflow rate as of December 31, 2013 per Objectives range between 98% and 104% the variances being due to payments afferent to commitments from Period 1, advanced payments from year 2014 budget and commitments that will be paid over next semester.
(Rata cumulativă de absorbţie din buget la 31.12.2013 per Obiective este între 98% şi 104% variaţia datorînduse în mare parte plăţilor aferente Perioadei 1, plăților în avans din bugetul anului 2014 și angajamentelor care vor fi plătite pe parcursul semestrului următor.)</v>
      </c>
      <c r="E12" s="777"/>
      <c r="F12" s="777"/>
      <c r="G12" s="778"/>
      <c r="H12" s="178"/>
      <c r="I12" s="767"/>
      <c r="J12" s="768"/>
      <c r="K12" s="768"/>
      <c r="L12" s="768"/>
      <c r="M12" s="768"/>
      <c r="N12" s="769"/>
    </row>
    <row r="13" spans="1:14" s="34" customFormat="1" ht="26.25" customHeight="1">
      <c r="A13" s="152"/>
      <c r="B13" s="397" t="s">
        <v>108</v>
      </c>
      <c r="C13" s="173"/>
      <c r="D13" s="777" t="str">
        <f>IF(ISBLANK(Finance!I9),"",(Finance!I9))</f>
        <v>The cash outflow rate for the reporting period is 98.3% (actual: EUR 992,657, budget: EUR 1,009,491) of the semi-annual budget and the cumulative cash outflow as of December 31, 2013 is 100.56% (actual: EUR 10,159,549, budget: EUR 10,102,673). 
The cumulative variance mainly consist of payments afferent to commitments from Period 1,  payments the NGO "Youth for the Wright to Live" from year 2014 budget as per TGF approval dated February 20, 2013 for the renovation, and commitments that will be paid over next semester.
(Rata de absorbţie pentru perioada raportată este de 98.3% (Actual  992,657 Euro/Budget 1,009,491 Euro) din bugetul semianual şi rata cumulativă de absorbţie din buget la 31.12.2013 este 100.56% (actual: 10,159,549 Euro, budget: 10,102,673 Euro). 
Variația cumulativă se datorează în mare parte plăţilor aferente Perioadei 1, plăților din bugetul anului 2014 către ONG-ul "Tinerii pentru Dreptul la Viață" pentru renovare conform aprobării FG din data de 20 februarie 2013 și angajamentelor care vor fi plătite pe parcursul semestrului următor.)</v>
      </c>
      <c r="E13" s="777"/>
      <c r="F13" s="777"/>
      <c r="G13" s="778"/>
      <c r="H13" s="178"/>
      <c r="I13" s="767"/>
      <c r="J13" s="768"/>
      <c r="K13" s="768"/>
      <c r="L13" s="768"/>
      <c r="M13" s="768"/>
      <c r="N13" s="769"/>
    </row>
    <row r="14" spans="1:14" s="34" customFormat="1" ht="28.5" customHeight="1" thickBot="1">
      <c r="A14" s="152"/>
      <c r="B14" s="398" t="s">
        <v>109</v>
      </c>
      <c r="C14" s="174"/>
      <c r="D14" s="775" t="str">
        <f>IF(ISBLANK(Finance!I23),"",(Finance!I23))</f>
        <v>The PU for Semester 2, 2013 has been submitted to LFA in due terms (42 days after the end of reported period), on February 11, 2014. 
The disbursement requested with the previous PU/DR for S2, 2012 (submitted on February 15, 2013) reached the PR on 08 May, 2013 (83 days after the PU/DR) and include the budget for semester 2, 2013 and the buffer for Q1, 2014.
(Actualizarea progresului pentru Semestrul 2, 2013 a fost remisa Agentului Local al Fondului in termenii stabiliți (42 de zile după finisarea perioadei raportate) pe data de 11 februarie 2013.
Disbursarea solicitată cu  precedenta Actualizare de progres (PU/DR) pentru Semestrul 2, 2012 a fost primită de PR pe data de 08 mai 2013 (83 zile de la PU/DR). Disbursarea include bugetul pentru semestrul 2, 2013 și un buffer pentru Tr.1, 2014.)</v>
      </c>
      <c r="E14" s="775"/>
      <c r="F14" s="775"/>
      <c r="G14" s="776"/>
      <c r="H14" s="178"/>
      <c r="I14" s="770"/>
      <c r="J14" s="771"/>
      <c r="K14" s="771"/>
      <c r="L14" s="771"/>
      <c r="M14" s="771"/>
      <c r="N14" s="772"/>
    </row>
    <row r="15" spans="1:15" s="34" customFormat="1" ht="4.5" customHeight="1">
      <c r="A15" s="152"/>
      <c r="B15" s="175"/>
      <c r="C15" s="176"/>
      <c r="D15" s="177"/>
      <c r="E15" s="177"/>
      <c r="F15" s="177"/>
      <c r="G15" s="177"/>
      <c r="H15" s="178"/>
      <c r="I15" s="179"/>
      <c r="J15" s="179"/>
      <c r="K15" s="179"/>
      <c r="L15" s="179"/>
      <c r="M15" s="179"/>
      <c r="N15" s="179"/>
      <c r="O15" s="73"/>
    </row>
    <row r="16" spans="1:14" s="33" customFormat="1" ht="21" customHeight="1" thickBot="1">
      <c r="A16" s="148"/>
      <c r="B16" s="752" t="s">
        <v>105</v>
      </c>
      <c r="C16" s="752"/>
      <c r="D16" s="752"/>
      <c r="E16" s="752"/>
      <c r="F16" s="752"/>
      <c r="G16" s="752"/>
      <c r="H16" s="752"/>
      <c r="I16" s="752"/>
      <c r="J16" s="752"/>
      <c r="K16" s="752"/>
      <c r="L16" s="752"/>
      <c r="M16" s="752"/>
      <c r="N16" s="752"/>
    </row>
    <row r="17" spans="1:14" s="34" customFormat="1" ht="3.75" customHeight="1" thickBot="1">
      <c r="A17" s="152"/>
      <c r="B17" s="161"/>
      <c r="C17" s="162"/>
      <c r="D17" s="163"/>
      <c r="E17" s="164"/>
      <c r="F17" s="165"/>
      <c r="G17" s="165"/>
      <c r="H17" s="166"/>
      <c r="I17" s="167"/>
      <c r="J17" s="168"/>
      <c r="K17" s="157"/>
      <c r="L17" s="158"/>
      <c r="M17" s="159"/>
      <c r="N17" s="160"/>
    </row>
    <row r="18" spans="1:14" s="34" customFormat="1" ht="22.5" customHeight="1" thickBot="1">
      <c r="A18" s="152"/>
      <c r="B18" s="765" t="s">
        <v>99</v>
      </c>
      <c r="C18" s="766"/>
      <c r="D18" s="792" t="s">
        <v>102</v>
      </c>
      <c r="E18" s="793"/>
      <c r="F18" s="793"/>
      <c r="G18" s="794"/>
      <c r="H18" s="155"/>
      <c r="I18" s="789" t="s">
        <v>319</v>
      </c>
      <c r="J18" s="790"/>
      <c r="K18" s="790"/>
      <c r="L18" s="790"/>
      <c r="M18" s="791"/>
      <c r="N18" s="791"/>
    </row>
    <row r="19" spans="1:14" s="34" customFormat="1" ht="21.75" customHeight="1">
      <c r="A19" s="152"/>
      <c r="B19" s="399" t="s">
        <v>114</v>
      </c>
      <c r="C19" s="180"/>
      <c r="D19" s="795" t="str">
        <f>IF(ISBLANK(Management!C8),"",(Management!C8))</f>
        <v>The two special conditions afferent to Period 2 have been fulfilled  in strict accordance with their provisions. 
(Cele două condiții speciale aferente Perioadei 2 au fost îndeplinite, în strictă conformitate cu prevederile contractuale.)  </v>
      </c>
      <c r="E19" s="795"/>
      <c r="F19" s="795"/>
      <c r="G19" s="796"/>
      <c r="H19" s="181"/>
      <c r="I19" s="756"/>
      <c r="J19" s="757"/>
      <c r="K19" s="757"/>
      <c r="L19" s="757"/>
      <c r="M19" s="757"/>
      <c r="N19" s="758"/>
    </row>
    <row r="20" spans="1:15" ht="24.75" customHeight="1">
      <c r="A20" s="146"/>
      <c r="B20" s="400" t="s">
        <v>115</v>
      </c>
      <c r="C20" s="182"/>
      <c r="D20" s="777" t="str">
        <f>IF(ISBLANK(Management!I8),"",(Management!I8))</f>
        <v>Two full time positions and 12 part time.
(Două poziţii cu normă plină şi 12 - parţială.)</v>
      </c>
      <c r="E20" s="777" t="e">
        <f>+'Data Entry'!D69/'Data Entry'!G69</f>
        <v>#DIV/0!</v>
      </c>
      <c r="F20" s="777" t="e">
        <f>+('Data Entry'!E69+'Data Entry'!F69)/'Data Entry'!G69</f>
        <v>#DIV/0!</v>
      </c>
      <c r="G20" s="788"/>
      <c r="H20" s="181"/>
      <c r="I20" s="762"/>
      <c r="J20" s="763"/>
      <c r="K20" s="763"/>
      <c r="L20" s="763"/>
      <c r="M20" s="763"/>
      <c r="N20" s="764"/>
      <c r="O20" s="35"/>
    </row>
    <row r="21" spans="1:15" ht="29.25" customHeight="1">
      <c r="A21" s="146"/>
      <c r="B21" s="401" t="s">
        <v>116</v>
      </c>
      <c r="C21" s="182"/>
      <c r="D21" s="777" t="str">
        <f>IF(ISBLANK(Management!C16),"",(Management!C16))</f>
        <v>Four Sub-recipients (SRs) have been identified initialy (2010)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by PAS Center the last one (League of people living with HIV of Moldova) by TGF Local Fund Agent. Four sub-grant agreements have been signe following the assessment. In September 2011, due to lack of capacity for adequate implementation of the grant portion contracted the sub-grant agreement with one of the SRs (League of people living with HIV) was terminated and the management of activities has been entrusted to an other SR ( SFM).  Respectively three sub-recipients continued to receive funds till the end of Period one (December 31, 2012). During renewal one SR component has been reorganised and starting with Period two  (2013) there are two SRs that receiv funds within the grant. 
(Patru Sub-Recipienţi (SR), au fost identificaţi inițial (2010) pentru a implementa diferite componente în cadrul programului: Fundația Soros-Moldova (FSM), Liga persoanelor care trăiesc cu HIV din Moldova, Viaţa Nouă, Institutul pentru Drepturile Omului din Moldova. Un SR (SFM) a fost evaluat anterior de către RP guvernamental, deoarece activează în calitate de SR începănd cu Runda 1. Alţi doi SR au fost evaluaţi (Viaţa Nouă și Institutul pentru Drepturile Omului din Moldova) de către Centrul PAS iar ultimul (Liga persoanelor care trăiesc cu HIV din Republica Moldova) de către Agentul Local al Fondului Global. Urmare a evaluării au fost semnate patru acorduri de sub-grant. În septembrie 2011, din cauza lipsei capacității de  implementare adecvată a componentului de grant contractat, acordul de sub-finantare cu unul dintre SR (Liga persoanelor care trăiesc cu HIV) a fost reziliat și gestionarea activităților a fost încredințată altui SR (SFM). Respectiv  trei SR au primit fonduri până la finele Perioadei unu (31 decembrie  2012). La etapa de reînoire a grantului, componentul implementat de unul dintre acesti SR a fost reorganizat și începănd cu Perioada 2 (2013) doi SR primesc resurse din cadrul grantului trei SR.</v>
      </c>
      <c r="E21" s="777"/>
      <c r="F21" s="777"/>
      <c r="G21" s="788"/>
      <c r="H21" s="181"/>
      <c r="I21" s="762"/>
      <c r="J21" s="763"/>
      <c r="K21" s="763"/>
      <c r="L21" s="763"/>
      <c r="M21" s="763"/>
      <c r="N21" s="764"/>
      <c r="O21" s="35"/>
    </row>
    <row r="22" spans="1:15" ht="26.25" customHeight="1">
      <c r="A22" s="146"/>
      <c r="B22" s="401" t="s">
        <v>117</v>
      </c>
      <c r="C22" s="182"/>
      <c r="D22" s="777" t="str">
        <f>IF(ISBLANK(Management!I16),"",(Management!I16))</f>
        <v>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For the SR SFM the Sub-subrecipients financial reports are due quarterly and can be submitted during the following quarter, the activity reports are due not later than 10 days from the end of each month and are generally submitted in time except one Ssr - NGO Master in Public Health – that is constantly late in reporting. During the reporting period reflected in this dashboard 16 reports from 17 due were submited in time. 
For the SR New Life the reports (financial, activity and indicators) are due not later than 15 days after the close of each quarter and are generally submitted in time.
(Rapoartele trimestriale ale SR-ului  (raport financiar, raport de activitate și cadrul de performanță) urmează a fi transmise  RP nu mai târziu de 25 de zile de la încheierea fiecărui trimestru. Rapoartele sunt de regulă prezentate la timp. Perioada de verificare şi aprobare variază de la un SR la altul în funcţie de exhaustivitatea și consistența rapoartelor.
Pentru SR-ul FSM rapoartele financiare ale Sub-subrecipienţilor (Ssr) urmează a fi transmise trimestrial și pot fi prezentate în trimestrul următor, rapoartele de activitate urmează a fi prezentate nu mai târziu de 10 zile de la sfârșitul fiecărei luni și sunt  în general prezentate la timp cu excepția unui Ssr - ONG-ul Master în Sănătatea Publică - care întârzie raportarea în mod constant . Pe parcursul perioadei de raportare reflectată în aces raport, 16 raporte din 17 planificate au fost transmise la timp. 
Pentru SR-ul Viaţa Nouă rapoartele (financiar, de activitate și indicatorii) urmează a fi prezentate nu mai târziu de 15 zile de la încheierea fiecărui trimestru și sunt, de regulă, prezentate la timp.)</v>
      </c>
      <c r="E22" s="777"/>
      <c r="F22" s="777"/>
      <c r="G22" s="788"/>
      <c r="H22" s="181"/>
      <c r="I22" s="762"/>
      <c r="J22" s="763"/>
      <c r="K22" s="763"/>
      <c r="L22" s="763"/>
      <c r="M22" s="763"/>
      <c r="N22" s="764"/>
      <c r="O22" s="35"/>
    </row>
    <row r="23" spans="1:15" ht="24.75" customHeight="1">
      <c r="A23" s="146"/>
      <c r="B23" s="401" t="s">
        <v>118</v>
      </c>
      <c r="C23" s="182"/>
      <c r="D23" s="777" t="str">
        <f>IF(ISBLANK(Management!C27),"",(Management!C27))</f>
        <v>N/A</v>
      </c>
      <c r="E23" s="777"/>
      <c r="F23" s="777"/>
      <c r="G23" s="788"/>
      <c r="H23" s="181"/>
      <c r="I23" s="762"/>
      <c r="J23" s="763"/>
      <c r="K23" s="763"/>
      <c r="L23" s="763"/>
      <c r="M23" s="763"/>
      <c r="N23" s="764"/>
      <c r="O23" s="35"/>
    </row>
    <row r="24" spans="1:15" ht="27" customHeight="1" thickBot="1">
      <c r="A24" s="146"/>
      <c r="B24" s="402" t="s">
        <v>120</v>
      </c>
      <c r="C24" s="183"/>
      <c r="D24" s="798" t="str">
        <f>IF(ISBLANK(Management!I27),"",(Management!I27))</f>
        <v>N/A</v>
      </c>
      <c r="E24" s="798"/>
      <c r="F24" s="798"/>
      <c r="G24" s="799"/>
      <c r="H24" s="181"/>
      <c r="I24" s="759"/>
      <c r="J24" s="760"/>
      <c r="K24" s="760"/>
      <c r="L24" s="760"/>
      <c r="M24" s="760"/>
      <c r="N24" s="761"/>
      <c r="O24" s="35"/>
    </row>
    <row r="25" spans="1:15" ht="4.5" customHeight="1">
      <c r="A25" s="148"/>
      <c r="B25" s="153"/>
      <c r="C25" s="154"/>
      <c r="D25" s="169"/>
      <c r="E25" s="170"/>
      <c r="F25" s="171"/>
      <c r="G25" s="171"/>
      <c r="H25" s="155"/>
      <c r="I25" s="170"/>
      <c r="J25" s="156"/>
      <c r="K25" s="157"/>
      <c r="L25" s="158"/>
      <c r="M25" s="159"/>
      <c r="N25" s="160"/>
      <c r="O25" s="35"/>
    </row>
    <row r="26" spans="1:14" s="33" customFormat="1" ht="21" customHeight="1" thickBot="1">
      <c r="A26" s="148"/>
      <c r="B26" s="752" t="s">
        <v>104</v>
      </c>
      <c r="C26" s="752"/>
      <c r="D26" s="752"/>
      <c r="E26" s="752"/>
      <c r="F26" s="752"/>
      <c r="G26" s="752"/>
      <c r="H26" s="752"/>
      <c r="I26" s="752"/>
      <c r="J26" s="752"/>
      <c r="K26" s="752"/>
      <c r="L26" s="752"/>
      <c r="M26" s="752"/>
      <c r="N26" s="752"/>
    </row>
    <row r="27" spans="1:15" ht="3.75" customHeight="1" thickBot="1">
      <c r="A27" s="148"/>
      <c r="B27" s="153"/>
      <c r="C27" s="154"/>
      <c r="D27" s="169"/>
      <c r="E27" s="170"/>
      <c r="F27" s="171"/>
      <c r="G27" s="171"/>
      <c r="H27" s="155"/>
      <c r="I27" s="170"/>
      <c r="J27" s="156"/>
      <c r="K27" s="157"/>
      <c r="L27" s="158"/>
      <c r="M27" s="159"/>
      <c r="N27" s="160"/>
      <c r="O27" s="35"/>
    </row>
    <row r="28" spans="1:15" ht="21.75" customHeight="1" thickBot="1">
      <c r="A28" s="146"/>
      <c r="B28" s="773" t="s">
        <v>12</v>
      </c>
      <c r="C28" s="766"/>
      <c r="D28" s="800" t="s">
        <v>102</v>
      </c>
      <c r="E28" s="801"/>
      <c r="F28" s="801"/>
      <c r="G28" s="802"/>
      <c r="H28" s="155"/>
      <c r="I28" s="800" t="s">
        <v>319</v>
      </c>
      <c r="J28" s="801"/>
      <c r="K28" s="801"/>
      <c r="L28" s="801"/>
      <c r="M28" s="801"/>
      <c r="N28" s="802"/>
      <c r="O28" s="35"/>
    </row>
    <row r="29" spans="1:15" ht="29.25" customHeight="1">
      <c r="A29" s="146"/>
      <c r="B29" s="403" t="s">
        <v>320</v>
      </c>
      <c r="C29" s="184"/>
      <c r="D29" s="803" t="str">
        <f>IF(ISBLANK(Programmatic!C9),"",(Programmatic!C9))</f>
        <v>During S8 a total 359 PLHIV were primarily reached with care and support services through four social regional centers providing assistance to PLHIV and 10 territorial organizations that ensures outreach to PLHIV and their families. The beneficiaries are provided with the following services: psycho-social counseling and support, medical counseling and referral, distribution of information materials, peer counseling, self-support groups and food support, etc.
The indicator is achieved.
(Pe parcursul semestrului 8, un total de 359 PTH au fost primar acoperiți cu servicii de îngrijire şi suport prestate în cadrul celor patru Centre Sociale Regionale şi a 10 organizații teritoriale care prestează servicii direct PTH și membrilor familiilor lor. Beneficiarilor le sunt prestate următoarele servicii: suport și consiliere psiho-socială, consiliere medicală și referiri, diseminarea materialelor informaționale şi consiliere de la egal la egal, grupuri de ajutor reciproc și suport alimentar, etc. 
Indicatorul este atins.)</v>
      </c>
      <c r="E29" s="804"/>
      <c r="F29" s="804"/>
      <c r="G29" s="805"/>
      <c r="H29" s="181"/>
      <c r="I29" s="785"/>
      <c r="J29" s="786"/>
      <c r="K29" s="786"/>
      <c r="L29" s="786"/>
      <c r="M29" s="786"/>
      <c r="N29" s="787"/>
      <c r="O29" s="35"/>
    </row>
    <row r="30" spans="1:15" ht="21.75" customHeight="1">
      <c r="A30" s="146"/>
      <c r="B30" s="404" t="s">
        <v>321</v>
      </c>
      <c r="C30" s="185"/>
      <c r="D30" s="797" t="str">
        <f>IF(ISBLANK(Programmatic!G9),"",(Programmatic!G9))</f>
        <v>A total of 325 children (109 infected and 216 affected by HIV) received social support during year 2013 (primarily reached), out of them 61 (13 infected and 48 affected by HIV) primarily reached during S8.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During reported period the number of HIV positive children that benefited of clothing and school supplies was 109, exceeding by 14 the planned number of 95. This fact has determined the need to reallocate additional budget (from savings under other budget lines targeted at PLHIV support) in order to cover fourteen additional sets of clothing and school supplies.
The indicator is overachieved. Reason for variance: The number of children primarily reached with social support is determined by the number of children diagnosed with HIV that are reached and by the number of children born from HIV positive mothers immediately before and during the reported period. During reported period the number of HIV positive children reached was 109, exceeding by fourteen the planned number of 95.
Note: In Peroada 1 the targets were cumulative over program term, but starting with Period 2 - the targets are cumulative annually.
(Un total de 325 copii (109 copii HIV infectați și 216 copii afectați de HIV) au beneficiat de suport social  pe parcursul anului 2013 (acoperiți primar), dintre care 61 (13 infectati și 48 afectati de HIV) primari acoperiti in S8. În același timp, în fiecare trimestru, 230 copii (toți copiii infectați cu HIV, care pot fi acoperiți cu servicii, și majoritatea copiilor născuți din mame HIV pozitive) beneficiază semestrial de un set de haine şi rechizite școlare ca parte a programului de acordare a suportului social. Pe parcursul perioadei de raportare, numărul de copii HIV infectați care au primit cîte un set de haine şi rechizite școlare a crescut la 109, depășind cu 14 unități numărul planificat de 95. Acest fapt a determinat necesitatea realocării unui buget adițional (din economiile obținute în cadrul altor linii bugetare orientate către suportul PTH) pentru a acoperi patrusprezece seturi suplimentare de îmbrăcăminte şi rechizite școlare. 
Indicatorul este depășit. Cauza variației: Numărul de copii primar acoperiți cu suport social este determinat de numărul de copii diagnosticați cu HIV și numărul copiilor născuți din mame HIV pozitive imediat înainte și în perioada de raportate. Pe parcursul perioadei de raportare numarul copiilor HIV pozitivi acoperiți cu servicii a fost 109, depasit cu 14 numarul planificat de 95.) 
Notă: În Peroada 1, tintele erau cumulative pe durata programului, iar începînd cu Perioada 2 - tintele sunt cumulative anual. </v>
      </c>
      <c r="E30" s="783"/>
      <c r="F30" s="783"/>
      <c r="G30" s="784"/>
      <c r="H30" s="181"/>
      <c r="I30" s="746"/>
      <c r="J30" s="747"/>
      <c r="K30" s="747"/>
      <c r="L30" s="747"/>
      <c r="M30" s="747"/>
      <c r="N30" s="748"/>
      <c r="O30" s="35"/>
    </row>
    <row r="31" spans="1:15" ht="21.75" customHeight="1">
      <c r="A31" s="146"/>
      <c r="B31" s="404" t="s">
        <v>322</v>
      </c>
      <c r="C31" s="185"/>
      <c r="D31" s="797" t="str">
        <f>IF(ISBLANK(Programmatic!M9),"",(Programmatic!M9))</f>
        <v>During S8 a total of 53 PWIDs on opioid substitution therapy (primarily reached) received at least 3 support services from the package (psycho-social support, self-support groups, peer to peer education, distributions of information materials, food support, etc.) offered by NGOs working in PWUDs rehabilitation. 
The number of PWIDs on OST covered with psycho-social support is directly dependent to the number of PWIDs enrolled in OST treatment (new patients) which is continuously decreasing. During S2, 2013, 50 new clients were enrolled in the substitution therapy program, the number of OST patients covered with support services (primarily reached) being 53 versus 40 planned.
The indicator is achieved in proportion of 89%. Reason for variance: The target for the period 8 (40 persons primarily reached) has been exceeded (53 people reached). The underachievement of the cumulative target for the reported period (over program term) is determined by the variation between targets settled and results registered for period one of grant implementation caused by continuously decreasing enrolment of new patients in OST. As the number of OST patients that can be covered with psycho-support services is directly tied to new patients enrolled in OST, the enrolment dynamics in period one has determined and directly impacted the achievement of targets for this indicator and is affecting the results for the reported period as the target is cumulative over program term.  
(Pe parcursul semestrului 8 un total de 53 CDI aflați în terapia de substituție cu metadonă (primar acoperiți) au primit cel puțin 3 servicii de suport din pachetul serviciilor (suport psiho-social, grupuri de ajutor reciproc, educație de la egal la egal, diseminarea materialelor informaționale, suport alimentar) oferite în cadrul centrelor de zi de către ONG-urile care lucrează în domeniul reabilitării CDI. Numărul de CDI aflați în TSO, acoperiți cu suport psiho-social este direct dependent de numărul CDI înrolați în TSO (cazuri noi), cifra care este în continuă scădere. Pe parcursul S2, 2013, 50 beneficiari noi au fost înrolați în terapia de substituție, numărul de pacienți în TSO acoperiți cu servicii de suport (primari acoperiți) fiind de 53 față de 40 planificați.
Indicatorul este atins în proporție de 89%. Cauza variației: Ținta pentru perioada 8 (40 persoane noi primar acoperite) a fost depășită (53 persoane acoperite). Neatingerea țintei cumulative pentru perioada raportată (pe toata perioada grantului) este determinată de variația între țintele stabilite și rezultatele înregistrate pentru perioada întâi de implementare a grantului cauzată de scăderea continua a pacienților înrolați în TSO. Numărul de pacienți în TSO care pot fi acoperiți cu servicii de suport psiho-social este direct proporțional cu numărul pacienților noi înrolați în TSO, dinamica înrolării în perioada întâi a determinat și a afectat direct atingerea țintei pentru acest indicator și afectează rezultatul pentru perioada raportată deoarece ținta propusă se calculează cumulativ pentru toată perioada grantului.)</v>
      </c>
      <c r="E31" s="783"/>
      <c r="F31" s="783"/>
      <c r="G31" s="784"/>
      <c r="H31" s="181"/>
      <c r="I31" s="746"/>
      <c r="J31" s="747"/>
      <c r="K31" s="747"/>
      <c r="L31" s="747"/>
      <c r="M31" s="747"/>
      <c r="N31" s="748"/>
      <c r="O31" s="35"/>
    </row>
    <row r="32" spans="1:15" ht="21.75" customHeight="1">
      <c r="A32" s="146"/>
      <c r="B32" s="405" t="s">
        <v>110</v>
      </c>
      <c r="C32" s="185"/>
      <c r="D32" s="782" t="str">
        <f>IF(ISBLANK(Programmatic!L20),"",(Programmatic!L20))</f>
        <v>During S8 a total 359 PLHIV were primarily reached with care and support services through four social regional centers providing assistance to PLHIV and 10 territorial organizations that ensures outreach to PLHIV and their families. The beneficiaries are provided with the following services: psycho-social counseling and support, medical counseling and referral, distribution of information materials, peer counseling, self-support groups and food support, etc.
The indicator is achieved.
(Pe parcursul semestrului 8, un total de 359 PTH au fost primar acoperiți cu servicii de îngrijire şi suport prestate în cadrul celor patru Centre Sociale Regionale şi a 10 organizații teritoriale care prestează servicii direct PTH și membrilor familiilor lor. Beneficiarilor le sunt prestate următoarele servicii: suport și consiliere psiho-socială, consiliere medicală și referiri, diseminarea materialelor informaționale şi consiliere de la egal la egal, grupuri de ajutor reciproc și suport alimentar, etc. 
Indicatorul este atins.)</v>
      </c>
      <c r="E32" s="783"/>
      <c r="F32" s="783"/>
      <c r="G32" s="784"/>
      <c r="H32" s="181"/>
      <c r="I32" s="746"/>
      <c r="J32" s="747"/>
      <c r="K32" s="747"/>
      <c r="L32" s="747"/>
      <c r="M32" s="747"/>
      <c r="N32" s="748"/>
      <c r="O32" s="35"/>
    </row>
    <row r="33" spans="1:15" ht="27" customHeight="1">
      <c r="A33" s="146"/>
      <c r="B33" s="405" t="s">
        <v>111</v>
      </c>
      <c r="C33" s="185"/>
      <c r="D33" s="782" t="str">
        <f>IF(ISBLANK(Programmatic!L21),"",(Programmatic!L21))</f>
        <v>A total of 325 children (109 infected and 216 affected by HIV) received social support during year 2013 (primarily reached), out of them 61 (13 infected and 48 affected by HIV) primarily reached during S8. Each quarter 230 children (all HIV infected children that can be reached and the majority of children born from HIV infected mother with unknown status) benefit of food parcels. At the same time each semester HIV positive children benefit of a set of stationary and clothing for school as part of social support program. During reported period the number of HIV positive children that benefited of clothing and school supplies was 109, exceeding by 14 the planned number of 95. This fact has determined the need to reallocate additional budget (from savings under other budget lines targeted at PLHIV support) in order to cover fourteen additional sets of clothing and school supplies.
The indicator is overachieved. Reason for variance: The number of children primarily reached with social support is determined by the number of children diagnosed with HIV that are reached and by the number of children born from HIV positive mothers immediately before and during the reported period. During reported period the number of HIV positive children reached was 109, exceeding by fourteen the planned number of 95.
Note: In Peroada 1 the targets were cumulative over program term, but starting with Period 2 - the targets are cumulative annually.
(Un total de 325 copii (109 copii HIV infectați și 216 copii afectați de HIV) au beneficiat de suport social  pe parcursul anului 2013 (acoperiți primar), dintre care 61 (13 infectati și 48 afectati de HIV) primari acoperiti in S8. În același timp, în fiecare trimestru, 230 copii (toți copiii infectați cu HIV, care pot fi acoperiți cu servicii, și majoritatea copiilor născuți din mame HIV pozitive) beneficiază semestrial de un set de haine şi rechizite școlare ca parte a programului de acordare a suportului social. Pe parcursul perioadei de raportare, numărul de copii HIV infectați care au primit cîte un set de haine şi rechizite școlare a crescut la 109, depășind cu 14 unități numărul planificat de 95. Acest fapt a determinat necesitatea realocării unui buget adițional (din economiile obținute în cadrul altor linii bugetare orientate către suportul PTH) pentru a acoperi patrusprezece seturi suplimentare de îmbrăcăminte şi rechizite școlare. 
Indicatorul este depășit. Cauza variației: Numărul de copii primar acoperiți cu suport social este determinat de numărul de copii diagnosticați cu HIV și numărul copiilor născuți din mame HIV pozitive imediat înainte și în perioada de raportate. Pe parcursul perioadei de raportare numarul copiilor HIV pozitivi acoperiți cu servicii a fost 109, depasit cu 14 numarul planificat de 95.) 
Notă: În Peroada 1, tintele erau cumulative pe durata programului, iar începînd cu Perioada 2 - tintele sunt cumulative anual. </v>
      </c>
      <c r="E33" s="783"/>
      <c r="F33" s="783"/>
      <c r="G33" s="784"/>
      <c r="H33" s="181"/>
      <c r="I33" s="746"/>
      <c r="J33" s="747"/>
      <c r="K33" s="747"/>
      <c r="L33" s="747"/>
      <c r="M33" s="747"/>
      <c r="N33" s="748"/>
      <c r="O33" s="35"/>
    </row>
    <row r="34" spans="1:15" ht="21.75" customHeight="1">
      <c r="A34" s="146"/>
      <c r="B34" s="405" t="s">
        <v>112</v>
      </c>
      <c r="C34" s="185"/>
      <c r="D34" s="782" t="str">
        <f>IF(ISBLANK(Programmatic!L22),"",(Programmatic!L22))</f>
        <v>During S8 a total of 53 PWIDs on opioid substitution therapy (primarily reached) received at least 3 support services from the package (psycho-social support, self-support groups, peer to peer education, distributions of information materials, food support, etc.) offered by NGOs working in PWUDs rehabilitation. 
The number of PWIDs on OST covered with psycho-social support is directly dependent to the number of PWIDs enrolled in OST treatment (new patients) which is continuously decreasing. During S2, 2013, 50 new clients were enrolled in the substitution therapy program, the number of OST patients covered with support services (primarily reached) being 53 versus 40 planned.
The indicator is achieved in proportion of 89%. Reason for variance: The target for the period 8 (40 persons primarily reached) has been exceeded (53 people reached). The underachievement of the cumulative target for the reported period (over program term) is determined by the variation between targets settled and results registered for period one of grant implementation caused by continuously decreasing enrolment of new patients in OST. As the number of OST patients that can be covered with psycho-support services is directly tied to new patients enrolled in OST, the enrolment dynamics in period one has determined and directly impacted the achievement of targets for this indicator and is affecting the results for the reported period as the target is cumulative over program term.  
(Pe parcursul semestrului 8 un total de 53 CDI aflați în terapia de substituție cu metadonă (primar acoperiți) au primit cel puțin 3 servicii de suport din pachetul serviciilor (suport psiho-social, grupuri de ajutor reciproc, educație de la egal la egal, diseminarea materialelor informaționale, suport alimentar) oferite în cadrul centrelor de zi de către ONG-urile care lucrează în domeniul reabilitării CDI. Numărul de CDI aflați în TSO, acoperiți cu suport psiho-social este direct dependent de numărul CDI înrolați în TSO (cazuri noi), cifra care este în continuă scădere. Pe parcursul S2, 2013, 50 beneficiari noi au fost înrolați în terapia de substituție, numărul de pacienți în TSO acoperiți cu servicii de suport (primari acoperiți) fiind de 53 față de 40 planificați.
Indicatorul este atins în proporție de 89%. Cauza variației: Ținta pentru perioada 8 (40 persoane noi primar acoperite) a fost depășită (53 persoane acoperite). Neatingerea țintei cumulative pentru perioada raportată (pe toata perioada grantului) este determinată de variația între țintele stabilite și rezultatele înregistrate pentru perioada întâi de implementare a grantului cauzată de scăderea continua a pacienților înrolați în TSO. Numărul de pacienți în TSO care pot fi acoperiți cu servicii de suport psiho-social este direct proporțional cu numărul pacienților noi înrolați în TSO, dinamica înrolării în perioada întâi a determinat și a afectat direct atingerea țintei pentru acest indicator și afectează rezultatul pentru perioada raportată deoarece ținta propusă se calculează cumulativ pentru toată perioada grantului.)</v>
      </c>
      <c r="E34" s="783"/>
      <c r="F34" s="783"/>
      <c r="G34" s="784"/>
      <c r="H34" s="181"/>
      <c r="I34" s="746"/>
      <c r="J34" s="747"/>
      <c r="K34" s="747"/>
      <c r="L34" s="747"/>
      <c r="M34" s="747"/>
      <c r="N34" s="748"/>
      <c r="O34" s="35"/>
    </row>
    <row r="35" spans="1:15" ht="21.75" customHeight="1">
      <c r="A35" s="146"/>
      <c r="B35" s="405" t="s">
        <v>113</v>
      </c>
      <c r="C35" s="228"/>
      <c r="D35" s="782" t="str">
        <f>IF(ISBLANK(Programmatic!L23),"",(Programmatic!L23))</f>
        <v>A total of 86 persons were trained in S8, from them: 15 medical staff were trained in international training in Clinica Lavra in Disorders of the CNS, 25 non-medical specialists from south region NRS MDTs, Social regional center and NGO providing care and support to PLHIV were trained in protection and assistance of people living with HIV within the NRS; 15 representatives from NGO that provide HR services to PWIDs, CSWs, LGBT and care to PLHIV were trained in Voluntary counseling and testing; 31 social workers were trained in HIV/TB.
The indicator is substantially achieved. Reason for variance: one training for infectious diseases specialists planned under budget line 3.1.4 for S2, 2013, has been conducted in S1, 2013, the organization in advance being conditioned by the fact that the trainings for infectious diseases specialists planned under budget line 3.1.4 were directly related to the reform and reorganization of the HIV medical service provision system, and all three events planned for year 2013 (2 in S1 and 1 in S2) have been organised in S1, 2013. 
At the same time one additional event has been conducted from savings, with TGF approval (training course on VCT for 15 people).  
(În total 86 persoane au fost instruite în semestrul 8, dintre care: 15 lucrători medicali au participat la curs de instruire internațional organizat la Clinica Lavra pe Maladiile sistemului nervos central în cadrul infecţiei cu HIV; 25 lucrători non-medicali din echipele multidisciplinare ale SNR din regiunea de sud, din CSR și ONG care oferă servicii de îngrijirea şi suportul PTH au fost instruiţi în protecţia şi asistenţa persoanelor care trăiesc cu HIV în cadrul CSR; 15 reprezentanți ai ONG-urilor care oferă servicii pentru PCDI, LSC, BSM și îngrijire și suport PTH au fost instruiți în consiliere şi testare voluntară, 31 lucrători sociali au fost instruiți în HIV/TB.
Indicatorul este substanţial atins. Cauza variației: o instruire pentru medicii infecţionişti planificată în cadrul liniei bugetare 3. 1. 4 pentru S2, 2013, a fost organizată în S1, 2013, organizarea în avans fiind condiţionată de faptul că instruirile pentru infecţionişti planificate în cadrul liniei bugetare 3. 1. 4 au fost direct legate de reforma şi de reorganizarea sistemului de prestare a serviciilor medicale HIV şi toate trei evenimente planificate pentru anul 2013 (două în S1 şi unul în S2) au fost organizate în timpul S1, 2013.
În acelaşi timp un eveniment adiţional a fost organizat din economii, cu aprobarea FG (curs de instruire în VCT pentru 15 persoane)</v>
      </c>
      <c r="E35" s="783"/>
      <c r="F35" s="783"/>
      <c r="G35" s="784"/>
      <c r="H35" s="181"/>
      <c r="I35" s="746"/>
      <c r="J35" s="747"/>
      <c r="K35" s="747"/>
      <c r="L35" s="747"/>
      <c r="M35" s="747"/>
      <c r="N35" s="748"/>
      <c r="O35" s="35"/>
    </row>
    <row r="36" spans="1:15" ht="21.75" customHeight="1">
      <c r="A36" s="146"/>
      <c r="B36" s="405" t="s">
        <v>125</v>
      </c>
      <c r="C36" s="228"/>
      <c r="D36" s="782" t="str">
        <f>IF(ISBLANK(Programmatic!L24),"",(Programmatic!L24))</f>
        <v>A total of 948 PLHIV received food parcels during year 2013, out of them 106 primarily reached during S8. Each quarter 800 PLHIV, from both civilian and penitentiary sectors, selected based on socio-economic vulnerability, benefit of food parcels for better adherence to treatment.
The indicator is substantially achieved. The reason for variance: The target for this indicator is annual and has been calculated based on an estimated quarterly increase by 10% in the number of new beneficiaries which usually come from the ranks of new ART enrolled patients. 800 food parcels are distributed quarterly to PLHIV, selected based on a set of unique socio-economic vulnerability criteria. Subject to the degree of vulnerability the ranking of potential beneficiaries changes from one quarter to another, including previously reached and primarily reached beneficiaries (mostly from those newly enrolled in ART) that ranks in the top 800 most vulnerable ART patients.                                                                                                                                                                                                                                                                                
(În total 948 PTH au primit pachete alimentare pe parcursul anului 2013, din ei 106 primar acoperiți pe parcursul S8. În fiecare trimestru 800 PTH, din sectorul civil şi penitenciar, selectate în baza vulnerabilității socio-economice, beneficiază de pachete alimentare pentru o aderență mai bună la tratament. 
Indicatorul este substanţial realizat. Cauza variației: ţinta pentru acest indicator este anuala şi a fost calculată în baza unei creşteri trimestriale estimate de 10% a număruuil de beneficiari noi care, de regulă, sunt slectaţi din răndul pacienţilor noi  înrolaţi în ARV.  800 pachete alimentare sunt distribuite trimestrial PTH, selectate pe baza unui set de criterii unice de vulnerabilitate socio-economice. În funcţie de gradul de vulnerabilitate, clasamentul potenţialilor beneficiari se schimbă de la un trimestru la altul, inclusiv pentru beneficiarii acoperiţi antrerior sau primar (mai ales din răndul pacienţiilor noi înrolaţi în ART) care se clasează în topul celor mai vulnerabili  800 pacienţii în ART.)  </v>
      </c>
      <c r="E36" s="783"/>
      <c r="F36" s="783"/>
      <c r="G36" s="784"/>
      <c r="H36" s="181"/>
      <c r="I36" s="746"/>
      <c r="J36" s="747"/>
      <c r="K36" s="747"/>
      <c r="L36" s="747"/>
      <c r="M36" s="747"/>
      <c r="N36" s="748"/>
      <c r="O36" s="35"/>
    </row>
    <row r="37" spans="1:15" ht="21.75" customHeight="1">
      <c r="A37" s="146"/>
      <c r="B37" s="405" t="s">
        <v>126</v>
      </c>
      <c r="C37" s="228"/>
      <c r="D37" s="782" t="str">
        <f>IF(ISBLANK(Programmatic!L25),"",(Programmatic!L25))</f>
        <v>A total of 47 individuals out of 100 that initiated OST during Semester 1, 2013 have completing at least 6 months of continuous treatment on OST. Currently OST is provided in three sites: Republican Narcological Dispensary, Balti Municipal Hospital and the Department of Penitentiary Institutions (in 12 penitentiary institutions: #1 Taraclia, #3 Leova, #4 Cricova, #6 Soroca, #7 Rusca, #9 Pruncul, #11 Balti, #15 Cricova, #16 Pruncul, #17 Rezina, #18 Branesti, #13 Chisinau).
The indicator is partially achieved (78%). Reason for variance: the rate of retention in treatment is determined by a series of factors, namely: seasonal migration of patients (both abroad and in country), emergency of seasonal illicit drugs on black market, low doses of methadone (below recommended 60mg minimal average dose), and concurrent use of illicit drugs, methadone distribution restricted to OST site or all patients including for drug users in stable remission, repeated enrollment in treatment without prior psycho-social support to prepare the patient for the next attempt, misconceptions about OST in both medical and psych-social support teams, negative image of OST among PWID, etc.
(În total 47 persoane din 100 care au inițiat TSO în timpul semestrului 1, 2013 au finalizat cel puțin 6 luni de TSO continuu. Actualmente TSO este distribuită in trei site-uri: Dispensarul Republican de Narcologie, Spitalul Municipal Bălţi şi Departamentul Instituțiilor Penitenciare (în 12 institutii penitenciare: #1 Taraclia, #3 Leova, #4 Cricova, #6 Soroca, #7 Rusca, #9 Pruncul, #11 Balti, #15 Cricova, #16 Pruncul, #17 Rezina, #18 Brănești, #13 Chișinău). 
Indicatorul este atins parțial (78%). Cauza variației: rata de retenție în tratament este determinată de o serie de factori, și anume: migrația sezonieră a pacienților (atât peste hotare cât și în interiorul țarii), apariţia drogurilor ilicite sezoniere pe piața neagră, doze mici de metadonă (mai puțin decât doza minimă recomandată de 60mg), precum și utilizarea concomitentă a drogurilor ilicite, distribuția metadonei limitată la punctul de distribuţie a TSO, inclusiv pentru consumatorii de droguri în remisie stabila, înrolare repetată în tratament fără suport psiho-social preventiv pentru a pregăti pacientul pentru următoarea încercare, concepții greșite despre TSO atât în echipele medicale cat și cele de asistență psiho-socială, imaginea negativă a TSO printre CDI, etc.)</v>
      </c>
      <c r="E37" s="783"/>
      <c r="F37" s="783"/>
      <c r="G37" s="784"/>
      <c r="H37" s="181"/>
      <c r="I37" s="746"/>
      <c r="J37" s="747"/>
      <c r="K37" s="747"/>
      <c r="L37" s="747"/>
      <c r="M37" s="747"/>
      <c r="N37" s="748"/>
      <c r="O37" s="35"/>
    </row>
    <row r="38" spans="1:15" ht="21.75" customHeight="1">
      <c r="A38" s="146"/>
      <c r="B38" s="405" t="s">
        <v>127</v>
      </c>
      <c r="C38" s="228"/>
      <c r="D38" s="782" t="str">
        <f>IF(ISBLANK(Programmatic!L26),"",(Programmatic!L26))</f>
        <v>10 litigation cases have been initiated during S8. The cases were related to disclosure of confidential medical information related to HIV status, unethical and unprofessional behavior of medical staff, refusal to offer medical services, adoption of children by HIV positive persons, inhuman/ degrading treatment of detained PLHIV, etc.
The indicator is achieved. 
(Pe parcursul semestrului 8, au fost inițiate 10 litigii. Cazurile au fost legate de divulgarea informației medicale confidențiale legate de statutul HIV, comportament neetic și neprofesional al personalului medical, refuzul de a acorda servicii medicale, problema adopției copiilor de către persoane HIV pozitive, tratament inuman/degradant față de deținuții HIV pozitivi, etc.
Indicatorul este atins.)</v>
      </c>
      <c r="E38" s="783"/>
      <c r="F38" s="783"/>
      <c r="G38" s="784"/>
      <c r="H38" s="181"/>
      <c r="I38" s="746"/>
      <c r="J38" s="747"/>
      <c r="K38" s="747"/>
      <c r="L38" s="747"/>
      <c r="M38" s="747"/>
      <c r="N38" s="748"/>
      <c r="O38" s="35"/>
    </row>
    <row r="39" spans="1:15" ht="21.75" customHeight="1">
      <c r="A39" s="146"/>
      <c r="B39" s="405" t="s">
        <v>128</v>
      </c>
      <c r="C39" s="228"/>
      <c r="D39" s="782" t="str">
        <f>IF(ISBLANK(Programmatic!L27),"",(Programmatic!L27))</f>
        <v>A total of 114 consultancies were offered remotely by traveling to project sites of 4 lawyers, during S8; they offered legal assistance related to issues of legal, civil (including disclosure of HIV status), administrative nature to all PLHIV in need. 
The indicator is overachieved. Reason for variance: The number of consultancies offered by project lawyers is determined by the request of legal support from PLHIV and can vary from one period to another. With the opening of Social Regional Centers project lawyer provide services within the Centers facilities (with a specific periodicity) bringing this way services closer to the beneficiary and increasing their access to legal support. The increase in number of consultancies provided has no financial impact as the layers are fool day project consultants with fix remuneration.
(Pe parcursul semestrului 8 au fost prestate 114 consultații în teren de către 4 avocați. Ei au oferit asistență juridică pe aspecte de natură legală, civilă (inclusiv divulgarea statutului HIV) şi administrative tuturor PTH care au solicitat asistență juridici).
Indicatorul este depășit. Cauza variației: Numărul de consultații oferite de către avocații proiectului este determinat de cererea de asistență juridică din partea PTH și poate varia de la o perioadă la alta. Odată cu deschiderea Centrelor Sociale Regionale avocații prestează servicii în cadrul centrelor (cu o anumită periodicitate) aducând astfel serviciile mai aproape de beneficiar și crescând accesul la asistența juridică. Creșterea numărului de servicii de consultanță juridică prestate nu are impact financiar deoarece avocații sunt angajați în proiect cu zi deplină de lucru şi au remunerare fixă.)</v>
      </c>
      <c r="E39" s="783"/>
      <c r="F39" s="783"/>
      <c r="G39" s="784"/>
      <c r="H39" s="181"/>
      <c r="I39" s="746"/>
      <c r="J39" s="747"/>
      <c r="K39" s="747"/>
      <c r="L39" s="747"/>
      <c r="M39" s="747"/>
      <c r="N39" s="748"/>
      <c r="O39" s="35"/>
    </row>
    <row r="40" spans="1:15" ht="21.75" customHeight="1">
      <c r="A40" s="146"/>
      <c r="B40" s="405" t="s">
        <v>129</v>
      </c>
      <c r="C40" s="228"/>
      <c r="D40" s="782" t="str">
        <f>IF(ISBLANK(Programmatic!L28),"",(Programmatic!L28))</f>
        <v>A total number of 54 representatives of organizations that provide services to PLHIV and key populations were trained in S8, from them: 27 people were trained in Communication and Advocacy and 27 people were trained in Case management. 
The indicator is overachieved. Reason for variance: due the interest from community organizations and the fact that the costs for the selected venue allowed to increase the number of participants, a higher number of people (27) have been included in each events compared to 25 planned.  
(În total 54 reprezentanți ai organizațiilor care prestează servicii PTH şi ai populațiilor cheie au fost instruiți pe parcursul S8. 27 reprezentanți ai societății civile au fost instruiți în Comunicare și Advocacy și 27 membri în Managementul Cazului cu HIV.
Indicatorul este depășit. Cauza variației: numărul persoanelor interesate în tematica instruirii a fost mai mare decât cel planificat şi datorită faptului că costurile de desfășurare ale evenimentului au permis încadrarea mai multor participanţi, numărul participanților pentru fiecare instruire a fost mai mare (27) faţă de 25 planificaţi.)</v>
      </c>
      <c r="E40" s="783"/>
      <c r="F40" s="783"/>
      <c r="G40" s="784"/>
      <c r="H40" s="181"/>
      <c r="I40" s="746"/>
      <c r="J40" s="747"/>
      <c r="K40" s="747"/>
      <c r="L40" s="747"/>
      <c r="M40" s="747"/>
      <c r="N40" s="748"/>
      <c r="O40" s="35"/>
    </row>
    <row r="41" spans="1:15" ht="21.75" customHeight="1" thickBot="1">
      <c r="A41" s="146"/>
      <c r="B41" s="405" t="s">
        <v>130</v>
      </c>
      <c r="C41" s="186"/>
      <c r="D41" s="782" t="e">
        <f>IF(ISBLANK(Programmatic!#REF!),"",(Programmatic!#REF!))</f>
        <v>#REF!</v>
      </c>
      <c r="E41" s="783"/>
      <c r="F41" s="783"/>
      <c r="G41" s="784"/>
      <c r="H41" s="181"/>
      <c r="I41" s="749"/>
      <c r="J41" s="750"/>
      <c r="K41" s="750"/>
      <c r="L41" s="750"/>
      <c r="M41" s="750"/>
      <c r="N41" s="751"/>
      <c r="O41" s="35"/>
    </row>
    <row r="42" spans="1:15" ht="14.25">
      <c r="A42" s="146"/>
      <c r="B42" s="187"/>
      <c r="C42" s="187"/>
      <c r="D42" s="188"/>
      <c r="E42" s="146"/>
      <c r="F42" s="187"/>
      <c r="G42" s="187"/>
      <c r="H42" s="146"/>
      <c r="I42" s="189"/>
      <c r="J42" s="146"/>
      <c r="K42" s="190"/>
      <c r="L42" s="190"/>
      <c r="M42" s="190"/>
      <c r="N42" s="190"/>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63" operator="equal" stopIfTrue="1">
      <formula>"C"</formula>
    </cfRule>
    <cfRule type="cellIs" priority="2" dxfId="60" operator="equal" stopIfTrue="1">
      <formula>"B2"</formula>
    </cfRule>
    <cfRule type="cellIs" priority="3" dxfId="6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L3" sqref="L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92" t="str">
        <f>+"Dashboard:  "&amp;"  "&amp;IF(+'Data Entry'!C4="Please Select","",'Data Entry'!C4&amp;" - ")&amp;IF('Data Entry'!G6="Please Select","",'Data Entry'!G6)</f>
        <v>Dashboard:    Moldova - HIV / AIDS</v>
      </c>
      <c r="C2" s="692"/>
      <c r="D2" s="692"/>
      <c r="E2" s="692"/>
      <c r="F2" s="692"/>
      <c r="G2" s="692"/>
      <c r="H2" s="692"/>
      <c r="I2" s="692"/>
      <c r="J2" s="692"/>
      <c r="K2" s="692"/>
      <c r="L2" s="692"/>
    </row>
    <row r="3" spans="2:13" ht="15">
      <c r="B3" s="24" t="str">
        <f>+IF('Data Entry'!G8="Please Select","",'Data Entry'!G8)</f>
        <v>SSF (Round 8)</v>
      </c>
      <c r="C3" s="679" t="str">
        <f>+IF('Data Entry'!I8="Please Select","",'Data Entry'!I8)</f>
        <v>Period 2 </v>
      </c>
      <c r="D3" s="679"/>
      <c r="E3" s="680"/>
      <c r="F3" s="680"/>
      <c r="G3" s="680"/>
      <c r="H3" s="680"/>
      <c r="I3" s="680"/>
      <c r="J3" s="684" t="str">
        <f>+'Data Entry'!B16</f>
        <v>Report Period:</v>
      </c>
      <c r="K3" s="684"/>
      <c r="L3" s="194" t="str">
        <f>+'Data Entry'!C16</f>
        <v>P8</v>
      </c>
      <c r="M3" s="83"/>
    </row>
    <row r="4" spans="2:12" ht="15">
      <c r="B4" s="24" t="str">
        <f>+'Data Entry'!B12</f>
        <v>Latest Rating:</v>
      </c>
      <c r="C4" s="855" t="str">
        <f>+IF('Data Entry'!C12="Please Select","",'Data Entry'!C12)</f>
        <v>A2</v>
      </c>
      <c r="D4" s="855"/>
      <c r="E4" s="680" t="str">
        <f>+'Data Entry'!C8</f>
        <v>PAS Center</v>
      </c>
      <c r="F4" s="680"/>
      <c r="G4" s="680"/>
      <c r="H4" s="680"/>
      <c r="I4" s="680"/>
      <c r="J4" s="684" t="str">
        <f>+'Data Entry'!D16</f>
        <v>From:</v>
      </c>
      <c r="K4" s="685"/>
      <c r="L4" s="195" t="str">
        <f>+IF(ISBLANK('Data Entry'!E16),"",'Data Entry'!E16)</f>
        <v>July 01, 2013</v>
      </c>
    </row>
    <row r="5" spans="2:12" ht="18.75" customHeight="1">
      <c r="B5" s="24"/>
      <c r="C5" s="24"/>
      <c r="D5" s="680" t="str">
        <f>+'Data Entry'!G4</f>
        <v>Reducing HIV-related burden in the Republic of Moldova</v>
      </c>
      <c r="E5" s="680"/>
      <c r="F5" s="680"/>
      <c r="G5" s="680"/>
      <c r="H5" s="680"/>
      <c r="I5" s="680"/>
      <c r="J5" s="680"/>
      <c r="K5" s="24" t="str">
        <f>+'Data Entry'!F16</f>
        <v>To:</v>
      </c>
      <c r="L5" s="195" t="str">
        <f>+IF(ISBLANK('Data Entry'!G16),"",'Data Entry'!G16)</f>
        <v>December 31, 2013</v>
      </c>
    </row>
    <row r="6" spans="2:9" ht="18.75">
      <c r="B6" s="23"/>
      <c r="C6" s="24"/>
      <c r="D6" s="25"/>
      <c r="E6" s="693" t="s">
        <v>376</v>
      </c>
      <c r="F6" s="693"/>
      <c r="G6" s="693"/>
      <c r="H6" s="693"/>
      <c r="I6" s="693"/>
    </row>
    <row r="7" spans="5:9" ht="18.75">
      <c r="E7" s="70"/>
      <c r="F7" s="70"/>
      <c r="G7" s="70"/>
      <c r="H7" s="70"/>
      <c r="I7" s="70"/>
    </row>
    <row r="8" spans="2:12" s="33" customFormat="1" ht="21" customHeight="1" thickBot="1">
      <c r="B8" s="74" t="s">
        <v>100</v>
      </c>
      <c r="C8" s="74"/>
      <c r="D8" s="74"/>
      <c r="E8" s="74"/>
      <c r="F8" s="74"/>
      <c r="G8" s="74"/>
      <c r="H8" s="74"/>
      <c r="I8" s="74"/>
      <c r="J8" s="74"/>
      <c r="K8" s="74"/>
      <c r="L8" s="74"/>
    </row>
    <row r="9" ht="6" customHeight="1">
      <c r="B9" s="72"/>
    </row>
    <row r="10" spans="2:12" ht="15">
      <c r="B10" s="806"/>
      <c r="C10" s="807"/>
      <c r="D10" s="807"/>
      <c r="E10" s="807"/>
      <c r="F10" s="807"/>
      <c r="G10" s="807"/>
      <c r="H10" s="807"/>
      <c r="I10" s="807"/>
      <c r="J10" s="807"/>
      <c r="K10" s="807"/>
      <c r="L10" s="808"/>
    </row>
    <row r="11" spans="2:12" ht="15">
      <c r="B11" s="809"/>
      <c r="C11" s="810"/>
      <c r="D11" s="810"/>
      <c r="E11" s="810"/>
      <c r="F11" s="810"/>
      <c r="G11" s="810"/>
      <c r="H11" s="810"/>
      <c r="I11" s="810"/>
      <c r="J11" s="810"/>
      <c r="K11" s="810"/>
      <c r="L11" s="811"/>
    </row>
    <row r="12" ht="15.75" thickBot="1"/>
    <row r="13" spans="2:12" ht="26.25" customHeight="1" thickBot="1">
      <c r="B13" s="836" t="s">
        <v>309</v>
      </c>
      <c r="C13" s="837"/>
      <c r="D13" s="837"/>
      <c r="E13" s="838"/>
      <c r="F13" s="75"/>
      <c r="G13" s="830" t="s">
        <v>133</v>
      </c>
      <c r="H13" s="812"/>
      <c r="I13" s="812"/>
      <c r="J13" s="76" t="s">
        <v>101</v>
      </c>
      <c r="K13" s="812" t="s">
        <v>297</v>
      </c>
      <c r="L13" s="813"/>
    </row>
    <row r="14" spans="1:12" ht="15">
      <c r="A14" s="831" t="s">
        <v>310</v>
      </c>
      <c r="B14" s="814"/>
      <c r="C14" s="814"/>
      <c r="D14" s="814"/>
      <c r="E14" s="815"/>
      <c r="F14" s="44"/>
      <c r="G14" s="854"/>
      <c r="H14" s="853"/>
      <c r="I14" s="853"/>
      <c r="J14" s="853"/>
      <c r="K14" s="853"/>
      <c r="L14" s="856"/>
    </row>
    <row r="15" spans="1:12" ht="15">
      <c r="A15" s="832"/>
      <c r="B15" s="814"/>
      <c r="C15" s="814"/>
      <c r="D15" s="814"/>
      <c r="E15" s="815"/>
      <c r="F15" s="44"/>
      <c r="G15" s="834"/>
      <c r="H15" s="822"/>
      <c r="I15" s="822"/>
      <c r="J15" s="822"/>
      <c r="K15" s="822"/>
      <c r="L15" s="823"/>
    </row>
    <row r="16" spans="1:12" ht="15">
      <c r="A16" s="832"/>
      <c r="B16" s="814"/>
      <c r="C16" s="814"/>
      <c r="D16" s="814"/>
      <c r="E16" s="815"/>
      <c r="F16" s="44"/>
      <c r="G16" s="834"/>
      <c r="H16" s="822"/>
      <c r="I16" s="822"/>
      <c r="J16" s="822"/>
      <c r="K16" s="822"/>
      <c r="L16" s="823"/>
    </row>
    <row r="17" spans="1:12" ht="15">
      <c r="A17" s="832"/>
      <c r="B17" s="814"/>
      <c r="C17" s="814"/>
      <c r="D17" s="814"/>
      <c r="E17" s="815"/>
      <c r="F17" s="44"/>
      <c r="G17" s="834"/>
      <c r="H17" s="822"/>
      <c r="I17" s="822"/>
      <c r="J17" s="822"/>
      <c r="K17" s="822"/>
      <c r="L17" s="823"/>
    </row>
    <row r="18" spans="1:12" ht="15">
      <c r="A18" s="832"/>
      <c r="B18" s="814"/>
      <c r="C18" s="814"/>
      <c r="D18" s="814"/>
      <c r="E18" s="815"/>
      <c r="F18" s="44"/>
      <c r="G18" s="824"/>
      <c r="H18" s="825"/>
      <c r="I18" s="826"/>
      <c r="J18" s="822"/>
      <c r="K18" s="822"/>
      <c r="L18" s="823"/>
    </row>
    <row r="19" spans="1:12" ht="30.75" customHeight="1">
      <c r="A19" s="832"/>
      <c r="B19" s="814"/>
      <c r="C19" s="814"/>
      <c r="D19" s="814"/>
      <c r="E19" s="815"/>
      <c r="F19" s="44"/>
      <c r="G19" s="827"/>
      <c r="H19" s="828"/>
      <c r="I19" s="829"/>
      <c r="J19" s="822"/>
      <c r="K19" s="822"/>
      <c r="L19" s="823"/>
    </row>
    <row r="20" spans="1:12" ht="15">
      <c r="A20" s="832"/>
      <c r="B20" s="814"/>
      <c r="C20" s="814"/>
      <c r="D20" s="814"/>
      <c r="E20" s="815"/>
      <c r="F20" s="44"/>
      <c r="G20" s="834"/>
      <c r="H20" s="822"/>
      <c r="I20" s="822"/>
      <c r="J20" s="822"/>
      <c r="K20" s="822"/>
      <c r="L20" s="823"/>
    </row>
    <row r="21" spans="1:12" ht="15">
      <c r="A21" s="832"/>
      <c r="B21" s="814"/>
      <c r="C21" s="814"/>
      <c r="D21" s="814"/>
      <c r="E21" s="815"/>
      <c r="F21" s="44"/>
      <c r="G21" s="834"/>
      <c r="H21" s="822"/>
      <c r="I21" s="822"/>
      <c r="J21" s="822"/>
      <c r="K21" s="822"/>
      <c r="L21" s="823"/>
    </row>
    <row r="22" spans="1:12" ht="15">
      <c r="A22" s="832"/>
      <c r="B22" s="814"/>
      <c r="C22" s="814"/>
      <c r="D22" s="814"/>
      <c r="E22" s="815"/>
      <c r="F22" s="44"/>
      <c r="G22" s="834"/>
      <c r="H22" s="822"/>
      <c r="I22" s="822"/>
      <c r="J22" s="822"/>
      <c r="K22" s="822"/>
      <c r="L22" s="823"/>
    </row>
    <row r="23" spans="1:12" ht="15">
      <c r="A23" s="832"/>
      <c r="B23" s="814"/>
      <c r="C23" s="814"/>
      <c r="D23" s="814"/>
      <c r="E23" s="815"/>
      <c r="F23" s="44"/>
      <c r="G23" s="834"/>
      <c r="H23" s="822"/>
      <c r="I23" s="822"/>
      <c r="J23" s="822"/>
      <c r="K23" s="822"/>
      <c r="L23" s="823"/>
    </row>
    <row r="24" spans="1:12" ht="15">
      <c r="A24" s="832"/>
      <c r="B24" s="814"/>
      <c r="C24" s="814"/>
      <c r="D24" s="814"/>
      <c r="E24" s="815"/>
      <c r="F24" s="44"/>
      <c r="G24" s="834"/>
      <c r="H24" s="822"/>
      <c r="I24" s="822"/>
      <c r="J24" s="822"/>
      <c r="K24" s="822"/>
      <c r="L24" s="823"/>
    </row>
    <row r="25" spans="1:12" ht="15.75" thickBot="1">
      <c r="A25" s="833"/>
      <c r="B25" s="816"/>
      <c r="C25" s="816"/>
      <c r="D25" s="816"/>
      <c r="E25" s="817"/>
      <c r="F25" s="44"/>
      <c r="G25" s="839"/>
      <c r="H25" s="840"/>
      <c r="I25" s="840"/>
      <c r="J25" s="840"/>
      <c r="K25" s="840"/>
      <c r="L25" s="857"/>
    </row>
    <row r="27" spans="5:9" ht="18.75">
      <c r="E27" s="835" t="s">
        <v>339</v>
      </c>
      <c r="F27" s="835"/>
      <c r="G27" s="835"/>
      <c r="H27" s="835"/>
      <c r="I27" s="835"/>
    </row>
    <row r="28" spans="5:9" ht="6" customHeight="1">
      <c r="E28" s="70"/>
      <c r="F28" s="70"/>
      <c r="G28" s="70"/>
      <c r="H28" s="70"/>
      <c r="I28" s="70"/>
    </row>
    <row r="29" spans="2:12" s="33" customFormat="1" ht="21" customHeight="1" thickBot="1">
      <c r="B29" s="74" t="s">
        <v>100</v>
      </c>
      <c r="C29" s="74"/>
      <c r="D29" s="74"/>
      <c r="E29" s="74"/>
      <c r="F29" s="74"/>
      <c r="G29" s="74"/>
      <c r="H29" s="74"/>
      <c r="I29" s="74"/>
      <c r="J29" s="74"/>
      <c r="K29" s="74"/>
      <c r="L29" s="74"/>
    </row>
    <row r="30" ht="6" customHeight="1" thickBot="1">
      <c r="B30" s="72"/>
    </row>
    <row r="31" spans="2:12" ht="21.75" customHeight="1" thickBot="1">
      <c r="B31" s="836" t="s">
        <v>133</v>
      </c>
      <c r="C31" s="837"/>
      <c r="D31" s="837"/>
      <c r="E31" s="838"/>
      <c r="F31" s="75"/>
      <c r="G31" s="830" t="s">
        <v>324</v>
      </c>
      <c r="H31" s="812"/>
      <c r="I31" s="812"/>
      <c r="J31" s="76" t="s">
        <v>299</v>
      </c>
      <c r="K31" s="812" t="s">
        <v>297</v>
      </c>
      <c r="L31" s="813"/>
    </row>
    <row r="32" spans="1:12" ht="14.25" customHeight="1">
      <c r="A32" s="831" t="s">
        <v>311</v>
      </c>
      <c r="B32" s="841"/>
      <c r="C32" s="842"/>
      <c r="D32" s="842"/>
      <c r="E32" s="843"/>
      <c r="F32" s="44"/>
      <c r="G32" s="818"/>
      <c r="H32" s="819"/>
      <c r="I32" s="819"/>
      <c r="J32" s="819"/>
      <c r="K32" s="819"/>
      <c r="L32" s="860"/>
    </row>
    <row r="33" spans="1:12" ht="16.5" customHeight="1">
      <c r="A33" s="832"/>
      <c r="B33" s="827"/>
      <c r="C33" s="828"/>
      <c r="D33" s="828"/>
      <c r="E33" s="844"/>
      <c r="F33" s="44"/>
      <c r="G33" s="820"/>
      <c r="H33" s="821"/>
      <c r="I33" s="821"/>
      <c r="J33" s="821"/>
      <c r="K33" s="821"/>
      <c r="L33" s="858"/>
    </row>
    <row r="34" spans="1:12" ht="15">
      <c r="A34" s="832"/>
      <c r="B34" s="845">
        <f>IF(Recommendations!I43="","",Recommendations!I43)</f>
      </c>
      <c r="C34" s="846"/>
      <c r="D34" s="846"/>
      <c r="E34" s="847"/>
      <c r="F34" s="44"/>
      <c r="G34" s="820"/>
      <c r="H34" s="821"/>
      <c r="I34" s="821"/>
      <c r="J34" s="821"/>
      <c r="K34" s="821"/>
      <c r="L34" s="858"/>
    </row>
    <row r="35" spans="1:12" ht="15">
      <c r="A35" s="832"/>
      <c r="B35" s="845"/>
      <c r="C35" s="846"/>
      <c r="D35" s="846"/>
      <c r="E35" s="847"/>
      <c r="F35" s="44"/>
      <c r="G35" s="820"/>
      <c r="H35" s="821"/>
      <c r="I35" s="821"/>
      <c r="J35" s="821"/>
      <c r="K35" s="821"/>
      <c r="L35" s="858"/>
    </row>
    <row r="36" spans="1:12" ht="15">
      <c r="A36" s="832"/>
      <c r="B36" s="845">
        <f>+IF(Recommendations!I53="","",Recommendations!I53)</f>
      </c>
      <c r="C36" s="846"/>
      <c r="D36" s="846"/>
      <c r="E36" s="847"/>
      <c r="F36" s="44"/>
      <c r="G36" s="820"/>
      <c r="H36" s="821"/>
      <c r="I36" s="821"/>
      <c r="J36" s="821"/>
      <c r="K36" s="821"/>
      <c r="L36" s="858"/>
    </row>
    <row r="37" spans="1:12" ht="15">
      <c r="A37" s="832"/>
      <c r="B37" s="845"/>
      <c r="C37" s="846"/>
      <c r="D37" s="846"/>
      <c r="E37" s="847"/>
      <c r="F37" s="44"/>
      <c r="G37" s="820"/>
      <c r="H37" s="821"/>
      <c r="I37" s="821"/>
      <c r="J37" s="821"/>
      <c r="K37" s="821"/>
      <c r="L37" s="858"/>
    </row>
    <row r="38" spans="1:12" ht="15">
      <c r="A38" s="832"/>
      <c r="B38" s="845"/>
      <c r="C38" s="846"/>
      <c r="D38" s="846"/>
      <c r="E38" s="847"/>
      <c r="F38" s="44"/>
      <c r="G38" s="820"/>
      <c r="H38" s="821"/>
      <c r="I38" s="821"/>
      <c r="J38" s="821"/>
      <c r="K38" s="821"/>
      <c r="L38" s="858"/>
    </row>
    <row r="39" spans="1:12" ht="15">
      <c r="A39" s="832"/>
      <c r="B39" s="845"/>
      <c r="C39" s="846"/>
      <c r="D39" s="846"/>
      <c r="E39" s="847"/>
      <c r="F39" s="44"/>
      <c r="G39" s="820"/>
      <c r="H39" s="821"/>
      <c r="I39" s="821"/>
      <c r="J39" s="821"/>
      <c r="K39" s="821"/>
      <c r="L39" s="858"/>
    </row>
    <row r="40" spans="1:12" ht="15">
      <c r="A40" s="832"/>
      <c r="B40" s="845"/>
      <c r="C40" s="846"/>
      <c r="D40" s="846"/>
      <c r="E40" s="847"/>
      <c r="F40" s="44"/>
      <c r="G40" s="820"/>
      <c r="H40" s="821"/>
      <c r="I40" s="821"/>
      <c r="J40" s="821"/>
      <c r="K40" s="821"/>
      <c r="L40" s="858"/>
    </row>
    <row r="41" spans="1:12" ht="15">
      <c r="A41" s="832"/>
      <c r="B41" s="845"/>
      <c r="C41" s="846"/>
      <c r="D41" s="846"/>
      <c r="E41" s="847"/>
      <c r="F41" s="44"/>
      <c r="G41" s="820"/>
      <c r="H41" s="821"/>
      <c r="I41" s="821"/>
      <c r="J41" s="821"/>
      <c r="K41" s="821"/>
      <c r="L41" s="858"/>
    </row>
    <row r="42" spans="1:12" ht="15">
      <c r="A42" s="832"/>
      <c r="B42" s="845"/>
      <c r="C42" s="846"/>
      <c r="D42" s="846"/>
      <c r="E42" s="847"/>
      <c r="F42" s="44"/>
      <c r="G42" s="820"/>
      <c r="H42" s="821"/>
      <c r="I42" s="821"/>
      <c r="J42" s="821"/>
      <c r="K42" s="821"/>
      <c r="L42" s="858"/>
    </row>
    <row r="43" spans="1:12" ht="15.75" thickBot="1">
      <c r="A43" s="833"/>
      <c r="B43" s="848"/>
      <c r="C43" s="849"/>
      <c r="D43" s="849"/>
      <c r="E43" s="850"/>
      <c r="F43" s="44"/>
      <c r="G43" s="851"/>
      <c r="H43" s="852"/>
      <c r="I43" s="852"/>
      <c r="J43" s="852"/>
      <c r="K43" s="852"/>
      <c r="L43" s="85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63" operator="equal" stopIfTrue="1">
      <formula>"C"</formula>
    </cfRule>
    <cfRule type="cellIs" priority="2" dxfId="60" operator="equal" stopIfTrue="1">
      <formula>"B2"</formula>
    </cfRule>
    <cfRule type="cellIs" priority="3" dxfId="6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Liliana Caraulan</cp:lastModifiedBy>
  <cp:lastPrinted>2009-11-06T15:57:56Z</cp:lastPrinted>
  <dcterms:created xsi:type="dcterms:W3CDTF">2008-11-20T16:06:13Z</dcterms:created>
  <dcterms:modified xsi:type="dcterms:W3CDTF">2014-05-22T14:12:40Z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