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Iurie_Climasevschi\Desktop\PN_Final_2021-2023\"/>
    </mc:Choice>
  </mc:AlternateContent>
  <bookViews>
    <workbookView xWindow="0" yWindow="0" windowWidth="10125" windowHeight="10875" tabRatio="710" activeTab="3"/>
  </bookViews>
  <sheets>
    <sheet name="summary" sheetId="6" r:id="rId1"/>
    <sheet name="сводная по направлениям" sheetId="3" r:id="rId2"/>
    <sheet name="бюджет разбивка по источникам" sheetId="5" r:id="rId3"/>
    <sheet name="BugetComplet" sheetId="1" r:id="rId4"/>
    <sheet name="Budget Assumption_Lab Comp2" sheetId="8" r:id="rId5"/>
    <sheet name="Budget assumption" sheetId="4" r:id="rId6"/>
    <sheet name="Sheet1" sheetId="2"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arr_population">[1]_pop!$A$1:#REF!</definedName>
    <definedName name="_Costing_AIDS_Drug_Resist_Surv">'[2]Activity Costing'!$C$2621</definedName>
    <definedName name="_Costing_AIDS_HC_Construction">'[2]Activity Costing'!$C$2816</definedName>
    <definedName name="_Costing_AIDS_Lab_Upgrading">'[2]Activity Costing'!$C$2777</definedName>
    <definedName name="_Costing_AIDS_Logistic">'[2]Activity Costing'!$C$2655</definedName>
    <definedName name="_Costing_AIDS_Monitoring">'[2]Activity Costing'!$C$2502</definedName>
    <definedName name="_Costing_AIDS_Operations">'[2]Activity Costing'!$C$2553</definedName>
    <definedName name="_Costing_AIDS_Prog_Other">'[2]Activity Costing'!$C$2914</definedName>
    <definedName name="_Costing_AIDS_Program">'[2]Activity Costing'!$C$2434</definedName>
    <definedName name="_Costing_AIDS_Supervision">'[2]Activity Costing'!$C$2723</definedName>
    <definedName name="_Costing_AIDS_Surveillance">'[2]Activity Costing'!$C$2587</definedName>
    <definedName name="_Costing_Alt_Informal_Providers">'[2]Activity Costing'!$C$1967</definedName>
    <definedName name="_Costing_ART">'[2]Activity Costing'!$C$1311</definedName>
    <definedName name="_Costing_ARV_Nutrition">'[2]Activity Costing'!$C$1598</definedName>
    <definedName name="_Costing_Behavior_Research">'[2]Activity Costing'!$C$3687</definedName>
    <definedName name="_Costing_Biomed_Research">'[2]Activity Costing'!$C$3653</definedName>
    <definedName name="_Costing_Blood_Safety">'[2]Activity Costing'!$C$972</definedName>
    <definedName name="_Costing_Clinical_Research">'[2]Activity Costing'!$C$3585</definedName>
    <definedName name="_Costing_Community_Other">'[2]Activity Costing'!$C$3517</definedName>
    <definedName name="_Costing_Condom_SM">'[2]Activity Costing'!$C$703</definedName>
    <definedName name="_Costing_Epidem_Research">'[2]Activity Costing'!$C$3619</definedName>
    <definedName name="_Costing_Female_Condom">'[2]Activity Costing'!$C$777</definedName>
    <definedName name="_Costing_Homebased">'[2]Activity Costing'!$C$1875</definedName>
    <definedName name="_Costing_HR_MD_Incentives">'[2]Activity Costing'!$C$2948</definedName>
    <definedName name="_Costing_HR_Other">'[2]Activity Costing'!$C$3169</definedName>
    <definedName name="_Costing_HR_Other_Incentives">'[2]Activity Costing'!$C$3020</definedName>
    <definedName name="_Costing_HR_RN_Incentives">'[2]Activity Costing'!$C$2984</definedName>
    <definedName name="_Costing_Human_Rights">'[2]Activity Costing'!$C$3413</definedName>
    <definedName name="_Costing_IDU_Harm">'[2]Activity Costing'!$C$574</definedName>
    <definedName name="_Costing_Income_Generation">'[2]Activity Costing'!$C$3311</definedName>
    <definedName name="_Costing_Inkind_Benefits">'[2]Activity Costing'!$C$3239</definedName>
    <definedName name="_Costing_Inst_Develop">'[2]Activity Costing'!$C$3447</definedName>
    <definedName name="_Costing_Lab_Monitoring">'[2]Activity Costing'!$C$1674</definedName>
    <definedName name="_Costing_Male_Circumcision">'[2]Activity Costing'!$C$1083</definedName>
    <definedName name="_Costing_Microbicides">'[2]Activity Costing'!$C$814</definedName>
    <definedName name="_Costing_Monetary_Benefits">'[2]Activity Costing'!$C$3203</definedName>
    <definedName name="_Costing_OI_Prophylaxis">'[2]Activity Costing'!$C$1256</definedName>
    <definedName name="_Costing_OI_Treatment">'[2]Activity Costing'!$C$2004</definedName>
    <definedName name="_Costing_OVC_Community">'[2]Activity Costing'!$C$2294</definedName>
    <definedName name="_Costing_OVC_Education">'[2]Activity Costing'!$C$2186</definedName>
    <definedName name="_Costing_OVC_Organization">'[2]Activity Costing'!$C$2330</definedName>
    <definedName name="_Costing_OVC_Other">'[2]Activity Costing'!$C$2400</definedName>
    <definedName name="_Costing_OVC_Skills">'[2]Activity Costing'!$C$2222</definedName>
    <definedName name="_Costing_Palliative">'[2]Activity Costing'!$C$1894</definedName>
    <definedName name="_Costing_PEP">'[2]Activity Costing'!$C$1009</definedName>
    <definedName name="_Costing_PLWHA_Prev">'[2]Activity Costing'!$C$455</definedName>
    <definedName name="_Costing_PMTCT">'[2]Activity Costing'!$C$890</definedName>
    <definedName name="_Costing_Provider_Init_test">'[2]Activity Costing'!$C$1195</definedName>
    <definedName name="_Costing_Public_Condom">'[2]Activity Costing'!$C$740</definedName>
    <definedName name="_Costing_Research_Capacity">'[2]Activity Costing'!$C$3721</definedName>
    <definedName name="_Costing_Research_Other">'[2]Activity Costing'!$C$3789</definedName>
    <definedName name="_Costing_Safe_Med_Inject">'[2]Activity Costing'!$C$1046</definedName>
    <definedName name="_Costing_Social_Other">'[2]Activity Costing'!$C$3345</definedName>
    <definedName name="_Costing_Social_Services">'[2]Activity Costing'!$C$3275</definedName>
    <definedName name="_Costing_Special_Pop">'[2]Activity Costing'!$C$286</definedName>
    <definedName name="_Costing_STI">'[2]Activity Costing'!$C$852</definedName>
    <definedName name="_Costing_Transport_EMS">'[2]Activity Costing'!$C$2111</definedName>
    <definedName name="_Costing_Univ_Precaution">'[2]Activity Costing'!$C$1121</definedName>
    <definedName name="_Costing_Vaccine_Research">'[2]Activity Costing'!$C$3755</definedName>
    <definedName name="_Costing_Womens_Programs">'[2]Activity Costing'!$C$3481</definedName>
    <definedName name="_Costing_Workplace">'[2]Activity Costing'!$C$645</definedName>
    <definedName name="_CountryName">[1]welcome!$D$7</definedName>
    <definedName name="_RegionName">[3]welcome!$D$8</definedName>
    <definedName name="_Sub2">#REF!</definedName>
    <definedName name="_xlnm._FilterDatabase" localSheetId="3" hidden="1">BugetComplet!$A$1:$V$2337</definedName>
    <definedName name="_xlnm._FilterDatabase" localSheetId="2" hidden="1">'бюджет разбивка по источникам'!$A$3:$H$751</definedName>
    <definedName name="acc">#REF!</definedName>
    <definedName name="acc_cah">#REF!</definedName>
    <definedName name="Account">#REF!</definedName>
    <definedName name="Accounts">#REF!</definedName>
    <definedName name="Acct_Name">#REF!</definedName>
    <definedName name="ARV_Equipment">#REF!</definedName>
    <definedName name="ARV_Supplies">#REF!</definedName>
    <definedName name="Basic">#REF!</definedName>
    <definedName name="Blood_equipment">#REF!</definedName>
    <definedName name="Blood_supplies">#REF!</definedName>
    <definedName name="Chart_of_Accounts">#REF!</definedName>
    <definedName name="CofA_Group">'[2]CofA Sorted'!$B$3:$G$239</definedName>
    <definedName name="CofA_Sorted">'[2]CofA Sorted'!$B$3:$V$311</definedName>
    <definedName name="Comp">#REF!</definedName>
    <definedName name="complaints">#REF!</definedName>
    <definedName name="curscale">'[2]Basic Data'!$C$112:$D$114</definedName>
    <definedName name="ds_vs">#REF!</definedName>
    <definedName name="ds_vs_m">#REF!</definedName>
    <definedName name="EUR">#REF!</definedName>
    <definedName name="euro">[3]Activities!$D$4</definedName>
    <definedName name="Fcost">#REF!</definedName>
    <definedName name="fdaf">#REF!</definedName>
    <definedName name="Finlist">'[2]Financing Gap Analysis'!$B$61:$B$80</definedName>
    <definedName name="FL_Sorted">'[2]Function List'!$C$89:$D$170</definedName>
    <definedName name="fuel">#REF!</definedName>
    <definedName name="Function">'[2]Function List'!$B$3:$B$85</definedName>
    <definedName name="Functions">'[2]Function List'!$B$3:$E$85</definedName>
    <definedName name="Group">#REF!</definedName>
    <definedName name="hicut">'[4]strategic plan map'!#REF!</definedName>
    <definedName name="impact">#REF!</definedName>
    <definedName name="impact_1">#REF!</definedName>
    <definedName name="IndicatorTypesList">#REF!</definedName>
    <definedName name="IndicatorTypesList_1">#REF!</definedName>
    <definedName name="Inflation_Flag">#REF!</definedName>
    <definedName name="Inflation_Rate">#REF!</definedName>
    <definedName name="Labsupplies">#REF!</definedName>
    <definedName name="Labtests">#REF!</definedName>
    <definedName name="lang1">[5]Setup!$E$6</definedName>
    <definedName name="language">'[4]basic data'!#REF!</definedName>
    <definedName name="listie">[6]Definitions!$B$31:$B$38</definedName>
    <definedName name="locut">'[4]strategic plan map'!#REF!</definedName>
    <definedName name="MacrocategoriesALL">[6]Definitions!$B$127:$B$149</definedName>
    <definedName name="Micronutrients">#REF!</definedName>
    <definedName name="nr_vs">#REF!</definedName>
    <definedName name="OIDrugs">#REF!</definedName>
    <definedName name="Option">'[2]Strategic Plan Map'!$AC$3:$AC$4</definedName>
    <definedName name="outcome">#REF!</definedName>
    <definedName name="outcome_1">#REF!</definedName>
    <definedName name="PD">#REF!</definedName>
    <definedName name="pdb">#REF!</definedName>
    <definedName name="PDC">#REF!</definedName>
    <definedName name="PEP_supplies">#REF!</definedName>
    <definedName name="PMTCT">#REF!</definedName>
    <definedName name="pop">#REF!</definedName>
    <definedName name="Priority">#REF!</definedName>
    <definedName name="Product">#REF!</definedName>
    <definedName name="ps_vs">#REF!</definedName>
    <definedName name="Rank2">#REF!</definedName>
    <definedName name="Rankings">#REF!</definedName>
    <definedName name="Scale">'[2]Basic Data'!$E$13</definedName>
    <definedName name="Scale_USD">'[2]Basic Data'!$E$16</definedName>
    <definedName name="SDAList">#REF!</definedName>
    <definedName name="SDAList_1">#REF!</definedName>
    <definedName name="SourcesList">#REF!</definedName>
    <definedName name="SourcesList_1">#REF!</definedName>
    <definedName name="Standard_Cost">#REF!</definedName>
    <definedName name="Sub">#REF!</definedName>
    <definedName name="tests">'[5]Input costs'!$B$5:$D$24</definedName>
    <definedName name="Training_Activities">[4]Training!#REF!</definedName>
    <definedName name="Type">#REF!</definedName>
    <definedName name="USD">'[2]Basic Data'!$D$15</definedName>
    <definedName name="_xlnm.Print_Area" localSheetId="3">BugetComplet!$F$1:$U$302</definedName>
  </definedNames>
  <calcPr calcId="162913"/>
  <pivotCaches>
    <pivotCache cacheId="1"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3" i="1" l="1"/>
  <c r="S52" i="1"/>
  <c r="R53" i="1"/>
  <c r="R52" i="1"/>
  <c r="Q52" i="1"/>
  <c r="Q53" i="1"/>
  <c r="Q11" i="1" l="1"/>
  <c r="L1965" i="1"/>
  <c r="M1965" i="1"/>
  <c r="H370" i="1"/>
  <c r="Q702" i="1" l="1"/>
  <c r="R702" i="1"/>
  <c r="S702" i="1"/>
  <c r="T702" i="1"/>
  <c r="U702" i="1"/>
  <c r="Q703" i="1"/>
  <c r="R703" i="1"/>
  <c r="S703" i="1"/>
  <c r="T703" i="1"/>
  <c r="U703" i="1"/>
  <c r="Q704" i="1"/>
  <c r="R704" i="1"/>
  <c r="S704" i="1"/>
  <c r="T704" i="1"/>
  <c r="U704" i="1"/>
  <c r="Q705" i="1"/>
  <c r="R705" i="1"/>
  <c r="S705" i="1"/>
  <c r="T705" i="1"/>
  <c r="U705" i="1"/>
  <c r="Q706" i="1"/>
  <c r="R706" i="1"/>
  <c r="S706" i="1"/>
  <c r="T706" i="1"/>
  <c r="U706" i="1"/>
  <c r="Q707" i="1"/>
  <c r="R707" i="1"/>
  <c r="S707" i="1"/>
  <c r="T707" i="1"/>
  <c r="U707" i="1"/>
  <c r="U701" i="1"/>
  <c r="T701" i="1"/>
  <c r="S701" i="1"/>
  <c r="R701" i="1"/>
  <c r="Q701" i="1"/>
  <c r="R698" i="1"/>
  <c r="S698" i="1"/>
  <c r="T698" i="1"/>
  <c r="U698" i="1"/>
  <c r="Q698" i="1"/>
  <c r="F178" i="1"/>
  <c r="R932" i="1" l="1"/>
  <c r="S932" i="1"/>
  <c r="T932" i="1"/>
  <c r="U932" i="1"/>
  <c r="Q932" i="1"/>
  <c r="D335" i="5"/>
  <c r="E335" i="5"/>
  <c r="F335" i="5"/>
  <c r="G335" i="5"/>
  <c r="H335" i="5"/>
  <c r="D336" i="5"/>
  <c r="E336" i="5"/>
  <c r="F336" i="5"/>
  <c r="G336" i="5"/>
  <c r="H336" i="5"/>
  <c r="D337" i="5"/>
  <c r="E337" i="5"/>
  <c r="F337" i="5"/>
  <c r="G337" i="5"/>
  <c r="H337" i="5"/>
  <c r="D338" i="5"/>
  <c r="E338" i="5"/>
  <c r="F338" i="5"/>
  <c r="G338" i="5"/>
  <c r="H338" i="5"/>
  <c r="D339" i="5"/>
  <c r="E339" i="5"/>
  <c r="F339" i="5"/>
  <c r="G339" i="5"/>
  <c r="H339" i="5"/>
  <c r="D340" i="5"/>
  <c r="E340" i="5"/>
  <c r="F340" i="5"/>
  <c r="G340" i="5"/>
  <c r="H340" i="5"/>
  <c r="D341" i="5"/>
  <c r="E341" i="5"/>
  <c r="F341" i="5"/>
  <c r="G341" i="5"/>
  <c r="H341" i="5"/>
  <c r="D342" i="5"/>
  <c r="E342" i="5"/>
  <c r="F342" i="5"/>
  <c r="G342" i="5"/>
  <c r="H342" i="5"/>
  <c r="D343" i="5"/>
  <c r="E343" i="5"/>
  <c r="F343" i="5"/>
  <c r="G343" i="5"/>
  <c r="H343" i="5"/>
  <c r="D344" i="5"/>
  <c r="E344" i="5"/>
  <c r="F344" i="5"/>
  <c r="G344" i="5"/>
  <c r="H344" i="5"/>
  <c r="C336" i="5"/>
  <c r="C337" i="5"/>
  <c r="C338" i="5"/>
  <c r="C339" i="5"/>
  <c r="C340" i="5"/>
  <c r="C341" i="5"/>
  <c r="C342" i="5"/>
  <c r="C343" i="5"/>
  <c r="C344" i="5"/>
  <c r="C335" i="5"/>
  <c r="P261" i="1" l="1"/>
  <c r="O261" i="1"/>
  <c r="N261" i="1"/>
  <c r="M261" i="1"/>
  <c r="L261" i="1"/>
  <c r="Q261" i="1"/>
  <c r="S928" i="1" l="1"/>
  <c r="H204" i="1" l="1"/>
  <c r="R48" i="1" l="1"/>
  <c r="S48" i="1"/>
  <c r="T48" i="1"/>
  <c r="U48" i="1"/>
  <c r="R49" i="1"/>
  <c r="S49" i="1"/>
  <c r="T49" i="1"/>
  <c r="U49" i="1"/>
  <c r="R50" i="1"/>
  <c r="S50" i="1"/>
  <c r="T50" i="1"/>
  <c r="U50" i="1"/>
  <c r="T52" i="1"/>
  <c r="U52" i="1"/>
  <c r="T53" i="1"/>
  <c r="U53" i="1"/>
  <c r="R54" i="1"/>
  <c r="S54" i="1"/>
  <c r="T54" i="1"/>
  <c r="U54" i="1"/>
  <c r="Q48" i="1"/>
  <c r="Q49" i="1"/>
  <c r="Q50" i="1"/>
  <c r="Q54" i="1"/>
  <c r="R133" i="1" l="1"/>
  <c r="S133" i="1"/>
  <c r="Q133" i="1"/>
  <c r="J43" i="4" l="1"/>
  <c r="I43" i="4"/>
  <c r="J31" i="6"/>
  <c r="E472" i="8" l="1"/>
  <c r="O472" i="8" s="1"/>
  <c r="H794" i="1" l="1"/>
  <c r="H784" i="1"/>
  <c r="H774" i="1"/>
  <c r="H764" i="1"/>
  <c r="M1957" i="1"/>
  <c r="N1957" i="1"/>
  <c r="O1957" i="1"/>
  <c r="P1957" i="1"/>
  <c r="Q1892" i="1" l="1"/>
  <c r="R1892" i="1"/>
  <c r="S1892" i="1"/>
  <c r="F1864" i="1"/>
  <c r="M1087" i="1"/>
  <c r="N1087" i="1"/>
  <c r="O1087" i="1"/>
  <c r="P1087" i="1"/>
  <c r="L1087" i="1"/>
  <c r="M1085" i="1"/>
  <c r="N1085" i="1"/>
  <c r="O1085" i="1"/>
  <c r="P1085" i="1"/>
  <c r="L1085" i="1"/>
  <c r="H1090" i="1"/>
  <c r="R413" i="8"/>
  <c r="S413" i="8" s="1"/>
  <c r="J413" i="8"/>
  <c r="P413" i="8"/>
  <c r="P1057" i="1"/>
  <c r="L1057" i="1"/>
  <c r="M1057" i="1"/>
  <c r="N1057" i="1"/>
  <c r="O1057" i="1"/>
  <c r="M1055" i="1"/>
  <c r="N1055" i="1"/>
  <c r="O1055" i="1"/>
  <c r="L1055" i="1"/>
  <c r="H1060" i="1"/>
  <c r="R336" i="8"/>
  <c r="Q336" i="8"/>
  <c r="H733" i="1"/>
  <c r="H723" i="1"/>
  <c r="H713" i="1"/>
  <c r="S713" i="1" s="1"/>
  <c r="H703" i="1"/>
  <c r="U716" i="1"/>
  <c r="T716" i="1"/>
  <c r="S716" i="1"/>
  <c r="R716" i="1"/>
  <c r="Q716" i="1"/>
  <c r="U715" i="1"/>
  <c r="T715" i="1"/>
  <c r="S715" i="1"/>
  <c r="R715" i="1"/>
  <c r="Q715" i="1"/>
  <c r="R712" i="1"/>
  <c r="E412" i="8"/>
  <c r="R412" i="8"/>
  <c r="S412" i="8" s="1"/>
  <c r="H693" i="1"/>
  <c r="H683" i="1"/>
  <c r="H673" i="1"/>
  <c r="H640" i="1"/>
  <c r="H619" i="1"/>
  <c r="H609" i="1"/>
  <c r="H599" i="1"/>
  <c r="H589" i="1"/>
  <c r="H579" i="1"/>
  <c r="H547" i="1"/>
  <c r="H537" i="1"/>
  <c r="H527" i="1"/>
  <c r="H517" i="1"/>
  <c r="H504" i="1"/>
  <c r="H484" i="1"/>
  <c r="H473" i="1"/>
  <c r="H463" i="1"/>
  <c r="X686" i="8"/>
  <c r="W685" i="8"/>
  <c r="Y685" i="8" s="1"/>
  <c r="X684" i="8"/>
  <c r="X682" i="8"/>
  <c r="X680" i="8"/>
  <c r="U678" i="8"/>
  <c r="U676" i="8"/>
  <c r="M668" i="8"/>
  <c r="I667" i="8"/>
  <c r="O666" i="8"/>
  <c r="M665" i="8"/>
  <c r="M664" i="8"/>
  <c r="O656" i="8"/>
  <c r="M656" i="8"/>
  <c r="K656" i="8"/>
  <c r="I656" i="8"/>
  <c r="G656" i="8"/>
  <c r="M654" i="8"/>
  <c r="O654" i="8" s="1"/>
  <c r="I654" i="8"/>
  <c r="K654" i="8" s="1"/>
  <c r="G654" i="8"/>
  <c r="M652" i="8"/>
  <c r="O646" i="8"/>
  <c r="M646" i="8"/>
  <c r="K646" i="8"/>
  <c r="I646" i="8"/>
  <c r="G646" i="8"/>
  <c r="O644" i="8"/>
  <c r="M644" i="8"/>
  <c r="K644" i="8"/>
  <c r="I644" i="8"/>
  <c r="G644" i="8"/>
  <c r="O643" i="8"/>
  <c r="M643" i="8"/>
  <c r="K643" i="8"/>
  <c r="I643" i="8"/>
  <c r="G643" i="8"/>
  <c r="O641" i="8"/>
  <c r="M639" i="8"/>
  <c r="O633" i="8"/>
  <c r="M633" i="8"/>
  <c r="K633" i="8"/>
  <c r="I633" i="8"/>
  <c r="G633" i="8"/>
  <c r="O631" i="8"/>
  <c r="M631" i="8"/>
  <c r="K631" i="8"/>
  <c r="I631" i="8"/>
  <c r="G631" i="8"/>
  <c r="O630" i="8"/>
  <c r="M630" i="8"/>
  <c r="K630" i="8"/>
  <c r="I630" i="8"/>
  <c r="G630" i="8"/>
  <c r="X629" i="8"/>
  <c r="W628" i="8"/>
  <c r="Y628" i="8" s="1"/>
  <c r="M628" i="8"/>
  <c r="X627" i="8"/>
  <c r="M626" i="8"/>
  <c r="X625" i="8"/>
  <c r="X623" i="8"/>
  <c r="U621" i="8"/>
  <c r="U619" i="8"/>
  <c r="O618" i="8"/>
  <c r="M618" i="8"/>
  <c r="K618" i="8"/>
  <c r="I618" i="8"/>
  <c r="G618" i="8"/>
  <c r="M616" i="8"/>
  <c r="X611" i="8"/>
  <c r="W610" i="8"/>
  <c r="Y610" i="8" s="1"/>
  <c r="X609" i="8"/>
  <c r="O609" i="8"/>
  <c r="M609" i="8"/>
  <c r="K609" i="8"/>
  <c r="I609" i="8"/>
  <c r="G609" i="8"/>
  <c r="X607" i="8"/>
  <c r="O607" i="8"/>
  <c r="X605" i="8"/>
  <c r="O605" i="8"/>
  <c r="M605" i="8"/>
  <c r="K605" i="8"/>
  <c r="I605" i="8"/>
  <c r="G605" i="8"/>
  <c r="M604" i="8"/>
  <c r="U603" i="8"/>
  <c r="M602" i="8"/>
  <c r="U601" i="8"/>
  <c r="M594" i="8"/>
  <c r="X592" i="8"/>
  <c r="I592" i="8"/>
  <c r="W591" i="8"/>
  <c r="Y591" i="8" s="1"/>
  <c r="X590" i="8"/>
  <c r="X588" i="8"/>
  <c r="X586" i="8"/>
  <c r="O585" i="8"/>
  <c r="M585" i="8"/>
  <c r="K585" i="8"/>
  <c r="I585" i="8"/>
  <c r="G585" i="8"/>
  <c r="U584" i="8"/>
  <c r="I583" i="8"/>
  <c r="U582" i="8"/>
  <c r="I581" i="8"/>
  <c r="Q572" i="8"/>
  <c r="O572" i="8"/>
  <c r="M572" i="8"/>
  <c r="K572" i="8"/>
  <c r="I572" i="8"/>
  <c r="G572" i="8"/>
  <c r="Q571" i="8"/>
  <c r="O571" i="8"/>
  <c r="M571" i="8"/>
  <c r="K571" i="8"/>
  <c r="I571" i="8"/>
  <c r="G571" i="8"/>
  <c r="Q569" i="8"/>
  <c r="O569" i="8"/>
  <c r="O570" i="8" s="1"/>
  <c r="M569" i="8"/>
  <c r="M570" i="8" s="1"/>
  <c r="K569" i="8"/>
  <c r="K570" i="8" s="1"/>
  <c r="I569" i="8"/>
  <c r="I570" i="8" s="1"/>
  <c r="G569" i="8"/>
  <c r="G570" i="8" s="1"/>
  <c r="Q567" i="8"/>
  <c r="O567" i="8"/>
  <c r="M567" i="8"/>
  <c r="K567" i="8"/>
  <c r="I567" i="8"/>
  <c r="G567" i="8"/>
  <c r="Q566" i="8"/>
  <c r="O566" i="8"/>
  <c r="M566" i="8"/>
  <c r="K566" i="8"/>
  <c r="I566" i="8"/>
  <c r="G566" i="8"/>
  <c r="Q565" i="8"/>
  <c r="O565" i="8"/>
  <c r="M565" i="8"/>
  <c r="K565" i="8"/>
  <c r="I565" i="8"/>
  <c r="G565" i="8"/>
  <c r="Q563" i="8"/>
  <c r="O563" i="8"/>
  <c r="M563" i="8"/>
  <c r="K563" i="8"/>
  <c r="I563" i="8"/>
  <c r="G563" i="8"/>
  <c r="Q562" i="8"/>
  <c r="O562" i="8"/>
  <c r="M562" i="8"/>
  <c r="K562" i="8"/>
  <c r="I562" i="8"/>
  <c r="G562" i="8"/>
  <c r="Q560" i="8"/>
  <c r="O560" i="8"/>
  <c r="M560" i="8"/>
  <c r="K560" i="8"/>
  <c r="I560" i="8"/>
  <c r="G560" i="8"/>
  <c r="Q559" i="8"/>
  <c r="O559" i="8"/>
  <c r="M559" i="8"/>
  <c r="K559" i="8"/>
  <c r="I559" i="8"/>
  <c r="G559" i="8"/>
  <c r="Q557" i="8"/>
  <c r="O557" i="8"/>
  <c r="M557" i="8"/>
  <c r="K557" i="8"/>
  <c r="I557" i="8"/>
  <c r="G557" i="8"/>
  <c r="Q556" i="8"/>
  <c r="O556" i="8"/>
  <c r="M556" i="8"/>
  <c r="K556" i="8"/>
  <c r="I556" i="8"/>
  <c r="G556" i="8"/>
  <c r="Q555" i="8"/>
  <c r="O555" i="8"/>
  <c r="M555" i="8"/>
  <c r="K555" i="8"/>
  <c r="I555" i="8"/>
  <c r="G555" i="8"/>
  <c r="Q553" i="8"/>
  <c r="O553" i="8"/>
  <c r="M553" i="8"/>
  <c r="K553" i="8"/>
  <c r="I553" i="8"/>
  <c r="G553" i="8"/>
  <c r="Q552" i="8"/>
  <c r="O552" i="8"/>
  <c r="M552" i="8"/>
  <c r="K552" i="8"/>
  <c r="I552" i="8"/>
  <c r="G552" i="8"/>
  <c r="Q551" i="8"/>
  <c r="O551" i="8"/>
  <c r="M551" i="8"/>
  <c r="K551" i="8"/>
  <c r="I551" i="8"/>
  <c r="G551" i="8"/>
  <c r="Q546" i="8"/>
  <c r="E546" i="8"/>
  <c r="M546" i="8" s="1"/>
  <c r="Q545" i="8"/>
  <c r="E545" i="8"/>
  <c r="M545" i="8" s="1"/>
  <c r="Q544" i="8"/>
  <c r="E544" i="8"/>
  <c r="M544" i="8" s="1"/>
  <c r="Q543" i="8"/>
  <c r="E543" i="8"/>
  <c r="M543" i="8" s="1"/>
  <c r="Q542" i="8"/>
  <c r="E542" i="8"/>
  <c r="M542" i="8" s="1"/>
  <c r="Q541" i="8"/>
  <c r="E541" i="8"/>
  <c r="M541" i="8" s="1"/>
  <c r="Q540" i="8"/>
  <c r="E540" i="8"/>
  <c r="M540" i="8" s="1"/>
  <c r="Q539" i="8"/>
  <c r="E539" i="8"/>
  <c r="M539" i="8" s="1"/>
  <c r="Q538" i="8"/>
  <c r="E538" i="8"/>
  <c r="M538" i="8" s="1"/>
  <c r="Q537" i="8"/>
  <c r="E537" i="8"/>
  <c r="M537" i="8" s="1"/>
  <c r="Q536" i="8"/>
  <c r="E536" i="8"/>
  <c r="M536" i="8" s="1"/>
  <c r="Q535" i="8"/>
  <c r="E535" i="8"/>
  <c r="M535" i="8" s="1"/>
  <c r="Q534" i="8"/>
  <c r="E534" i="8"/>
  <c r="M534" i="8" s="1"/>
  <c r="Q533" i="8"/>
  <c r="E533" i="8"/>
  <c r="M533" i="8" s="1"/>
  <c r="Q532" i="8"/>
  <c r="O532" i="8"/>
  <c r="M532" i="8"/>
  <c r="K532" i="8"/>
  <c r="I532" i="8"/>
  <c r="G532" i="8"/>
  <c r="X529" i="8"/>
  <c r="W528" i="8"/>
  <c r="Y528" i="8" s="1"/>
  <c r="X527" i="8"/>
  <c r="X526" i="8"/>
  <c r="O526" i="8"/>
  <c r="M526" i="8"/>
  <c r="K526" i="8"/>
  <c r="I526" i="8"/>
  <c r="G526" i="8"/>
  <c r="O525" i="8"/>
  <c r="M525" i="8"/>
  <c r="K525" i="8"/>
  <c r="I525" i="8"/>
  <c r="G525" i="8"/>
  <c r="X524" i="8"/>
  <c r="O524" i="8"/>
  <c r="M524" i="8"/>
  <c r="K524" i="8"/>
  <c r="I524" i="8"/>
  <c r="G524" i="8"/>
  <c r="O523" i="8"/>
  <c r="M523" i="8"/>
  <c r="K523" i="8"/>
  <c r="I523" i="8"/>
  <c r="G523" i="8"/>
  <c r="O522" i="8"/>
  <c r="M522" i="8"/>
  <c r="K522" i="8"/>
  <c r="I522" i="8"/>
  <c r="G522" i="8"/>
  <c r="U521" i="8"/>
  <c r="U519" i="8"/>
  <c r="O515" i="8"/>
  <c r="M515" i="8"/>
  <c r="K515" i="8"/>
  <c r="I515" i="8"/>
  <c r="G515" i="8"/>
  <c r="X511" i="8"/>
  <c r="W510" i="8"/>
  <c r="Y510" i="8" s="1"/>
  <c r="X509" i="8"/>
  <c r="O508" i="8"/>
  <c r="M508" i="8"/>
  <c r="K508" i="8"/>
  <c r="I508" i="8"/>
  <c r="G508" i="8"/>
  <c r="X507" i="8"/>
  <c r="O507" i="8"/>
  <c r="M507" i="8"/>
  <c r="K507" i="8"/>
  <c r="I507" i="8"/>
  <c r="G507" i="8"/>
  <c r="X506" i="8"/>
  <c r="O506" i="8"/>
  <c r="M506" i="8"/>
  <c r="K506" i="8"/>
  <c r="I506" i="8"/>
  <c r="G506" i="8"/>
  <c r="M504" i="8"/>
  <c r="U503" i="8"/>
  <c r="K502" i="8"/>
  <c r="M500" i="8"/>
  <c r="O494" i="8"/>
  <c r="M494" i="8"/>
  <c r="K494" i="8"/>
  <c r="I494" i="8"/>
  <c r="G494" i="8"/>
  <c r="O492" i="8"/>
  <c r="O486" i="8"/>
  <c r="M486" i="8"/>
  <c r="K486" i="8"/>
  <c r="I486" i="8"/>
  <c r="G486" i="8"/>
  <c r="K484" i="8"/>
  <c r="I482" i="8"/>
  <c r="AG477" i="8"/>
  <c r="X477" i="8"/>
  <c r="AF476" i="8"/>
  <c r="AH476" i="8" s="1"/>
  <c r="W476" i="8"/>
  <c r="Y476" i="8" s="1"/>
  <c r="AG475" i="8"/>
  <c r="X475" i="8"/>
  <c r="AG473" i="8"/>
  <c r="X473" i="8"/>
  <c r="M472" i="8"/>
  <c r="K472" i="8"/>
  <c r="I472" i="8"/>
  <c r="G472" i="8"/>
  <c r="AG471" i="8"/>
  <c r="X471" i="8"/>
  <c r="M469" i="8"/>
  <c r="AD468" i="8"/>
  <c r="U468" i="8"/>
  <c r="O468" i="8"/>
  <c r="M468" i="8"/>
  <c r="K468" i="8"/>
  <c r="I468" i="8"/>
  <c r="G468" i="8"/>
  <c r="AD466" i="8"/>
  <c r="U466" i="8"/>
  <c r="I465" i="8"/>
  <c r="M463" i="8"/>
  <c r="M455" i="8"/>
  <c r="M453" i="8"/>
  <c r="O452" i="8"/>
  <c r="M452" i="8"/>
  <c r="J452" i="8"/>
  <c r="K452" i="8" s="1"/>
  <c r="H452" i="8"/>
  <c r="I452" i="8" s="1"/>
  <c r="G452" i="8"/>
  <c r="O451" i="8"/>
  <c r="M451" i="8"/>
  <c r="K451" i="8"/>
  <c r="I451" i="8"/>
  <c r="G451" i="8"/>
  <c r="M449" i="8"/>
  <c r="O448" i="8"/>
  <c r="M448" i="8"/>
  <c r="K448" i="8"/>
  <c r="I448" i="8"/>
  <c r="G448" i="8"/>
  <c r="O446" i="8"/>
  <c r="M444" i="8"/>
  <c r="K442" i="8"/>
  <c r="O434" i="8"/>
  <c r="M434" i="8"/>
  <c r="K434" i="8"/>
  <c r="I434" i="8"/>
  <c r="G434" i="8"/>
  <c r="O433" i="8"/>
  <c r="M433" i="8"/>
  <c r="K433" i="8"/>
  <c r="I433" i="8"/>
  <c r="G433" i="8"/>
  <c r="X431" i="8"/>
  <c r="X430" i="8"/>
  <c r="O430" i="8"/>
  <c r="M430" i="8"/>
  <c r="K430" i="8"/>
  <c r="I430" i="8"/>
  <c r="G430" i="8"/>
  <c r="W429" i="8"/>
  <c r="Y429" i="8" s="1"/>
  <c r="O429" i="8"/>
  <c r="M429" i="8"/>
  <c r="K429" i="8"/>
  <c r="I429" i="8"/>
  <c r="G429" i="8"/>
  <c r="X427" i="8"/>
  <c r="O427" i="8"/>
  <c r="M427" i="8"/>
  <c r="K427" i="8"/>
  <c r="I427" i="8"/>
  <c r="G427" i="8"/>
  <c r="X425" i="8"/>
  <c r="I425" i="8"/>
  <c r="M423" i="8"/>
  <c r="U422" i="8"/>
  <c r="O422" i="8"/>
  <c r="M422" i="8"/>
  <c r="K422" i="8"/>
  <c r="I422" i="8"/>
  <c r="G422" i="8"/>
  <c r="U420" i="8"/>
  <c r="I418" i="8"/>
  <c r="O404" i="8"/>
  <c r="M404" i="8"/>
  <c r="K404" i="8"/>
  <c r="I404" i="8"/>
  <c r="G404" i="8"/>
  <c r="O403" i="8"/>
  <c r="M403" i="8"/>
  <c r="K403" i="8"/>
  <c r="I403" i="8"/>
  <c r="G403" i="8"/>
  <c r="O402" i="8"/>
  <c r="M402" i="8"/>
  <c r="K402" i="8"/>
  <c r="I402" i="8"/>
  <c r="G402" i="8"/>
  <c r="O401" i="8"/>
  <c r="M401" i="8"/>
  <c r="K401" i="8"/>
  <c r="I401" i="8"/>
  <c r="G401" i="8"/>
  <c r="O399" i="8"/>
  <c r="M399" i="8"/>
  <c r="K399" i="8"/>
  <c r="I399" i="8"/>
  <c r="G399" i="8"/>
  <c r="O398" i="8"/>
  <c r="M398" i="8"/>
  <c r="K398" i="8"/>
  <c r="I398" i="8"/>
  <c r="G398" i="8"/>
  <c r="O397" i="8"/>
  <c r="M397" i="8"/>
  <c r="K397" i="8"/>
  <c r="I397" i="8"/>
  <c r="G397" i="8"/>
  <c r="O396" i="8"/>
  <c r="M396" i="8"/>
  <c r="K396" i="8"/>
  <c r="I396" i="8"/>
  <c r="G396" i="8"/>
  <c r="O395" i="8"/>
  <c r="M395" i="8"/>
  <c r="K395" i="8"/>
  <c r="I395" i="8"/>
  <c r="G395" i="8"/>
  <c r="M393" i="8"/>
  <c r="K391" i="8"/>
  <c r="D382" i="8"/>
  <c r="C382" i="8" s="1"/>
  <c r="D381" i="8"/>
  <c r="C381" i="8" s="1"/>
  <c r="D380" i="8"/>
  <c r="C380" i="8" s="1"/>
  <c r="D379" i="8"/>
  <c r="C379" i="8" s="1"/>
  <c r="D378" i="8"/>
  <c r="C378" i="8" s="1"/>
  <c r="C375" i="8"/>
  <c r="C374" i="8"/>
  <c r="C376" i="8" s="1"/>
  <c r="D371" i="8"/>
  <c r="C371" i="8" s="1"/>
  <c r="D370" i="8"/>
  <c r="C370" i="8" s="1"/>
  <c r="D369" i="8"/>
  <c r="C369" i="8" s="1"/>
  <c r="D368" i="8"/>
  <c r="C368" i="8" s="1"/>
  <c r="D367" i="8"/>
  <c r="C367" i="8" s="1"/>
  <c r="D366" i="8"/>
  <c r="C366" i="8" s="1"/>
  <c r="D365" i="8"/>
  <c r="C365" i="8" s="1"/>
  <c r="D364" i="8"/>
  <c r="C364" i="8" s="1"/>
  <c r="D363" i="8"/>
  <c r="C363" i="8" s="1"/>
  <c r="D362" i="8"/>
  <c r="C362" i="8" s="1"/>
  <c r="C359" i="8"/>
  <c r="C358" i="8"/>
  <c r="C355" i="8"/>
  <c r="C354" i="8"/>
  <c r="C353" i="8"/>
  <c r="C352" i="8"/>
  <c r="C351" i="8"/>
  <c r="R343" i="8"/>
  <c r="Q343" i="8"/>
  <c r="O343" i="8"/>
  <c r="N343" i="8"/>
  <c r="M343" i="8"/>
  <c r="L343" i="8"/>
  <c r="K343" i="8"/>
  <c r="J343" i="8"/>
  <c r="Q342" i="8"/>
  <c r="S342" i="8" s="1"/>
  <c r="R341" i="8"/>
  <c r="R344" i="8" s="1"/>
  <c r="Q341" i="8"/>
  <c r="Q337" i="8"/>
  <c r="S337" i="8" s="1"/>
  <c r="R333" i="8"/>
  <c r="R338" i="8" s="1"/>
  <c r="Q333" i="8"/>
  <c r="Q338" i="8" s="1"/>
  <c r="I333" i="8"/>
  <c r="H333" i="8"/>
  <c r="N333" i="8" s="1"/>
  <c r="O1004" i="1" s="1"/>
  <c r="G333" i="8"/>
  <c r="M333" i="8" s="1"/>
  <c r="N1004" i="1" s="1"/>
  <c r="F333" i="8"/>
  <c r="E333" i="8"/>
  <c r="E338" i="8" s="1"/>
  <c r="Q332" i="8"/>
  <c r="S332" i="8" s="1"/>
  <c r="R331" i="8"/>
  <c r="Q331" i="8"/>
  <c r="S331" i="8" s="1"/>
  <c r="I332" i="8"/>
  <c r="H332" i="8"/>
  <c r="G332" i="8"/>
  <c r="F332" i="8"/>
  <c r="F342" i="8" s="1"/>
  <c r="L342" i="8" s="1"/>
  <c r="M997" i="1" s="1"/>
  <c r="E332" i="8"/>
  <c r="I331" i="8"/>
  <c r="I341" i="8" s="1"/>
  <c r="O341" i="8" s="1"/>
  <c r="P987" i="1" s="1"/>
  <c r="H331" i="8"/>
  <c r="G331" i="8"/>
  <c r="F331" i="8"/>
  <c r="E331" i="8"/>
  <c r="E341" i="8" s="1"/>
  <c r="K341" i="8" s="1"/>
  <c r="L991" i="1" s="1"/>
  <c r="R321" i="8"/>
  <c r="H814" i="1" s="1"/>
  <c r="Q321" i="8"/>
  <c r="S320" i="8"/>
  <c r="S319" i="8"/>
  <c r="S318" i="8"/>
  <c r="S317" i="8"/>
  <c r="E314" i="8"/>
  <c r="I311" i="8"/>
  <c r="H311" i="8"/>
  <c r="G311" i="8"/>
  <c r="F311" i="8"/>
  <c r="E311" i="8"/>
  <c r="I310" i="8"/>
  <c r="H310" i="8"/>
  <c r="G310" i="8"/>
  <c r="F310" i="8"/>
  <c r="E310" i="8"/>
  <c r="I309" i="8"/>
  <c r="H309" i="8"/>
  <c r="G309" i="8"/>
  <c r="F309" i="8"/>
  <c r="E309" i="8"/>
  <c r="I308" i="8"/>
  <c r="H308" i="8"/>
  <c r="G308" i="8"/>
  <c r="F308" i="8"/>
  <c r="E308" i="8"/>
  <c r="E305" i="8"/>
  <c r="E303" i="8"/>
  <c r="I301" i="8"/>
  <c r="H301" i="8"/>
  <c r="G301" i="8"/>
  <c r="F301" i="8"/>
  <c r="E301" i="8"/>
  <c r="I300" i="8"/>
  <c r="H300" i="8"/>
  <c r="G300" i="8"/>
  <c r="F300" i="8"/>
  <c r="E300" i="8"/>
  <c r="I299" i="8"/>
  <c r="H299" i="8"/>
  <c r="G299" i="8"/>
  <c r="F299" i="8"/>
  <c r="E299" i="8"/>
  <c r="R294" i="8"/>
  <c r="S293" i="8"/>
  <c r="O293" i="8"/>
  <c r="N293" i="8"/>
  <c r="M293" i="8"/>
  <c r="L293" i="8"/>
  <c r="K293" i="8"/>
  <c r="J293" i="8"/>
  <c r="S292" i="8"/>
  <c r="O292" i="8"/>
  <c r="N292" i="8"/>
  <c r="M292" i="8"/>
  <c r="L292" i="8"/>
  <c r="K292" i="8"/>
  <c r="J292" i="8"/>
  <c r="S291" i="8"/>
  <c r="O291" i="8"/>
  <c r="N291" i="8"/>
  <c r="M291" i="8"/>
  <c r="L291" i="8"/>
  <c r="K291" i="8"/>
  <c r="J291" i="8"/>
  <c r="S290" i="8"/>
  <c r="S289" i="8"/>
  <c r="S288" i="8"/>
  <c r="S287" i="8"/>
  <c r="R285" i="8"/>
  <c r="H753" i="1" s="1"/>
  <c r="S284" i="8"/>
  <c r="S283" i="8"/>
  <c r="S282" i="8"/>
  <c r="S281" i="8"/>
  <c r="S280" i="8"/>
  <c r="S279" i="8"/>
  <c r="S278" i="8"/>
  <c r="R276" i="8"/>
  <c r="S275" i="8"/>
  <c r="E275" i="8"/>
  <c r="E284" i="8" s="1"/>
  <c r="S274" i="8"/>
  <c r="E274" i="8"/>
  <c r="F274" i="8" s="1"/>
  <c r="S273" i="8"/>
  <c r="E273" i="8"/>
  <c r="S272" i="8"/>
  <c r="S271" i="8"/>
  <c r="S270" i="8"/>
  <c r="S269" i="8"/>
  <c r="E265" i="8"/>
  <c r="E289" i="8" s="1"/>
  <c r="E264" i="8"/>
  <c r="F264" i="8" s="1"/>
  <c r="F281" i="8" s="1"/>
  <c r="L281" i="8" s="1"/>
  <c r="E263" i="8"/>
  <c r="E269" i="8" s="1"/>
  <c r="S257" i="8"/>
  <c r="I256" i="8"/>
  <c r="O256" i="8" s="1"/>
  <c r="H256" i="8"/>
  <c r="N256" i="8" s="1"/>
  <c r="G256" i="8"/>
  <c r="M256" i="8" s="1"/>
  <c r="F256" i="8"/>
  <c r="L256" i="8" s="1"/>
  <c r="E256" i="8"/>
  <c r="K256" i="8" s="1"/>
  <c r="S254" i="8"/>
  <c r="S252" i="8"/>
  <c r="S251" i="8"/>
  <c r="S250" i="8"/>
  <c r="S249" i="8"/>
  <c r="S248" i="8"/>
  <c r="I245" i="8"/>
  <c r="I257" i="8" s="1"/>
  <c r="O257" i="8" s="1"/>
  <c r="P566" i="1" s="1"/>
  <c r="H245" i="8"/>
  <c r="H257" i="8" s="1"/>
  <c r="N257" i="8" s="1"/>
  <c r="O566" i="1" s="1"/>
  <c r="G245" i="8"/>
  <c r="G257" i="8" s="1"/>
  <c r="M257" i="8" s="1"/>
  <c r="N566" i="1" s="1"/>
  <c r="F245" i="8"/>
  <c r="F257" i="8" s="1"/>
  <c r="L257" i="8" s="1"/>
  <c r="M566" i="1" s="1"/>
  <c r="E245" i="8"/>
  <c r="E257" i="8" s="1"/>
  <c r="I244" i="8"/>
  <c r="I253" i="8" s="1"/>
  <c r="O253" i="8" s="1"/>
  <c r="H244" i="8"/>
  <c r="H253" i="8" s="1"/>
  <c r="N253" i="8" s="1"/>
  <c r="G244" i="8"/>
  <c r="G253" i="8" s="1"/>
  <c r="M253" i="8" s="1"/>
  <c r="F244" i="8"/>
  <c r="F253" i="8" s="1"/>
  <c r="L253" i="8" s="1"/>
  <c r="E244" i="8"/>
  <c r="E253" i="8" s="1"/>
  <c r="K253" i="8" s="1"/>
  <c r="D242" i="8"/>
  <c r="F243" i="8" s="1"/>
  <c r="E238" i="8"/>
  <c r="E252" i="8" s="1"/>
  <c r="D236" i="8"/>
  <c r="E236" i="8" s="1"/>
  <c r="D234" i="8"/>
  <c r="E234" i="8" s="1"/>
  <c r="E226" i="8"/>
  <c r="A225" i="8"/>
  <c r="I223" i="8"/>
  <c r="I254" i="8" s="1"/>
  <c r="O254" i="8" s="1"/>
  <c r="P468" i="1" s="1"/>
  <c r="H223" i="8"/>
  <c r="H254" i="8" s="1"/>
  <c r="N254" i="8" s="1"/>
  <c r="O468" i="1" s="1"/>
  <c r="G223" i="8"/>
  <c r="G254" i="8" s="1"/>
  <c r="M254" i="8" s="1"/>
  <c r="N468" i="1" s="1"/>
  <c r="F223" i="8"/>
  <c r="F254" i="8" s="1"/>
  <c r="L254" i="8" s="1"/>
  <c r="M468" i="1" s="1"/>
  <c r="E223" i="8"/>
  <c r="E254" i="8" s="1"/>
  <c r="K254" i="8" s="1"/>
  <c r="L468" i="1" s="1"/>
  <c r="E219" i="8"/>
  <c r="F219" i="8" s="1"/>
  <c r="F220" i="8" s="1"/>
  <c r="F248" i="8" s="1"/>
  <c r="L248" i="8" s="1"/>
  <c r="M458" i="1" s="1"/>
  <c r="D217" i="8"/>
  <c r="R211" i="8"/>
  <c r="S210" i="8"/>
  <c r="S209" i="8"/>
  <c r="S208" i="8"/>
  <c r="S207" i="8"/>
  <c r="S206" i="8"/>
  <c r="O206" i="8"/>
  <c r="N206" i="8"/>
  <c r="M206" i="8"/>
  <c r="L206" i="8"/>
  <c r="K206" i="8"/>
  <c r="J206" i="8"/>
  <c r="S205" i="8"/>
  <c r="R201" i="8"/>
  <c r="S200" i="8"/>
  <c r="S199" i="8"/>
  <c r="S198" i="8"/>
  <c r="S197" i="8"/>
  <c r="S196" i="8"/>
  <c r="O196" i="8"/>
  <c r="N196" i="8"/>
  <c r="M196" i="8"/>
  <c r="L196" i="8"/>
  <c r="K196" i="8"/>
  <c r="J196" i="8"/>
  <c r="S195" i="8"/>
  <c r="R191" i="8"/>
  <c r="S190" i="8"/>
  <c r="S189" i="8"/>
  <c r="S188" i="8"/>
  <c r="S187" i="8"/>
  <c r="S186" i="8"/>
  <c r="O186" i="8"/>
  <c r="N186" i="8"/>
  <c r="M186" i="8"/>
  <c r="L186" i="8"/>
  <c r="K186" i="8"/>
  <c r="S185" i="8"/>
  <c r="I182" i="8"/>
  <c r="N182" i="8" s="1"/>
  <c r="H182" i="8"/>
  <c r="M182" i="8" s="1"/>
  <c r="G182" i="8"/>
  <c r="L182" i="8" s="1"/>
  <c r="F182" i="8"/>
  <c r="K182" i="8" s="1"/>
  <c r="E182" i="8"/>
  <c r="J182" i="8" s="1"/>
  <c r="I181" i="8"/>
  <c r="H181" i="8"/>
  <c r="G181" i="8"/>
  <c r="F181" i="8"/>
  <c r="E181" i="8"/>
  <c r="I178" i="8"/>
  <c r="I180" i="8" s="1"/>
  <c r="H178" i="8"/>
  <c r="H180" i="8" s="1"/>
  <c r="G178" i="8"/>
  <c r="G180" i="8" s="1"/>
  <c r="F178" i="8"/>
  <c r="F180" i="8" s="1"/>
  <c r="E178" i="8"/>
  <c r="E180" i="8" s="1"/>
  <c r="I176" i="8"/>
  <c r="N176" i="8" s="1"/>
  <c r="H176" i="8"/>
  <c r="M176" i="8" s="1"/>
  <c r="G176" i="8"/>
  <c r="L176" i="8" s="1"/>
  <c r="F176" i="8"/>
  <c r="K176" i="8" s="1"/>
  <c r="E176" i="8"/>
  <c r="J176" i="8" s="1"/>
  <c r="I175" i="8"/>
  <c r="H175" i="8"/>
  <c r="G175" i="8"/>
  <c r="F175" i="8"/>
  <c r="E175" i="8"/>
  <c r="I172" i="8"/>
  <c r="I174" i="8" s="1"/>
  <c r="H172" i="8"/>
  <c r="H174" i="8" s="1"/>
  <c r="G172" i="8"/>
  <c r="G174" i="8" s="1"/>
  <c r="F172" i="8"/>
  <c r="F174" i="8" s="1"/>
  <c r="E172" i="8"/>
  <c r="E174" i="8" s="1"/>
  <c r="N170" i="8"/>
  <c r="M170" i="8"/>
  <c r="L170" i="8"/>
  <c r="K170" i="8"/>
  <c r="J170" i="8"/>
  <c r="I165" i="8"/>
  <c r="I167" i="8" s="1"/>
  <c r="H165" i="8"/>
  <c r="H167" i="8" s="1"/>
  <c r="G165" i="8"/>
  <c r="G167" i="8" s="1"/>
  <c r="F165" i="8"/>
  <c r="F167" i="8" s="1"/>
  <c r="E165" i="8"/>
  <c r="E167" i="8" s="1"/>
  <c r="I163" i="8"/>
  <c r="N163" i="8" s="1"/>
  <c r="H163" i="8"/>
  <c r="M163" i="8" s="1"/>
  <c r="G163" i="8"/>
  <c r="L163" i="8" s="1"/>
  <c r="F163" i="8"/>
  <c r="K163" i="8" s="1"/>
  <c r="E163" i="8"/>
  <c r="J163" i="8" s="1"/>
  <c r="I162" i="8"/>
  <c r="H162" i="8"/>
  <c r="G162" i="8"/>
  <c r="F162" i="8"/>
  <c r="E162" i="8"/>
  <c r="I161" i="8"/>
  <c r="H161" i="8"/>
  <c r="G161" i="8"/>
  <c r="F161" i="8"/>
  <c r="E161" i="8"/>
  <c r="I159" i="8"/>
  <c r="N159" i="8" s="1"/>
  <c r="H159" i="8"/>
  <c r="M159" i="8" s="1"/>
  <c r="I153" i="8"/>
  <c r="H153" i="8"/>
  <c r="G153" i="8"/>
  <c r="F153" i="8"/>
  <c r="E153" i="8"/>
  <c r="F159" i="8"/>
  <c r="K159" i="8" s="1"/>
  <c r="E159" i="8"/>
  <c r="J159" i="8" s="1"/>
  <c r="E158" i="8"/>
  <c r="I148" i="8"/>
  <c r="H148" i="8"/>
  <c r="G148" i="8"/>
  <c r="F148" i="8"/>
  <c r="E148" i="8"/>
  <c r="I145" i="8"/>
  <c r="H145" i="8"/>
  <c r="G145" i="8"/>
  <c r="F145" i="8"/>
  <c r="E145" i="8"/>
  <c r="I120" i="8"/>
  <c r="H120" i="8"/>
  <c r="G120" i="8"/>
  <c r="F120" i="8"/>
  <c r="E120" i="8"/>
  <c r="I112" i="8"/>
  <c r="H112" i="8"/>
  <c r="I107" i="8"/>
  <c r="H107" i="8"/>
  <c r="H136" i="8" s="1"/>
  <c r="M136" i="8" s="1"/>
  <c r="G107" i="8"/>
  <c r="G142" i="8" s="1"/>
  <c r="L142" i="8" s="1"/>
  <c r="F107" i="8"/>
  <c r="F142" i="8" s="1"/>
  <c r="K142" i="8" s="1"/>
  <c r="E107" i="8"/>
  <c r="I105" i="8"/>
  <c r="I109" i="8" s="1"/>
  <c r="H105" i="8"/>
  <c r="G103" i="8"/>
  <c r="F103" i="8"/>
  <c r="F105" i="8" s="1"/>
  <c r="E103" i="8"/>
  <c r="E105" i="8" s="1"/>
  <c r="I100" i="8"/>
  <c r="I135" i="8" s="1"/>
  <c r="H100" i="8"/>
  <c r="H141" i="8" s="1"/>
  <c r="G100" i="8"/>
  <c r="G141" i="8" s="1"/>
  <c r="F100" i="8"/>
  <c r="E100" i="8"/>
  <c r="E135" i="8" s="1"/>
  <c r="I99" i="8"/>
  <c r="I125" i="8" s="1"/>
  <c r="I127" i="8" s="1"/>
  <c r="H99" i="8"/>
  <c r="H125" i="8" s="1"/>
  <c r="H127" i="8" s="1"/>
  <c r="G99" i="8"/>
  <c r="G132" i="8" s="1"/>
  <c r="G134" i="8" s="1"/>
  <c r="F99" i="8"/>
  <c r="F138" i="8" s="1"/>
  <c r="F140" i="8" s="1"/>
  <c r="E99" i="8"/>
  <c r="E125" i="8" s="1"/>
  <c r="E127" i="8" s="1"/>
  <c r="I66" i="8"/>
  <c r="I67" i="8" s="1"/>
  <c r="H66" i="8"/>
  <c r="I61" i="8"/>
  <c r="I90" i="8" s="1"/>
  <c r="N90" i="8" s="1"/>
  <c r="H61" i="8"/>
  <c r="H90" i="8" s="1"/>
  <c r="M90" i="8" s="1"/>
  <c r="G61" i="8"/>
  <c r="G96" i="8" s="1"/>
  <c r="L96" i="8" s="1"/>
  <c r="F61" i="8"/>
  <c r="F77" i="8" s="1"/>
  <c r="E61" i="8"/>
  <c r="E67" i="8" s="1"/>
  <c r="I59" i="8"/>
  <c r="I63" i="8" s="1"/>
  <c r="H59" i="8"/>
  <c r="H63" i="8" s="1"/>
  <c r="G57" i="8"/>
  <c r="G59" i="8" s="1"/>
  <c r="F57" i="8"/>
  <c r="F59" i="8" s="1"/>
  <c r="E57" i="8"/>
  <c r="I54" i="8"/>
  <c r="I89" i="8" s="1"/>
  <c r="H54" i="8"/>
  <c r="H95" i="8" s="1"/>
  <c r="G54" i="8"/>
  <c r="G76" i="8" s="1"/>
  <c r="F54" i="8"/>
  <c r="F56" i="8" s="1"/>
  <c r="E54" i="8"/>
  <c r="E89" i="8" s="1"/>
  <c r="I53" i="8"/>
  <c r="I79" i="8" s="1"/>
  <c r="I81" i="8" s="1"/>
  <c r="H53" i="8"/>
  <c r="H75" i="8" s="1"/>
  <c r="G53" i="8"/>
  <c r="G86" i="8" s="1"/>
  <c r="G88" i="8" s="1"/>
  <c r="F53" i="8"/>
  <c r="F92" i="8" s="1"/>
  <c r="F94" i="8" s="1"/>
  <c r="E53" i="8"/>
  <c r="E79" i="8" s="1"/>
  <c r="E81" i="8" s="1"/>
  <c r="I20" i="8"/>
  <c r="H20" i="8"/>
  <c r="I15" i="8"/>
  <c r="I50" i="8" s="1"/>
  <c r="H15" i="8"/>
  <c r="G15" i="8"/>
  <c r="G31" i="8" s="1"/>
  <c r="F15" i="8"/>
  <c r="F44" i="8" s="1"/>
  <c r="E15" i="8"/>
  <c r="E50" i="8" s="1"/>
  <c r="I13" i="8"/>
  <c r="I17" i="8" s="1"/>
  <c r="H13" i="8"/>
  <c r="H17" i="8" s="1"/>
  <c r="G11" i="8"/>
  <c r="G13" i="8" s="1"/>
  <c r="F11" i="8"/>
  <c r="E11" i="8"/>
  <c r="E13" i="8" s="1"/>
  <c r="I8" i="8"/>
  <c r="H8" i="8"/>
  <c r="H30" i="8" s="1"/>
  <c r="G8" i="8"/>
  <c r="G43" i="8" s="1"/>
  <c r="F8" i="8"/>
  <c r="F49" i="8" s="1"/>
  <c r="E8" i="8"/>
  <c r="C6" i="8"/>
  <c r="H7" i="8" s="1"/>
  <c r="H21" i="8" l="1"/>
  <c r="F67" i="8"/>
  <c r="K540" i="8"/>
  <c r="H999" i="1"/>
  <c r="H1009" i="1"/>
  <c r="I540" i="8"/>
  <c r="H989" i="1"/>
  <c r="V706" i="1"/>
  <c r="U712" i="1"/>
  <c r="V715" i="1"/>
  <c r="R711" i="1"/>
  <c r="T713" i="1"/>
  <c r="V716" i="1"/>
  <c r="V705" i="1"/>
  <c r="Q712" i="1"/>
  <c r="U713" i="1"/>
  <c r="M1001" i="1"/>
  <c r="S711" i="1"/>
  <c r="Q713" i="1"/>
  <c r="P1055" i="1"/>
  <c r="T711" i="1"/>
  <c r="S712" i="1"/>
  <c r="R713" i="1"/>
  <c r="Q711" i="1"/>
  <c r="U711" i="1"/>
  <c r="T712" i="1"/>
  <c r="F412" i="8"/>
  <c r="R339" i="8"/>
  <c r="S341" i="8"/>
  <c r="I558" i="8"/>
  <c r="G554" i="8"/>
  <c r="O554" i="8"/>
  <c r="O576" i="8" s="1"/>
  <c r="P553" i="8"/>
  <c r="O558" i="8"/>
  <c r="O561" i="8"/>
  <c r="O573" i="8"/>
  <c r="P433" i="8"/>
  <c r="P563" i="8"/>
  <c r="I95" i="8"/>
  <c r="E58" i="8"/>
  <c r="F30" i="8"/>
  <c r="I72" i="8"/>
  <c r="G243" i="8"/>
  <c r="F305" i="8"/>
  <c r="F318" i="8" s="1"/>
  <c r="L318" i="8" s="1"/>
  <c r="M769" i="1" s="1"/>
  <c r="I314" i="8"/>
  <c r="E317" i="8"/>
  <c r="F75" i="8"/>
  <c r="I243" i="8"/>
  <c r="I536" i="8"/>
  <c r="I544" i="8"/>
  <c r="I573" i="8"/>
  <c r="K536" i="8"/>
  <c r="K544" i="8"/>
  <c r="K568" i="8"/>
  <c r="K573" i="8"/>
  <c r="P557" i="8"/>
  <c r="P452" i="8"/>
  <c r="K616" i="8"/>
  <c r="K619" i="8" s="1"/>
  <c r="K620" i="8" s="1"/>
  <c r="I664" i="8"/>
  <c r="W683" i="8"/>
  <c r="Y683" i="8" s="1"/>
  <c r="W684" i="8"/>
  <c r="Y684" i="8" s="1"/>
  <c r="H338" i="8"/>
  <c r="N338" i="8" s="1"/>
  <c r="O1006" i="1" s="1"/>
  <c r="P401" i="8"/>
  <c r="P427" i="8"/>
  <c r="G67" i="8"/>
  <c r="I76" i="8"/>
  <c r="H305" i="8"/>
  <c r="G314" i="8"/>
  <c r="G317" i="8" s="1"/>
  <c r="F21" i="8"/>
  <c r="E56" i="8"/>
  <c r="I58" i="8"/>
  <c r="H67" i="8"/>
  <c r="E72" i="8"/>
  <c r="F79" i="8"/>
  <c r="F81" i="8" s="1"/>
  <c r="H102" i="8"/>
  <c r="H104" i="8"/>
  <c r="G109" i="8"/>
  <c r="E243" i="8"/>
  <c r="R334" i="8"/>
  <c r="H1029" i="1" s="1"/>
  <c r="S343" i="8"/>
  <c r="W472" i="8"/>
  <c r="Y472" i="8" s="1"/>
  <c r="AF472" i="8"/>
  <c r="AH472" i="8" s="1"/>
  <c r="P486" i="8"/>
  <c r="I534" i="8"/>
  <c r="I538" i="8"/>
  <c r="I542" i="8"/>
  <c r="I546" i="8"/>
  <c r="M554" i="8"/>
  <c r="I561" i="8"/>
  <c r="M561" i="8"/>
  <c r="O564" i="8"/>
  <c r="K527" i="8"/>
  <c r="K528" i="8" s="1"/>
  <c r="K534" i="8"/>
  <c r="K538" i="8"/>
  <c r="K542" i="8"/>
  <c r="K546" i="8"/>
  <c r="K561" i="8"/>
  <c r="I568" i="8"/>
  <c r="M568" i="8"/>
  <c r="P631" i="8"/>
  <c r="K500" i="8"/>
  <c r="K602" i="8"/>
  <c r="W606" i="8"/>
  <c r="Y606" i="8" s="1"/>
  <c r="I463" i="8"/>
  <c r="K641" i="8"/>
  <c r="P206" i="8"/>
  <c r="W430" i="8"/>
  <c r="Y430" i="8" s="1"/>
  <c r="G149" i="8"/>
  <c r="G158" i="8" s="1"/>
  <c r="M418" i="8"/>
  <c r="I449" i="8"/>
  <c r="I616" i="8"/>
  <c r="I619" i="8" s="1"/>
  <c r="W623" i="8"/>
  <c r="Y623" i="8" s="1"/>
  <c r="K449" i="8"/>
  <c r="P563" i="1"/>
  <c r="P565" i="1"/>
  <c r="I65" i="8"/>
  <c r="E7" i="8"/>
  <c r="E33" i="8" s="1"/>
  <c r="F12" i="8"/>
  <c r="G21" i="8"/>
  <c r="F90" i="8"/>
  <c r="K90" i="8" s="1"/>
  <c r="H106" i="8"/>
  <c r="H109" i="8"/>
  <c r="G113" i="8"/>
  <c r="G123" i="8"/>
  <c r="L123" i="8" s="1"/>
  <c r="E220" i="8"/>
  <c r="E248" i="8" s="1"/>
  <c r="M565" i="1"/>
  <c r="M563" i="1"/>
  <c r="L565" i="1"/>
  <c r="G305" i="8"/>
  <c r="F314" i="8"/>
  <c r="S321" i="8"/>
  <c r="E320" i="8"/>
  <c r="K320" i="8" s="1"/>
  <c r="L789" i="1" s="1"/>
  <c r="K333" i="8"/>
  <c r="L1004" i="1" s="1"/>
  <c r="P396" i="8"/>
  <c r="P422" i="8"/>
  <c r="O425" i="8"/>
  <c r="P429" i="8"/>
  <c r="E90" i="8"/>
  <c r="J90" i="8" s="1"/>
  <c r="G10" i="8"/>
  <c r="N565" i="1"/>
  <c r="N563" i="1"/>
  <c r="P430" i="8"/>
  <c r="F10" i="8"/>
  <c r="G50" i="8"/>
  <c r="L50" i="8" s="1"/>
  <c r="E63" i="8"/>
  <c r="F7" i="8"/>
  <c r="F40" i="8" s="1"/>
  <c r="F42" i="8" s="1"/>
  <c r="G56" i="8"/>
  <c r="F63" i="8"/>
  <c r="G79" i="8"/>
  <c r="G81" i="8" s="1"/>
  <c r="H117" i="8"/>
  <c r="P291" i="8"/>
  <c r="E318" i="8"/>
  <c r="E321" i="8" s="1"/>
  <c r="I7" i="8"/>
  <c r="I33" i="8" s="1"/>
  <c r="I35" i="8" s="1"/>
  <c r="H10" i="8"/>
  <c r="H12" i="8"/>
  <c r="F17" i="8"/>
  <c r="I21" i="8"/>
  <c r="F26" i="8"/>
  <c r="F37" i="8" s="1"/>
  <c r="I56" i="8"/>
  <c r="G58" i="8"/>
  <c r="I60" i="8"/>
  <c r="G63" i="8"/>
  <c r="F71" i="8"/>
  <c r="F82" i="8" s="1"/>
  <c r="E76" i="8"/>
  <c r="E95" i="8"/>
  <c r="G102" i="8"/>
  <c r="G104" i="8"/>
  <c r="H113" i="8"/>
  <c r="G118" i="8"/>
  <c r="G129" i="8" s="1"/>
  <c r="P186" i="8"/>
  <c r="O565" i="1"/>
  <c r="O563" i="1"/>
  <c r="S333" i="8"/>
  <c r="P398" i="8"/>
  <c r="P403" i="8"/>
  <c r="K420" i="8"/>
  <c r="M420" i="8"/>
  <c r="G17" i="8"/>
  <c r="H128" i="8"/>
  <c r="K273" i="8"/>
  <c r="E282" i="8"/>
  <c r="K282" i="8" s="1"/>
  <c r="L708" i="1" s="1"/>
  <c r="Q708" i="1" s="1"/>
  <c r="F273" i="8"/>
  <c r="F282" i="8" s="1"/>
  <c r="L282" i="8" s="1"/>
  <c r="M708" i="1" s="1"/>
  <c r="R708" i="1" s="1"/>
  <c r="I338" i="8"/>
  <c r="O338" i="8" s="1"/>
  <c r="P1006" i="1" s="1"/>
  <c r="O333" i="8"/>
  <c r="P1004" i="1" s="1"/>
  <c r="O533" i="8"/>
  <c r="O535" i="8"/>
  <c r="O537" i="8"/>
  <c r="O539" i="8"/>
  <c r="O541" i="8"/>
  <c r="O543" i="8"/>
  <c r="O545" i="8"/>
  <c r="W625" i="8"/>
  <c r="Y625" i="8" s="1"/>
  <c r="P630" i="8"/>
  <c r="P646" i="8"/>
  <c r="K668" i="8"/>
  <c r="P434" i="8"/>
  <c r="K446" i="8"/>
  <c r="G453" i="8"/>
  <c r="P468" i="8"/>
  <c r="P472" i="8"/>
  <c r="P524" i="8"/>
  <c r="M547" i="8"/>
  <c r="G533" i="8"/>
  <c r="G535" i="8"/>
  <c r="G537" i="8"/>
  <c r="G539" i="8"/>
  <c r="G541" i="8"/>
  <c r="G543" i="8"/>
  <c r="G545" i="8"/>
  <c r="P556" i="8"/>
  <c r="G558" i="8"/>
  <c r="P562" i="8"/>
  <c r="G564" i="8"/>
  <c r="W607" i="8"/>
  <c r="Y607" i="8" s="1"/>
  <c r="P448" i="8"/>
  <c r="P451" i="8"/>
  <c r="W474" i="8"/>
  <c r="Y474" i="8" s="1"/>
  <c r="AF474" i="8"/>
  <c r="AH474" i="8" s="1"/>
  <c r="W475" i="8"/>
  <c r="Y475" i="8" s="1"/>
  <c r="P494" i="8"/>
  <c r="P506" i="8"/>
  <c r="P508" i="8"/>
  <c r="P525" i="8"/>
  <c r="W525" i="8"/>
  <c r="Y525" i="8" s="1"/>
  <c r="I533" i="8"/>
  <c r="O534" i="8"/>
  <c r="I535" i="8"/>
  <c r="O536" i="8"/>
  <c r="I537" i="8"/>
  <c r="O538" i="8"/>
  <c r="I539" i="8"/>
  <c r="O540" i="8"/>
  <c r="I541" i="8"/>
  <c r="O542" i="8"/>
  <c r="I543" i="8"/>
  <c r="O544" i="8"/>
  <c r="P544" i="8" s="1"/>
  <c r="I545" i="8"/>
  <c r="O546" i="8"/>
  <c r="K554" i="8"/>
  <c r="M558" i="8"/>
  <c r="M576" i="8" s="1"/>
  <c r="P560" i="8"/>
  <c r="I564" i="8"/>
  <c r="I575" i="8" s="1"/>
  <c r="M564" i="8"/>
  <c r="P566" i="8"/>
  <c r="M573" i="8"/>
  <c r="P572" i="8"/>
  <c r="K581" i="8"/>
  <c r="P585" i="8"/>
  <c r="W586" i="8"/>
  <c r="Y586" i="8" s="1"/>
  <c r="K592" i="8"/>
  <c r="I594" i="8"/>
  <c r="G602" i="8"/>
  <c r="P602" i="8" s="1"/>
  <c r="P618" i="8"/>
  <c r="G628" i="8"/>
  <c r="P643" i="8"/>
  <c r="P654" i="8"/>
  <c r="P656" i="8"/>
  <c r="I665" i="8"/>
  <c r="G668" i="8"/>
  <c r="E319" i="8"/>
  <c r="K319" i="8" s="1"/>
  <c r="L779" i="1" s="1"/>
  <c r="S338" i="8"/>
  <c r="P343" i="8"/>
  <c r="C356" i="8"/>
  <c r="C383" i="8"/>
  <c r="P395" i="8"/>
  <c r="P404" i="8"/>
  <c r="AF471" i="8"/>
  <c r="AH471" i="8" s="1"/>
  <c r="AF475" i="8"/>
  <c r="AH475" i="8" s="1"/>
  <c r="I500" i="8"/>
  <c r="P522" i="8"/>
  <c r="G527" i="8"/>
  <c r="O527" i="8"/>
  <c r="O528" i="8" s="1"/>
  <c r="P526" i="8"/>
  <c r="W526" i="8"/>
  <c r="Y526" i="8" s="1"/>
  <c r="K533" i="8"/>
  <c r="G534" i="8"/>
  <c r="P534" i="8" s="1"/>
  <c r="K535" i="8"/>
  <c r="G536" i="8"/>
  <c r="K537" i="8"/>
  <c r="G538" i="8"/>
  <c r="P538" i="8" s="1"/>
  <c r="K539" i="8"/>
  <c r="G540" i="8"/>
  <c r="K541" i="8"/>
  <c r="G542" i="8"/>
  <c r="K543" i="8"/>
  <c r="G544" i="8"/>
  <c r="K545" i="8"/>
  <c r="G546" i="8"/>
  <c r="P546" i="8" s="1"/>
  <c r="P552" i="8"/>
  <c r="K558" i="8"/>
  <c r="P559" i="8"/>
  <c r="G561" i="8"/>
  <c r="G575" i="8" s="1"/>
  <c r="K564" i="8"/>
  <c r="K575" i="8" s="1"/>
  <c r="G568" i="8"/>
  <c r="O568" i="8"/>
  <c r="P567" i="8"/>
  <c r="P571" i="8"/>
  <c r="G573" i="8"/>
  <c r="W587" i="8"/>
  <c r="Y587" i="8" s="1"/>
  <c r="W588" i="8"/>
  <c r="Y588" i="8" s="1"/>
  <c r="M592" i="8"/>
  <c r="K594" i="8"/>
  <c r="I602" i="8"/>
  <c r="P605" i="8"/>
  <c r="W605" i="8"/>
  <c r="Y605" i="8" s="1"/>
  <c r="P609" i="8"/>
  <c r="W609" i="8"/>
  <c r="Y609" i="8" s="1"/>
  <c r="G616" i="8"/>
  <c r="G619" i="8" s="1"/>
  <c r="W626" i="8"/>
  <c r="Y626" i="8" s="1"/>
  <c r="W627" i="8"/>
  <c r="Y627" i="8" s="1"/>
  <c r="K628" i="8"/>
  <c r="P633" i="8"/>
  <c r="P644" i="8"/>
  <c r="I668" i="8"/>
  <c r="W681" i="8"/>
  <c r="Y681" i="8" s="1"/>
  <c r="E227" i="8"/>
  <c r="E228" i="8"/>
  <c r="E229" i="8" s="1"/>
  <c r="E249" i="8" s="1"/>
  <c r="K249" i="8" s="1"/>
  <c r="O604" i="8"/>
  <c r="G442" i="8"/>
  <c r="I444" i="8"/>
  <c r="I453" i="8"/>
  <c r="I455" i="8"/>
  <c r="K463" i="8"/>
  <c r="G469" i="8"/>
  <c r="W473" i="8"/>
  <c r="Y473" i="8" s="1"/>
  <c r="G482" i="8"/>
  <c r="I484" i="8"/>
  <c r="O500" i="8"/>
  <c r="W524" i="8"/>
  <c r="Y524" i="8" s="1"/>
  <c r="W527" i="8"/>
  <c r="W589" i="8"/>
  <c r="Y589" i="8" s="1"/>
  <c r="W590" i="8"/>
  <c r="Y590" i="8" s="1"/>
  <c r="G604" i="8"/>
  <c r="E278" i="8"/>
  <c r="K278" i="8" s="1"/>
  <c r="O331" i="8"/>
  <c r="P984" i="1" s="1"/>
  <c r="E336" i="8"/>
  <c r="K336" i="8" s="1"/>
  <c r="L986" i="1" s="1"/>
  <c r="O393" i="8"/>
  <c r="O423" i="8"/>
  <c r="H149" i="8"/>
  <c r="H158" i="8" s="1"/>
  <c r="O604" i="1"/>
  <c r="P604" i="1"/>
  <c r="M604" i="1"/>
  <c r="L604" i="1"/>
  <c r="N604" i="1"/>
  <c r="I336" i="8"/>
  <c r="O336" i="8" s="1"/>
  <c r="P986" i="1" s="1"/>
  <c r="C360" i="8"/>
  <c r="G393" i="8"/>
  <c r="G423" i="8"/>
  <c r="I149" i="8"/>
  <c r="I158" i="8" s="1"/>
  <c r="P293" i="8"/>
  <c r="I393" i="8"/>
  <c r="G420" i="8"/>
  <c r="I423" i="8"/>
  <c r="K425" i="8"/>
  <c r="W427" i="8"/>
  <c r="Y427" i="8" s="1"/>
  <c r="F149" i="8"/>
  <c r="F158" i="8" s="1"/>
  <c r="P196" i="8"/>
  <c r="P292" i="8"/>
  <c r="K331" i="8"/>
  <c r="L984" i="1" s="1"/>
  <c r="K393" i="8"/>
  <c r="K405" i="8" s="1"/>
  <c r="K406" i="8" s="1"/>
  <c r="K418" i="8"/>
  <c r="I420" i="8"/>
  <c r="K423" i="8"/>
  <c r="M425" i="8"/>
  <c r="W425" i="8"/>
  <c r="Y425" i="8" s="1"/>
  <c r="W428" i="8"/>
  <c r="Y428" i="8" s="1"/>
  <c r="I442" i="8"/>
  <c r="K444" i="8"/>
  <c r="K453" i="8"/>
  <c r="K455" i="8"/>
  <c r="I469" i="8"/>
  <c r="W471" i="8"/>
  <c r="Y471" i="8" s="1"/>
  <c r="AF473" i="8"/>
  <c r="AH473" i="8" s="1"/>
  <c r="K482" i="8"/>
  <c r="K487" i="8" s="1"/>
  <c r="G500" i="8"/>
  <c r="W506" i="8"/>
  <c r="Y506" i="8" s="1"/>
  <c r="W508" i="8"/>
  <c r="Y508" i="8" s="1"/>
  <c r="W509" i="8"/>
  <c r="Y509" i="8" s="1"/>
  <c r="O602" i="8"/>
  <c r="I604" i="8"/>
  <c r="O442" i="8"/>
  <c r="O453" i="8"/>
  <c r="K469" i="8"/>
  <c r="O482" i="8"/>
  <c r="W507" i="8"/>
  <c r="Y507" i="8" s="1"/>
  <c r="K604" i="8"/>
  <c r="K626" i="8"/>
  <c r="O628" i="8"/>
  <c r="K652" i="8"/>
  <c r="K657" i="8" s="1"/>
  <c r="G664" i="8"/>
  <c r="K666" i="8"/>
  <c r="W680" i="8"/>
  <c r="Y680" i="8" s="1"/>
  <c r="O626" i="8"/>
  <c r="O652" i="8"/>
  <c r="O657" i="8" s="1"/>
  <c r="W608" i="8"/>
  <c r="Y608" i="8" s="1"/>
  <c r="O616" i="8"/>
  <c r="O619" i="8" s="1"/>
  <c r="W624" i="8"/>
  <c r="Y624" i="8" s="1"/>
  <c r="G626" i="8"/>
  <c r="I628" i="8"/>
  <c r="I639" i="8"/>
  <c r="G652" i="8"/>
  <c r="G657" i="8" s="1"/>
  <c r="K664" i="8"/>
  <c r="K665" i="8"/>
  <c r="O668" i="8"/>
  <c r="W682" i="8"/>
  <c r="Y682" i="8" s="1"/>
  <c r="I626" i="8"/>
  <c r="K639" i="8"/>
  <c r="I652" i="8"/>
  <c r="I657" i="8" s="1"/>
  <c r="I658" i="8" s="1"/>
  <c r="O664" i="8"/>
  <c r="Y527" i="8"/>
  <c r="J50" i="8"/>
  <c r="N33" i="8"/>
  <c r="K44" i="8"/>
  <c r="H46" i="8"/>
  <c r="H48" i="8" s="1"/>
  <c r="H33" i="8"/>
  <c r="H29" i="8"/>
  <c r="H25" i="8"/>
  <c r="H40" i="8"/>
  <c r="E19" i="8"/>
  <c r="E14" i="8"/>
  <c r="L31" i="8"/>
  <c r="H157" i="8"/>
  <c r="F60" i="8"/>
  <c r="F65" i="8"/>
  <c r="E106" i="8"/>
  <c r="E111" i="8"/>
  <c r="E35" i="8"/>
  <c r="J33" i="8"/>
  <c r="G19" i="8"/>
  <c r="G14" i="8"/>
  <c r="N50" i="8"/>
  <c r="G60" i="8"/>
  <c r="G65" i="8"/>
  <c r="F111" i="8"/>
  <c r="F106" i="8"/>
  <c r="G12" i="8"/>
  <c r="F13" i="8"/>
  <c r="I14" i="8"/>
  <c r="E26" i="8"/>
  <c r="I26" i="8"/>
  <c r="H27" i="8"/>
  <c r="H38" i="8" s="1"/>
  <c r="E30" i="8"/>
  <c r="I30" i="8"/>
  <c r="H31" i="8"/>
  <c r="H43" i="8"/>
  <c r="G44" i="8"/>
  <c r="G49" i="8"/>
  <c r="F50" i="8"/>
  <c r="F58" i="8"/>
  <c r="E59" i="8"/>
  <c r="H60" i="8"/>
  <c r="E71" i="8"/>
  <c r="E82" i="8" s="1"/>
  <c r="I71" i="8"/>
  <c r="I82" i="8" s="1"/>
  <c r="H72" i="8"/>
  <c r="H83" i="8" s="1"/>
  <c r="G73" i="8"/>
  <c r="L73" i="8" s="1"/>
  <c r="E75" i="8"/>
  <c r="I75" i="8"/>
  <c r="H76" i="8"/>
  <c r="G77" i="8"/>
  <c r="G197" i="8" s="1"/>
  <c r="M197" i="8" s="1"/>
  <c r="N642" i="1" s="1"/>
  <c r="H86" i="8"/>
  <c r="H88" i="8" s="1"/>
  <c r="F89" i="8"/>
  <c r="G92" i="8"/>
  <c r="G94" i="8" s="1"/>
  <c r="H96" i="8"/>
  <c r="M96" i="8" s="1"/>
  <c r="G105" i="8"/>
  <c r="G117" i="8"/>
  <c r="F118" i="8"/>
  <c r="F129" i="8" s="1"/>
  <c r="E119" i="8"/>
  <c r="J119" i="8" s="1"/>
  <c r="I119" i="8"/>
  <c r="N119" i="8" s="1"/>
  <c r="F121" i="8"/>
  <c r="E122" i="8"/>
  <c r="I122" i="8"/>
  <c r="H123" i="8"/>
  <c r="M123" i="8" s="1"/>
  <c r="F125" i="8"/>
  <c r="F127" i="8" s="1"/>
  <c r="H132" i="8"/>
  <c r="H134" i="8" s="1"/>
  <c r="F135" i="8"/>
  <c r="E136" i="8"/>
  <c r="J136" i="8" s="1"/>
  <c r="I136" i="8"/>
  <c r="N136" i="8" s="1"/>
  <c r="G138" i="8"/>
  <c r="G140" i="8" s="1"/>
  <c r="E141" i="8"/>
  <c r="I141" i="8"/>
  <c r="H142" i="8"/>
  <c r="M142" i="8" s="1"/>
  <c r="E157" i="8"/>
  <c r="G159" i="8"/>
  <c r="L159" i="8" s="1"/>
  <c r="J254" i="8"/>
  <c r="K269" i="8"/>
  <c r="I27" i="8"/>
  <c r="E31" i="8"/>
  <c r="E43" i="8"/>
  <c r="E209" i="8" s="1"/>
  <c r="H44" i="8"/>
  <c r="H73" i="8"/>
  <c r="M73" i="8" s="1"/>
  <c r="H77" i="8"/>
  <c r="E86" i="8"/>
  <c r="E88" i="8" s="1"/>
  <c r="I86" i="8"/>
  <c r="I88" i="8" s="1"/>
  <c r="G89" i="8"/>
  <c r="H92" i="8"/>
  <c r="H94" i="8" s="1"/>
  <c r="F95" i="8"/>
  <c r="E96" i="8"/>
  <c r="J96" i="8" s="1"/>
  <c r="I96" i="8"/>
  <c r="N96" i="8" s="1"/>
  <c r="E102" i="8"/>
  <c r="I102" i="8"/>
  <c r="E104" i="8"/>
  <c r="I104" i="8"/>
  <c r="E109" i="8"/>
  <c r="H111" i="8"/>
  <c r="E113" i="8"/>
  <c r="I113" i="8"/>
  <c r="F119" i="8"/>
  <c r="K119" i="8" s="1"/>
  <c r="G121" i="8"/>
  <c r="F122" i="8"/>
  <c r="E123" i="8"/>
  <c r="J123" i="8" s="1"/>
  <c r="I123" i="8"/>
  <c r="N123" i="8" s="1"/>
  <c r="G125" i="8"/>
  <c r="G127" i="8" s="1"/>
  <c r="E132" i="8"/>
  <c r="E134" i="8" s="1"/>
  <c r="I132" i="8"/>
  <c r="I134" i="8" s="1"/>
  <c r="G135" i="8"/>
  <c r="F136" i="8"/>
  <c r="K136" i="8" s="1"/>
  <c r="H138" i="8"/>
  <c r="H140" i="8" s="1"/>
  <c r="F141" i="8"/>
  <c r="E142" i="8"/>
  <c r="J142" i="8" s="1"/>
  <c r="I142" i="8"/>
  <c r="N142" i="8" s="1"/>
  <c r="E250" i="8"/>
  <c r="F234" i="8"/>
  <c r="K257" i="8"/>
  <c r="L563" i="1" s="1"/>
  <c r="J257" i="8"/>
  <c r="E27" i="8"/>
  <c r="E38" i="8" s="1"/>
  <c r="I31" i="8"/>
  <c r="I43" i="8"/>
  <c r="I209" i="8" s="1"/>
  <c r="O209" i="8" s="1"/>
  <c r="P534" i="1" s="1"/>
  <c r="H49" i="8"/>
  <c r="H210" i="8" s="1"/>
  <c r="N210" i="8" s="1"/>
  <c r="O544" i="1" s="1"/>
  <c r="G7" i="8"/>
  <c r="E10" i="8"/>
  <c r="I10" i="8"/>
  <c r="E12" i="8"/>
  <c r="I12" i="8"/>
  <c r="E17" i="8"/>
  <c r="H19" i="8"/>
  <c r="E21" i="8"/>
  <c r="G26" i="8"/>
  <c r="F27" i="8"/>
  <c r="G30" i="8"/>
  <c r="F31" i="8"/>
  <c r="E40" i="8"/>
  <c r="F43" i="8"/>
  <c r="E44" i="8"/>
  <c r="I44" i="8"/>
  <c r="E49" i="8"/>
  <c r="I49" i="8"/>
  <c r="H50" i="8"/>
  <c r="H56" i="8"/>
  <c r="H58" i="8"/>
  <c r="G71" i="8"/>
  <c r="G82" i="8" s="1"/>
  <c r="F72" i="8"/>
  <c r="F83" i="8" s="1"/>
  <c r="E73" i="8"/>
  <c r="J73" i="8" s="1"/>
  <c r="I73" i="8"/>
  <c r="N73" i="8" s="1"/>
  <c r="G75" i="8"/>
  <c r="F76" i="8"/>
  <c r="E77" i="8"/>
  <c r="I77" i="8"/>
  <c r="H79" i="8"/>
  <c r="H81" i="8" s="1"/>
  <c r="E83" i="8"/>
  <c r="I83" i="8"/>
  <c r="F86" i="8"/>
  <c r="F88" i="8" s="1"/>
  <c r="H89" i="8"/>
  <c r="G90" i="8"/>
  <c r="L90" i="8" s="1"/>
  <c r="E92" i="8"/>
  <c r="E94" i="8" s="1"/>
  <c r="I92" i="8"/>
  <c r="I94" i="8" s="1"/>
  <c r="G95" i="8"/>
  <c r="F96" i="8"/>
  <c r="K96" i="8" s="1"/>
  <c r="F102" i="8"/>
  <c r="F104" i="8"/>
  <c r="F109" i="8"/>
  <c r="I111" i="8"/>
  <c r="F113" i="8"/>
  <c r="E117" i="8"/>
  <c r="E128" i="8" s="1"/>
  <c r="I117" i="8"/>
  <c r="I128" i="8" s="1"/>
  <c r="H118" i="8"/>
  <c r="H129" i="8" s="1"/>
  <c r="G119" i="8"/>
  <c r="L119" i="8" s="1"/>
  <c r="H121" i="8"/>
  <c r="G122" i="8"/>
  <c r="F123" i="8"/>
  <c r="K123" i="8" s="1"/>
  <c r="F132" i="8"/>
  <c r="F134" i="8" s="1"/>
  <c r="H135" i="8"/>
  <c r="G136" i="8"/>
  <c r="L136" i="8" s="1"/>
  <c r="E138" i="8"/>
  <c r="E140" i="8" s="1"/>
  <c r="I138" i="8"/>
  <c r="I140" i="8" s="1"/>
  <c r="E251" i="8"/>
  <c r="F236" i="8"/>
  <c r="P253" i="8"/>
  <c r="P254" i="8"/>
  <c r="P256" i="8"/>
  <c r="K284" i="8"/>
  <c r="H14" i="8"/>
  <c r="I19" i="8"/>
  <c r="E25" i="8"/>
  <c r="I25" i="8"/>
  <c r="H26" i="8"/>
  <c r="G27" i="8"/>
  <c r="E29" i="8"/>
  <c r="I29" i="8"/>
  <c r="H65" i="8"/>
  <c r="H71" i="8"/>
  <c r="G72" i="8"/>
  <c r="G83" i="8" s="1"/>
  <c r="F73" i="8"/>
  <c r="I106" i="8"/>
  <c r="F117" i="8"/>
  <c r="E118" i="8"/>
  <c r="E129" i="8" s="1"/>
  <c r="I118" i="8"/>
  <c r="I129" i="8" s="1"/>
  <c r="H119" i="8"/>
  <c r="M119" i="8" s="1"/>
  <c r="E121" i="8"/>
  <c r="I121" i="8"/>
  <c r="H122" i="8"/>
  <c r="K248" i="8"/>
  <c r="L458" i="1" s="1"/>
  <c r="K252" i="8"/>
  <c r="L594" i="1" s="1"/>
  <c r="J253" i="8"/>
  <c r="K289" i="8"/>
  <c r="J256" i="8"/>
  <c r="E270" i="8"/>
  <c r="F283" i="8"/>
  <c r="L283" i="8" s="1"/>
  <c r="M718" i="1" s="1"/>
  <c r="L274" i="8"/>
  <c r="G274" i="8"/>
  <c r="G319" i="8"/>
  <c r="M319" i="8" s="1"/>
  <c r="N779" i="1" s="1"/>
  <c r="H341" i="8"/>
  <c r="N341" i="8" s="1"/>
  <c r="O987" i="1" s="1"/>
  <c r="H336" i="8"/>
  <c r="N336" i="8" s="1"/>
  <c r="O986" i="1" s="1"/>
  <c r="N331" i="8"/>
  <c r="O984" i="1" s="1"/>
  <c r="M332" i="8"/>
  <c r="N994" i="1" s="1"/>
  <c r="G342" i="8"/>
  <c r="M342" i="8" s="1"/>
  <c r="G337" i="8"/>
  <c r="M337" i="8" s="1"/>
  <c r="N996" i="1" s="1"/>
  <c r="F238" i="8"/>
  <c r="H243" i="8"/>
  <c r="F263" i="8"/>
  <c r="E281" i="8"/>
  <c r="K281" i="8" s="1"/>
  <c r="E280" i="8"/>
  <c r="E279" i="8"/>
  <c r="E271" i="8"/>
  <c r="G273" i="8"/>
  <c r="H337" i="8"/>
  <c r="N337" i="8" s="1"/>
  <c r="O996" i="1" s="1"/>
  <c r="N332" i="8"/>
  <c r="O994" i="1" s="1"/>
  <c r="H342" i="8"/>
  <c r="N342" i="8" s="1"/>
  <c r="O997" i="1" s="1"/>
  <c r="E230" i="8"/>
  <c r="E231" i="8" s="1"/>
  <c r="E255" i="8" s="1"/>
  <c r="F279" i="8"/>
  <c r="L279" i="8" s="1"/>
  <c r="M680" i="1" s="1"/>
  <c r="F278" i="8"/>
  <c r="L278" i="8" s="1"/>
  <c r="E290" i="8"/>
  <c r="E288" i="8"/>
  <c r="E272" i="8"/>
  <c r="F471" i="8" s="1"/>
  <c r="G471" i="8" s="1"/>
  <c r="K275" i="8"/>
  <c r="F275" i="8"/>
  <c r="F280" i="8"/>
  <c r="L280" i="8" s="1"/>
  <c r="E287" i="8"/>
  <c r="F336" i="8"/>
  <c r="L336" i="8" s="1"/>
  <c r="M986" i="1" s="1"/>
  <c r="L331" i="8"/>
  <c r="M984" i="1" s="1"/>
  <c r="F341" i="8"/>
  <c r="J331" i="8"/>
  <c r="J332" i="8"/>
  <c r="E342" i="8"/>
  <c r="K332" i="8"/>
  <c r="L994" i="1" s="1"/>
  <c r="E337" i="8"/>
  <c r="I337" i="8"/>
  <c r="O337" i="8" s="1"/>
  <c r="P996" i="1" s="1"/>
  <c r="I342" i="8"/>
  <c r="O342" i="8" s="1"/>
  <c r="P997" i="1" s="1"/>
  <c r="O332" i="8"/>
  <c r="P994" i="1" s="1"/>
  <c r="K338" i="8"/>
  <c r="L1006" i="1" s="1"/>
  <c r="G219" i="8"/>
  <c r="F226" i="8"/>
  <c r="G264" i="8"/>
  <c r="F265" i="8"/>
  <c r="E283" i="8"/>
  <c r="K274" i="8"/>
  <c r="K317" i="8"/>
  <c r="L759" i="1" s="1"/>
  <c r="F338" i="8"/>
  <c r="L338" i="8" s="1"/>
  <c r="M1006" i="1" s="1"/>
  <c r="L333" i="8"/>
  <c r="J333" i="8"/>
  <c r="G338" i="8"/>
  <c r="M338" i="8" s="1"/>
  <c r="N1006" i="1" s="1"/>
  <c r="O391" i="8"/>
  <c r="F337" i="8"/>
  <c r="L337" i="8" s="1"/>
  <c r="M996" i="1" s="1"/>
  <c r="C372" i="8"/>
  <c r="G391" i="8"/>
  <c r="P402" i="8"/>
  <c r="W426" i="8"/>
  <c r="Y426" i="8" s="1"/>
  <c r="O495" i="8"/>
  <c r="O496" i="8" s="1"/>
  <c r="H314" i="8"/>
  <c r="G336" i="8"/>
  <c r="M336" i="8" s="1"/>
  <c r="N986" i="1" s="1"/>
  <c r="M331" i="8"/>
  <c r="N984" i="1" s="1"/>
  <c r="L332" i="8"/>
  <c r="M994" i="1" s="1"/>
  <c r="S336" i="8"/>
  <c r="G341" i="8"/>
  <c r="M341" i="8" s="1"/>
  <c r="I391" i="8"/>
  <c r="P399" i="8"/>
  <c r="O418" i="8"/>
  <c r="I487" i="8"/>
  <c r="I488" i="8" s="1"/>
  <c r="I305" i="8"/>
  <c r="M391" i="8"/>
  <c r="P397" i="8"/>
  <c r="G418" i="8"/>
  <c r="O420" i="8"/>
  <c r="M442" i="8"/>
  <c r="G444" i="8"/>
  <c r="O444" i="8"/>
  <c r="I446" i="8"/>
  <c r="G449" i="8"/>
  <c r="O449" i="8"/>
  <c r="G455" i="8"/>
  <c r="O455" i="8"/>
  <c r="G463" i="8"/>
  <c r="K465" i="8"/>
  <c r="M484" i="8"/>
  <c r="I492" i="8"/>
  <c r="O502" i="8"/>
  <c r="G502" i="8"/>
  <c r="K504" i="8"/>
  <c r="M465" i="8"/>
  <c r="M482" i="8"/>
  <c r="G484" i="8"/>
  <c r="O484" i="8"/>
  <c r="K492" i="8"/>
  <c r="I502" i="8"/>
  <c r="M446" i="8"/>
  <c r="G465" i="8"/>
  <c r="M492" i="8"/>
  <c r="O504" i="8"/>
  <c r="G504" i="8"/>
  <c r="P573" i="8"/>
  <c r="G446" i="8"/>
  <c r="G492" i="8"/>
  <c r="M502" i="8"/>
  <c r="I504" i="8"/>
  <c r="P507" i="8"/>
  <c r="P523" i="8"/>
  <c r="I527" i="8"/>
  <c r="G528" i="8"/>
  <c r="I554" i="8"/>
  <c r="P569" i="8"/>
  <c r="P570" i="8" s="1"/>
  <c r="O581" i="8"/>
  <c r="K583" i="8"/>
  <c r="M634" i="8"/>
  <c r="M635" i="8" s="1"/>
  <c r="M657" i="8"/>
  <c r="M658" i="8" s="1"/>
  <c r="P532" i="8"/>
  <c r="P565" i="8"/>
  <c r="G581" i="8"/>
  <c r="M583" i="8"/>
  <c r="M619" i="8"/>
  <c r="M620" i="8" s="1"/>
  <c r="P515" i="8"/>
  <c r="M527" i="8"/>
  <c r="M528" i="8" s="1"/>
  <c r="P555" i="8"/>
  <c r="O583" i="8"/>
  <c r="O592" i="8"/>
  <c r="P551" i="8"/>
  <c r="M581" i="8"/>
  <c r="G583" i="8"/>
  <c r="G592" i="8"/>
  <c r="G594" i="8"/>
  <c r="O594" i="8"/>
  <c r="I607" i="8"/>
  <c r="G639" i="8"/>
  <c r="O639" i="8"/>
  <c r="I641" i="8"/>
  <c r="G665" i="8"/>
  <c r="O665" i="8"/>
  <c r="I666" i="8"/>
  <c r="K667" i="8"/>
  <c r="K607" i="8"/>
  <c r="M667" i="8"/>
  <c r="M607" i="8"/>
  <c r="M641" i="8"/>
  <c r="M647" i="8" s="1"/>
  <c r="M666" i="8"/>
  <c r="G667" i="8"/>
  <c r="O667" i="8"/>
  <c r="G607" i="8"/>
  <c r="G641" i="8"/>
  <c r="G666" i="8"/>
  <c r="F207" i="8" l="1"/>
  <c r="L207" i="8" s="1"/>
  <c r="M641" i="1" s="1"/>
  <c r="G200" i="8"/>
  <c r="M200" i="8" s="1"/>
  <c r="N549" i="1" s="1"/>
  <c r="M574" i="8"/>
  <c r="M577" i="8" s="1"/>
  <c r="O575" i="8"/>
  <c r="O577" i="8" s="1"/>
  <c r="G574" i="8"/>
  <c r="H1909" i="1" s="1"/>
  <c r="F319" i="8"/>
  <c r="L319" i="8" s="1"/>
  <c r="M779" i="1" s="1"/>
  <c r="G318" i="8"/>
  <c r="M318" i="8" s="1"/>
  <c r="N769" i="1" s="1"/>
  <c r="P558" i="8"/>
  <c r="G320" i="8"/>
  <c r="M320" i="8" s="1"/>
  <c r="N789" i="1" s="1"/>
  <c r="G84" i="8"/>
  <c r="L84" i="8" s="1"/>
  <c r="G157" i="8"/>
  <c r="F320" i="8"/>
  <c r="L320" i="8" s="1"/>
  <c r="M789" i="1" s="1"/>
  <c r="M575" i="8"/>
  <c r="K576" i="8"/>
  <c r="K318" i="8"/>
  <c r="L769" i="1" s="1"/>
  <c r="G620" i="8"/>
  <c r="H84" i="8"/>
  <c r="M84" i="8" s="1"/>
  <c r="I210" i="8"/>
  <c r="O210" i="8" s="1"/>
  <c r="P544" i="1" s="1"/>
  <c r="P561" i="8"/>
  <c r="P574" i="8" s="1"/>
  <c r="G577" i="8"/>
  <c r="P568" i="8"/>
  <c r="G576" i="8"/>
  <c r="G578" i="8" s="1"/>
  <c r="L1909" i="1" s="1"/>
  <c r="P333" i="8"/>
  <c r="M1004" i="1"/>
  <c r="F317" i="8"/>
  <c r="L273" i="8"/>
  <c r="K40" i="8"/>
  <c r="P564" i="8"/>
  <c r="P542" i="8"/>
  <c r="P554" i="8"/>
  <c r="O574" i="8"/>
  <c r="O578" i="8" s="1"/>
  <c r="P1909" i="1" s="1"/>
  <c r="P1905" i="1" s="1"/>
  <c r="K574" i="8"/>
  <c r="K578" i="8" s="1"/>
  <c r="N1909" i="1" s="1"/>
  <c r="H319" i="8"/>
  <c r="F46" i="8"/>
  <c r="F48" i="8" s="1"/>
  <c r="F190" i="8" s="1"/>
  <c r="L190" i="8" s="1"/>
  <c r="M542" i="1" s="1"/>
  <c r="F33" i="8"/>
  <c r="F35" i="8" s="1"/>
  <c r="F29" i="8"/>
  <c r="F187" i="8" s="1"/>
  <c r="L187" i="8" s="1"/>
  <c r="M635" i="1" s="1"/>
  <c r="F25" i="8"/>
  <c r="P540" i="8"/>
  <c r="P536" i="8"/>
  <c r="P453" i="8"/>
  <c r="V711" i="1"/>
  <c r="V713" i="1"/>
  <c r="V712" i="1"/>
  <c r="N987" i="1"/>
  <c r="N991" i="1"/>
  <c r="I669" i="8"/>
  <c r="I670" i="8" s="1"/>
  <c r="N997" i="1"/>
  <c r="N1001" i="1"/>
  <c r="L728" i="1"/>
  <c r="L730" i="1"/>
  <c r="K647" i="8"/>
  <c r="K648" i="8" s="1"/>
  <c r="G128" i="8"/>
  <c r="G412" i="8"/>
  <c r="P541" i="8"/>
  <c r="P533" i="8"/>
  <c r="K547" i="8"/>
  <c r="P626" i="8"/>
  <c r="P425" i="8"/>
  <c r="I547" i="8"/>
  <c r="O547" i="8"/>
  <c r="O658" i="8"/>
  <c r="P420" i="8"/>
  <c r="C385" i="8"/>
  <c r="H1039" i="1" s="1"/>
  <c r="I647" i="8"/>
  <c r="I648" i="8" s="1"/>
  <c r="K456" i="8"/>
  <c r="P500" i="8"/>
  <c r="P667" i="8"/>
  <c r="K669" i="8"/>
  <c r="K670" i="8" s="1"/>
  <c r="G487" i="8"/>
  <c r="G488" i="8" s="1"/>
  <c r="P628" i="8"/>
  <c r="Y477" i="8"/>
  <c r="Y478" i="8" s="1"/>
  <c r="Y479" i="8" s="1"/>
  <c r="E467" i="8" s="1"/>
  <c r="M467" i="8" s="1"/>
  <c r="I620" i="8"/>
  <c r="O487" i="8"/>
  <c r="O488" i="8" s="1"/>
  <c r="P455" i="8"/>
  <c r="P668" i="8"/>
  <c r="P666" i="8"/>
  <c r="P664" i="8"/>
  <c r="P482" i="8"/>
  <c r="K634" i="8"/>
  <c r="K635" i="8" s="1"/>
  <c r="O634" i="8"/>
  <c r="O635" i="8" s="1"/>
  <c r="K457" i="8"/>
  <c r="Y611" i="8"/>
  <c r="Y612" i="8" s="1"/>
  <c r="Y613" i="8" s="1"/>
  <c r="E596" i="8" s="1"/>
  <c r="I596" i="8" s="1"/>
  <c r="P665" i="8"/>
  <c r="G209" i="8"/>
  <c r="M209" i="8" s="1"/>
  <c r="N534" i="1" s="1"/>
  <c r="P607" i="8"/>
  <c r="P616" i="8"/>
  <c r="G658" i="8"/>
  <c r="O620" i="8"/>
  <c r="P527" i="8"/>
  <c r="P528" i="8" s="1"/>
  <c r="P449" i="8"/>
  <c r="P442" i="8"/>
  <c r="F209" i="8"/>
  <c r="L209" i="8" s="1"/>
  <c r="M534" i="1" s="1"/>
  <c r="F157" i="8"/>
  <c r="H207" i="8"/>
  <c r="N207" i="8" s="1"/>
  <c r="O637" i="1" s="1"/>
  <c r="O636" i="1" s="1"/>
  <c r="I46" i="8"/>
  <c r="I48" i="8" s="1"/>
  <c r="Y592" i="8"/>
  <c r="Y593" i="8" s="1"/>
  <c r="Y594" i="8" s="1"/>
  <c r="E586" i="8" s="1"/>
  <c r="O586" i="8" s="1"/>
  <c r="P545" i="8"/>
  <c r="P537" i="8"/>
  <c r="O668" i="1"/>
  <c r="P668" i="1"/>
  <c r="M668" i="1"/>
  <c r="L668" i="1"/>
  <c r="N668" i="1"/>
  <c r="P652" i="8"/>
  <c r="K488" i="8"/>
  <c r="I456" i="8"/>
  <c r="I457" i="8" s="1"/>
  <c r="I187" i="8"/>
  <c r="O187" i="8" s="1"/>
  <c r="P635" i="1" s="1"/>
  <c r="E210" i="8"/>
  <c r="K210" i="8" s="1"/>
  <c r="L544" i="1" s="1"/>
  <c r="I40" i="8"/>
  <c r="N40" i="8" s="1"/>
  <c r="P257" i="8"/>
  <c r="L566" i="1"/>
  <c r="F210" i="8"/>
  <c r="L210" i="8" s="1"/>
  <c r="M544" i="1" s="1"/>
  <c r="E46" i="8"/>
  <c r="E48" i="8" s="1"/>
  <c r="I634" i="8"/>
  <c r="I635" i="8" s="1"/>
  <c r="G634" i="8"/>
  <c r="G635" i="8" s="1"/>
  <c r="P543" i="8"/>
  <c r="P535" i="8"/>
  <c r="G547" i="8"/>
  <c r="P539" i="8"/>
  <c r="Y686" i="8"/>
  <c r="Y687" i="8" s="1"/>
  <c r="Y688" i="8" s="1"/>
  <c r="E674" i="8" s="1"/>
  <c r="K674" i="8" s="1"/>
  <c r="Y511" i="8"/>
  <c r="Y512" i="8" s="1"/>
  <c r="Y513" i="8" s="1"/>
  <c r="E509" i="8" s="1"/>
  <c r="O509" i="8" s="1"/>
  <c r="O510" i="8" s="1"/>
  <c r="O511" i="8" s="1"/>
  <c r="Y529" i="8"/>
  <c r="Y530" i="8" s="1"/>
  <c r="Y531" i="8" s="1"/>
  <c r="E516" i="8" s="1"/>
  <c r="M516" i="8" s="1"/>
  <c r="C386" i="8"/>
  <c r="M670" i="1"/>
  <c r="L670" i="1"/>
  <c r="N670" i="1"/>
  <c r="O670" i="1"/>
  <c r="P670" i="1"/>
  <c r="L481" i="1"/>
  <c r="L504" i="1"/>
  <c r="L491" i="1"/>
  <c r="P604" i="8"/>
  <c r="O334" i="8"/>
  <c r="O344" i="8"/>
  <c r="P657" i="8"/>
  <c r="P583" i="8"/>
  <c r="P619" i="8"/>
  <c r="N334" i="8"/>
  <c r="K334" i="8"/>
  <c r="O339" i="8"/>
  <c r="M334" i="8"/>
  <c r="P331" i="8"/>
  <c r="L334" i="8"/>
  <c r="N339" i="8"/>
  <c r="P423" i="8"/>
  <c r="M669" i="8"/>
  <c r="M670" i="8" s="1"/>
  <c r="O669" i="8"/>
  <c r="O670" i="8" s="1"/>
  <c r="M344" i="8"/>
  <c r="M339" i="8"/>
  <c r="P336" i="8"/>
  <c r="L339" i="8"/>
  <c r="N344" i="8"/>
  <c r="K658" i="8"/>
  <c r="P393" i="8"/>
  <c r="I157" i="8"/>
  <c r="I185" i="8" s="1"/>
  <c r="O185" i="8" s="1"/>
  <c r="P512" i="1" s="1"/>
  <c r="P469" i="8"/>
  <c r="AH477" i="8"/>
  <c r="AH478" i="8" s="1"/>
  <c r="AH479" i="8" s="1"/>
  <c r="E474" i="8" s="1"/>
  <c r="M474" i="8" s="1"/>
  <c r="Y629" i="8"/>
  <c r="Y630" i="8" s="1"/>
  <c r="Y631" i="8" s="1"/>
  <c r="E610" i="8" s="1"/>
  <c r="O610" i="8" s="1"/>
  <c r="Y431" i="8"/>
  <c r="Y432" i="8" s="1"/>
  <c r="Y433" i="8" s="1"/>
  <c r="E432" i="8" s="1"/>
  <c r="K432" i="8" s="1"/>
  <c r="N319" i="8"/>
  <c r="O779" i="1" s="1"/>
  <c r="M38" i="8"/>
  <c r="J38" i="8"/>
  <c r="O647" i="8"/>
  <c r="O648" i="8" s="1"/>
  <c r="G647" i="8"/>
  <c r="P639" i="8"/>
  <c r="I528" i="8"/>
  <c r="I574" i="8"/>
  <c r="I577" i="8" s="1"/>
  <c r="I576" i="8"/>
  <c r="I578" i="8" s="1"/>
  <c r="M1909" i="1" s="1"/>
  <c r="P446" i="8"/>
  <c r="P465" i="8"/>
  <c r="P502" i="8"/>
  <c r="P418" i="8"/>
  <c r="I319" i="8"/>
  <c r="O319" i="8" s="1"/>
  <c r="P779" i="1" s="1"/>
  <c r="I317" i="8"/>
  <c r="I320" i="8"/>
  <c r="O320" i="8" s="1"/>
  <c r="P789" i="1" s="1"/>
  <c r="I318" i="8"/>
  <c r="O318" i="8" s="1"/>
  <c r="P769" i="1" s="1"/>
  <c r="O456" i="8"/>
  <c r="O457" i="8" s="1"/>
  <c r="J336" i="8"/>
  <c r="F289" i="8"/>
  <c r="F290" i="8"/>
  <c r="L290" i="8" s="1"/>
  <c r="F287" i="8"/>
  <c r="L287" i="8" s="1"/>
  <c r="F288" i="8"/>
  <c r="L288" i="8" s="1"/>
  <c r="M685" i="1" s="1"/>
  <c r="M679" i="1" s="1"/>
  <c r="G265" i="8"/>
  <c r="J342" i="8"/>
  <c r="K342" i="8"/>
  <c r="K288" i="8"/>
  <c r="L685" i="1" s="1"/>
  <c r="K255" i="8"/>
  <c r="L499" i="1" s="1"/>
  <c r="H318" i="8"/>
  <c r="N318" i="8" s="1"/>
  <c r="O769" i="1" s="1"/>
  <c r="K279" i="8"/>
  <c r="L680" i="1" s="1"/>
  <c r="H205" i="8"/>
  <c r="K251" i="8"/>
  <c r="L584" i="1" s="1"/>
  <c r="H37" i="8"/>
  <c r="H208" i="8" s="1"/>
  <c r="N208" i="8" s="1"/>
  <c r="O524" i="1" s="1"/>
  <c r="G205" i="8"/>
  <c r="G46" i="8"/>
  <c r="G48" i="8" s="1"/>
  <c r="G190" i="8" s="1"/>
  <c r="M190" i="8" s="1"/>
  <c r="N542" i="1" s="1"/>
  <c r="G33" i="8"/>
  <c r="G29" i="8"/>
  <c r="G187" i="8" s="1"/>
  <c r="M187" i="8" s="1"/>
  <c r="N635" i="1" s="1"/>
  <c r="G25" i="8"/>
  <c r="G40" i="8"/>
  <c r="I197" i="8"/>
  <c r="O197" i="8" s="1"/>
  <c r="N31" i="8"/>
  <c r="G234" i="8"/>
  <c r="F250" i="8"/>
  <c r="L250" i="8" s="1"/>
  <c r="M574" i="1" s="1"/>
  <c r="K209" i="8"/>
  <c r="L534" i="1" s="1"/>
  <c r="F205" i="8"/>
  <c r="G106" i="8"/>
  <c r="G111" i="8"/>
  <c r="E190" i="8"/>
  <c r="I207" i="8"/>
  <c r="O207" i="8" s="1"/>
  <c r="P637" i="1" s="1"/>
  <c r="P636" i="1" s="1"/>
  <c r="I205" i="8"/>
  <c r="F14" i="8"/>
  <c r="F19" i="8"/>
  <c r="E36" i="8"/>
  <c r="E188" i="8" s="1"/>
  <c r="K188" i="8" s="1"/>
  <c r="L522" i="1" s="1"/>
  <c r="E84" i="8"/>
  <c r="J84" i="8" s="1"/>
  <c r="H187" i="8"/>
  <c r="N187" i="8" s="1"/>
  <c r="O635" i="1" s="1"/>
  <c r="I130" i="8"/>
  <c r="N130" i="8" s="1"/>
  <c r="F199" i="8"/>
  <c r="L199" i="8" s="1"/>
  <c r="M539" i="1" s="1"/>
  <c r="M495" i="8"/>
  <c r="M496" i="8" s="1"/>
  <c r="K495" i="8"/>
  <c r="K496" i="8" s="1"/>
  <c r="P463" i="8"/>
  <c r="G456" i="8"/>
  <c r="G457" i="8" s="1"/>
  <c r="I405" i="8"/>
  <c r="I406" i="8" s="1"/>
  <c r="G405" i="8"/>
  <c r="P391" i="8"/>
  <c r="O405" i="8"/>
  <c r="O406" i="8" s="1"/>
  <c r="G281" i="8"/>
  <c r="M281" i="8" s="1"/>
  <c r="G278" i="8"/>
  <c r="M278" i="8" s="1"/>
  <c r="G280" i="8"/>
  <c r="M280" i="8" s="1"/>
  <c r="G279" i="8"/>
  <c r="M279" i="8" s="1"/>
  <c r="N680" i="1" s="1"/>
  <c r="H264" i="8"/>
  <c r="P338" i="8"/>
  <c r="K290" i="8"/>
  <c r="H320" i="8"/>
  <c r="N320" i="8" s="1"/>
  <c r="O789" i="1" s="1"/>
  <c r="K280" i="8"/>
  <c r="F252" i="8"/>
  <c r="G238" i="8"/>
  <c r="F84" i="8"/>
  <c r="K84" i="8" s="1"/>
  <c r="K73" i="8"/>
  <c r="F197" i="8"/>
  <c r="L197" i="8" s="1"/>
  <c r="M642" i="1" s="1"/>
  <c r="M636" i="1" s="1"/>
  <c r="K31" i="8"/>
  <c r="J27" i="8"/>
  <c r="E195" i="8"/>
  <c r="K250" i="8"/>
  <c r="L574" i="1" s="1"/>
  <c r="G37" i="8"/>
  <c r="G208" i="8" s="1"/>
  <c r="M208" i="8" s="1"/>
  <c r="N524" i="1" s="1"/>
  <c r="F130" i="8"/>
  <c r="K130" i="8" s="1"/>
  <c r="F200" i="8"/>
  <c r="L200" i="8" s="1"/>
  <c r="M549" i="1" s="1"/>
  <c r="K50" i="8"/>
  <c r="G199" i="8"/>
  <c r="M199" i="8" s="1"/>
  <c r="N539" i="1" s="1"/>
  <c r="L44" i="8"/>
  <c r="F208" i="8"/>
  <c r="L208" i="8" s="1"/>
  <c r="M524" i="1" s="1"/>
  <c r="E207" i="8"/>
  <c r="E205" i="8"/>
  <c r="E37" i="8"/>
  <c r="E208" i="8" s="1"/>
  <c r="I37" i="8"/>
  <c r="I208" i="8" s="1"/>
  <c r="O208" i="8" s="1"/>
  <c r="P524" i="1" s="1"/>
  <c r="M33" i="8"/>
  <c r="H35" i="8"/>
  <c r="H36" i="8" s="1"/>
  <c r="E130" i="8"/>
  <c r="J130" i="8" s="1"/>
  <c r="E200" i="8"/>
  <c r="P581" i="8"/>
  <c r="M648" i="8"/>
  <c r="P641" i="8"/>
  <c r="P594" i="8"/>
  <c r="G669" i="8"/>
  <c r="P592" i="8"/>
  <c r="G495" i="8"/>
  <c r="G496" i="8" s="1"/>
  <c r="P492" i="8"/>
  <c r="P504" i="8"/>
  <c r="P484" i="8"/>
  <c r="I495" i="8"/>
  <c r="I496" i="8" s="1"/>
  <c r="P444" i="8"/>
  <c r="L317" i="8"/>
  <c r="F230" i="8"/>
  <c r="F231" i="8" s="1"/>
  <c r="F255" i="8" s="1"/>
  <c r="L255" i="8" s="1"/>
  <c r="F228" i="8"/>
  <c r="F229" i="8" s="1"/>
  <c r="F249" i="8" s="1"/>
  <c r="F227" i="8"/>
  <c r="G226" i="8"/>
  <c r="J338" i="8"/>
  <c r="K337" i="8"/>
  <c r="J337" i="8"/>
  <c r="G275" i="8"/>
  <c r="F284" i="8"/>
  <c r="L275" i="8"/>
  <c r="H317" i="8"/>
  <c r="M273" i="8"/>
  <c r="G282" i="8"/>
  <c r="H273" i="8"/>
  <c r="H274" i="8"/>
  <c r="M274" i="8"/>
  <c r="G283" i="8"/>
  <c r="M283" i="8" s="1"/>
  <c r="N718" i="1" s="1"/>
  <c r="E187" i="8"/>
  <c r="E185" i="8"/>
  <c r="H130" i="8"/>
  <c r="M130" i="8" s="1"/>
  <c r="I199" i="8"/>
  <c r="O199" i="8" s="1"/>
  <c r="N44" i="8"/>
  <c r="J40" i="8"/>
  <c r="E42" i="8"/>
  <c r="E189" i="8" s="1"/>
  <c r="G207" i="8"/>
  <c r="M207" i="8" s="1"/>
  <c r="N637" i="1" s="1"/>
  <c r="N636" i="1" s="1"/>
  <c r="E197" i="8"/>
  <c r="J31" i="8"/>
  <c r="G210" i="8"/>
  <c r="M210" i="8" s="1"/>
  <c r="N544" i="1" s="1"/>
  <c r="H209" i="8"/>
  <c r="N209" i="8" s="1"/>
  <c r="O534" i="1" s="1"/>
  <c r="F185" i="8"/>
  <c r="I200" i="8"/>
  <c r="O200" i="8" s="1"/>
  <c r="F189" i="8"/>
  <c r="L189" i="8" s="1"/>
  <c r="M532" i="1" s="1"/>
  <c r="H42" i="8"/>
  <c r="H189" i="8" s="1"/>
  <c r="N189" i="8" s="1"/>
  <c r="O532" i="1" s="1"/>
  <c r="M40" i="8"/>
  <c r="H190" i="8"/>
  <c r="N190" i="8" s="1"/>
  <c r="O542" i="1" s="1"/>
  <c r="M487" i="8"/>
  <c r="M456" i="8"/>
  <c r="M457" i="8" s="1"/>
  <c r="M405" i="8"/>
  <c r="M406" i="8" s="1"/>
  <c r="K283" i="8"/>
  <c r="L718" i="1" s="1"/>
  <c r="G220" i="8"/>
  <c r="G248" i="8" s="1"/>
  <c r="H219" i="8"/>
  <c r="P332" i="8"/>
  <c r="P334" i="8" s="1"/>
  <c r="L341" i="8"/>
  <c r="J341" i="8"/>
  <c r="K287" i="8"/>
  <c r="K271" i="8"/>
  <c r="L688" i="1" s="1"/>
  <c r="F272" i="8"/>
  <c r="F271" i="8"/>
  <c r="L271" i="8" s="1"/>
  <c r="M688" i="1" s="1"/>
  <c r="G263" i="8"/>
  <c r="F270" i="8"/>
  <c r="L270" i="8" s="1"/>
  <c r="M678" i="1" s="1"/>
  <c r="F269" i="8"/>
  <c r="M317" i="8"/>
  <c r="K270" i="8"/>
  <c r="L678" i="1" s="1"/>
  <c r="G195" i="8"/>
  <c r="L27" i="8"/>
  <c r="F251" i="8"/>
  <c r="L251" i="8" s="1"/>
  <c r="M584" i="1" s="1"/>
  <c r="G236" i="8"/>
  <c r="H82" i="8"/>
  <c r="H200" i="8"/>
  <c r="N200" i="8" s="1"/>
  <c r="M50" i="8"/>
  <c r="E199" i="8"/>
  <c r="J44" i="8"/>
  <c r="G38" i="8"/>
  <c r="F195" i="8"/>
  <c r="K27" i="8"/>
  <c r="F38" i="8"/>
  <c r="G130" i="8"/>
  <c r="L130" i="8" s="1"/>
  <c r="H199" i="8"/>
  <c r="N199" i="8" s="1"/>
  <c r="M44" i="8"/>
  <c r="N27" i="8"/>
  <c r="I195" i="8"/>
  <c r="F128" i="8"/>
  <c r="E60" i="8"/>
  <c r="E65" i="8"/>
  <c r="I190" i="8"/>
  <c r="O190" i="8" s="1"/>
  <c r="P542" i="1" s="1"/>
  <c r="I38" i="8"/>
  <c r="H197" i="8"/>
  <c r="N197" i="8" s="1"/>
  <c r="M31" i="8"/>
  <c r="H195" i="8"/>
  <c r="M27" i="8"/>
  <c r="I84" i="8"/>
  <c r="N84" i="8" s="1"/>
  <c r="H185" i="8"/>
  <c r="I36" i="8"/>
  <c r="I188" i="8" s="1"/>
  <c r="O188" i="8" s="1"/>
  <c r="P522" i="1" s="1"/>
  <c r="K321" i="8" l="1"/>
  <c r="P575" i="8"/>
  <c r="G185" i="8"/>
  <c r="M578" i="8"/>
  <c r="O1909" i="1" s="1"/>
  <c r="O1905" i="1" s="1"/>
  <c r="G321" i="8"/>
  <c r="K33" i="8"/>
  <c r="F321" i="8"/>
  <c r="P576" i="8"/>
  <c r="M1911" i="1"/>
  <c r="M1910" i="1"/>
  <c r="M321" i="8"/>
  <c r="N759" i="1"/>
  <c r="L321" i="8"/>
  <c r="M759" i="1"/>
  <c r="K529" i="8"/>
  <c r="N1884" i="1" s="1"/>
  <c r="N1890" i="1" s="1"/>
  <c r="H1889" i="1"/>
  <c r="K577" i="8"/>
  <c r="H471" i="8"/>
  <c r="I471" i="8" s="1"/>
  <c r="P487" i="8"/>
  <c r="P488" i="8" s="1"/>
  <c r="G529" i="8"/>
  <c r="L1884" i="1" s="1"/>
  <c r="L799" i="1"/>
  <c r="L809" i="1"/>
  <c r="I529" i="8"/>
  <c r="M1884" i="1" s="1"/>
  <c r="M1890" i="1" s="1"/>
  <c r="L1911" i="1"/>
  <c r="L1910" i="1"/>
  <c r="F36" i="8"/>
  <c r="I42" i="8"/>
  <c r="I189" i="8" s="1"/>
  <c r="O189" i="8" s="1"/>
  <c r="P532" i="1" s="1"/>
  <c r="O1027" i="1"/>
  <c r="O1017" i="1"/>
  <c r="N1027" i="1"/>
  <c r="N1017" i="1"/>
  <c r="N1014" i="1"/>
  <c r="N1024" i="1"/>
  <c r="O1024" i="1"/>
  <c r="O1014" i="1"/>
  <c r="P1027" i="1"/>
  <c r="P1017" i="1"/>
  <c r="L1024" i="1"/>
  <c r="L1014" i="1"/>
  <c r="L997" i="1"/>
  <c r="L1001" i="1"/>
  <c r="M1029" i="1"/>
  <c r="M1016" i="1"/>
  <c r="O1016" i="1"/>
  <c r="O1029" i="1"/>
  <c r="P1024" i="1"/>
  <c r="P1014" i="1"/>
  <c r="N1029" i="1"/>
  <c r="N1016" i="1"/>
  <c r="M987" i="1"/>
  <c r="M991" i="1"/>
  <c r="K339" i="8"/>
  <c r="L996" i="1"/>
  <c r="M1024" i="1"/>
  <c r="M1014" i="1"/>
  <c r="P1016" i="1"/>
  <c r="P1029" i="1"/>
  <c r="H412" i="8"/>
  <c r="P547" i="8"/>
  <c r="M548" i="8" s="1"/>
  <c r="O1894" i="1" s="1"/>
  <c r="K276" i="8"/>
  <c r="G586" i="8"/>
  <c r="G587" i="8" s="1"/>
  <c r="O467" i="8"/>
  <c r="I516" i="8"/>
  <c r="I517" i="8" s="1"/>
  <c r="I518" i="8" s="1"/>
  <c r="I467" i="8"/>
  <c r="K467" i="8"/>
  <c r="G467" i="8"/>
  <c r="I586" i="8"/>
  <c r="I587" i="8" s="1"/>
  <c r="I588" i="8" s="1"/>
  <c r="K586" i="8"/>
  <c r="K587" i="8" s="1"/>
  <c r="M586" i="8"/>
  <c r="P669" i="8"/>
  <c r="P670" i="8" s="1"/>
  <c r="H1992" i="1" s="1"/>
  <c r="O516" i="8"/>
  <c r="O517" i="8" s="1"/>
  <c r="O518" i="8" s="1"/>
  <c r="K596" i="8"/>
  <c r="K597" i="8" s="1"/>
  <c r="K598" i="8" s="1"/>
  <c r="M596" i="8"/>
  <c r="M597" i="8" s="1"/>
  <c r="M598" i="8" s="1"/>
  <c r="O596" i="8"/>
  <c r="O597" i="8" s="1"/>
  <c r="O674" i="8"/>
  <c r="O675" i="8" s="1"/>
  <c r="G596" i="8"/>
  <c r="G674" i="8"/>
  <c r="G676" i="8" s="1"/>
  <c r="M509" i="8"/>
  <c r="M510" i="8" s="1"/>
  <c r="P634" i="8"/>
  <c r="P635" i="8" s="1"/>
  <c r="O636" i="8" s="1"/>
  <c r="P1956" i="1" s="1"/>
  <c r="P1965" i="1" s="1"/>
  <c r="I674" i="8"/>
  <c r="I676" i="8" s="1"/>
  <c r="M674" i="8"/>
  <c r="M675" i="8" s="1"/>
  <c r="K509" i="8"/>
  <c r="K510" i="8" s="1"/>
  <c r="G509" i="8"/>
  <c r="G510" i="8" s="1"/>
  <c r="P658" i="8"/>
  <c r="M659" i="8" s="1"/>
  <c r="O1976" i="1" s="1"/>
  <c r="O548" i="8"/>
  <c r="P1894" i="1" s="1"/>
  <c r="K548" i="8"/>
  <c r="N1894" i="1" s="1"/>
  <c r="N1900" i="1" s="1"/>
  <c r="J320" i="8"/>
  <c r="P620" i="8"/>
  <c r="O529" i="8"/>
  <c r="P1884" i="1" s="1"/>
  <c r="P1885" i="1" s="1"/>
  <c r="P647" i="8"/>
  <c r="P648" i="8" s="1"/>
  <c r="M529" i="8"/>
  <c r="O1884" i="1" s="1"/>
  <c r="O1885" i="1" s="1"/>
  <c r="K516" i="8"/>
  <c r="K517" i="8" s="1"/>
  <c r="K518" i="8" s="1"/>
  <c r="G516" i="8"/>
  <c r="G517" i="8" s="1"/>
  <c r="G518" i="8" s="1"/>
  <c r="I509" i="8"/>
  <c r="I510" i="8" s="1"/>
  <c r="I511" i="8" s="1"/>
  <c r="M698" i="1"/>
  <c r="M704" i="1"/>
  <c r="M488" i="8"/>
  <c r="L489" i="1"/>
  <c r="O614" i="1"/>
  <c r="P341" i="8"/>
  <c r="L344" i="8"/>
  <c r="K285" i="8"/>
  <c r="L492" i="1"/>
  <c r="L502" i="1"/>
  <c r="L486" i="1"/>
  <c r="L480" i="1" s="1"/>
  <c r="P614" i="1"/>
  <c r="L479" i="1"/>
  <c r="L614" i="1"/>
  <c r="L704" i="1"/>
  <c r="L698" i="1"/>
  <c r="P337" i="8"/>
  <c r="P339" i="8" s="1"/>
  <c r="N614" i="1"/>
  <c r="M614" i="1"/>
  <c r="N671" i="1"/>
  <c r="O671" i="1"/>
  <c r="P671" i="1"/>
  <c r="M671" i="1"/>
  <c r="L671" i="1"/>
  <c r="M492" i="1"/>
  <c r="M486" i="1"/>
  <c r="M502" i="1"/>
  <c r="P342" i="8"/>
  <c r="K344" i="8"/>
  <c r="G610" i="8"/>
  <c r="G611" i="8" s="1"/>
  <c r="O474" i="8"/>
  <c r="M610" i="8"/>
  <c r="M611" i="8" s="1"/>
  <c r="K474" i="8"/>
  <c r="I474" i="8"/>
  <c r="G474" i="8"/>
  <c r="I610" i="8"/>
  <c r="I611" i="8" s="1"/>
  <c r="K610" i="8"/>
  <c r="K611" i="8" s="1"/>
  <c r="M432" i="8"/>
  <c r="M435" i="8" s="1"/>
  <c r="M436" i="8" s="1"/>
  <c r="G432" i="8"/>
  <c r="G435" i="8" s="1"/>
  <c r="I432" i="8"/>
  <c r="O432" i="8"/>
  <c r="O435" i="8" s="1"/>
  <c r="O436" i="8" s="1"/>
  <c r="I671" i="8"/>
  <c r="M1987" i="1" s="1"/>
  <c r="K671" i="8"/>
  <c r="N1987" i="1" s="1"/>
  <c r="O671" i="8"/>
  <c r="P1987" i="1" s="1"/>
  <c r="N195" i="8"/>
  <c r="K199" i="8"/>
  <c r="J199" i="8"/>
  <c r="G251" i="8"/>
  <c r="M251" i="8" s="1"/>
  <c r="N584" i="1" s="1"/>
  <c r="H236" i="8"/>
  <c r="M195" i="8"/>
  <c r="N519" i="1" s="1"/>
  <c r="M248" i="8"/>
  <c r="N458" i="1" s="1"/>
  <c r="I597" i="8"/>
  <c r="I598" i="8" s="1"/>
  <c r="F188" i="8"/>
  <c r="L188" i="8" s="1"/>
  <c r="M522" i="1" s="1"/>
  <c r="K197" i="8"/>
  <c r="J197" i="8"/>
  <c r="K187" i="8"/>
  <c r="J187" i="8"/>
  <c r="H282" i="8"/>
  <c r="N282" i="8" s="1"/>
  <c r="O708" i="1" s="1"/>
  <c r="I273" i="8"/>
  <c r="J273" i="8" s="1"/>
  <c r="N273" i="8"/>
  <c r="O587" i="8"/>
  <c r="O588" i="8" s="1"/>
  <c r="K208" i="8"/>
  <c r="J208" i="8"/>
  <c r="J210" i="8"/>
  <c r="L252" i="8"/>
  <c r="M594" i="1" s="1"/>
  <c r="L205" i="8"/>
  <c r="F211" i="8"/>
  <c r="G250" i="8"/>
  <c r="H234" i="8"/>
  <c r="M185" i="8"/>
  <c r="N512" i="1" s="1"/>
  <c r="M205" i="8"/>
  <c r="G211" i="8"/>
  <c r="N205" i="8"/>
  <c r="H211" i="8"/>
  <c r="G648" i="8"/>
  <c r="E198" i="8"/>
  <c r="E201" i="8" s="1"/>
  <c r="K676" i="8"/>
  <c r="K675" i="8"/>
  <c r="N185" i="8"/>
  <c r="O512" i="1" s="1"/>
  <c r="L195" i="8"/>
  <c r="M519" i="1" s="1"/>
  <c r="L269" i="8"/>
  <c r="M517" i="8"/>
  <c r="M518" i="8" s="1"/>
  <c r="L185" i="8"/>
  <c r="H283" i="8"/>
  <c r="I274" i="8"/>
  <c r="J274" i="8" s="1"/>
  <c r="N274" i="8"/>
  <c r="M282" i="8"/>
  <c r="N708" i="1" s="1"/>
  <c r="L249" i="8"/>
  <c r="P495" i="8"/>
  <c r="P496" i="8" s="1"/>
  <c r="H188" i="8"/>
  <c r="N188" i="8" s="1"/>
  <c r="O522" i="1" s="1"/>
  <c r="E211" i="8"/>
  <c r="J205" i="8"/>
  <c r="K205" i="8"/>
  <c r="L514" i="1" s="1"/>
  <c r="K195" i="8"/>
  <c r="L519" i="1" s="1"/>
  <c r="J195" i="8"/>
  <c r="O191" i="8"/>
  <c r="P552" i="1" s="1"/>
  <c r="P405" i="8"/>
  <c r="P406" i="8" s="1"/>
  <c r="P456" i="8"/>
  <c r="P457" i="8" s="1"/>
  <c r="H1686" i="1" s="1"/>
  <c r="O611" i="8"/>
  <c r="O612" i="8" s="1"/>
  <c r="I659" i="8"/>
  <c r="M1976" i="1" s="1"/>
  <c r="M1982" i="1" s="1"/>
  <c r="K190" i="8"/>
  <c r="J190" i="8"/>
  <c r="J209" i="8"/>
  <c r="G288" i="8"/>
  <c r="M288" i="8" s="1"/>
  <c r="N685" i="1" s="1"/>
  <c r="N679" i="1" s="1"/>
  <c r="G287" i="8"/>
  <c r="G289" i="8"/>
  <c r="M289" i="8" s="1"/>
  <c r="G290" i="8"/>
  <c r="H265" i="8"/>
  <c r="L289" i="8"/>
  <c r="L294" i="8" s="1"/>
  <c r="O317" i="8"/>
  <c r="I321" i="8"/>
  <c r="O195" i="8"/>
  <c r="G198" i="8"/>
  <c r="M198" i="8" s="1"/>
  <c r="N529" i="1" s="1"/>
  <c r="L38" i="8"/>
  <c r="K189" i="8"/>
  <c r="L532" i="1" s="1"/>
  <c r="L284" i="8"/>
  <c r="K207" i="8"/>
  <c r="J207" i="8"/>
  <c r="G406" i="8"/>
  <c r="P209" i="8"/>
  <c r="G35" i="8"/>
  <c r="G36" i="8" s="1"/>
  <c r="G188" i="8" s="1"/>
  <c r="M188" i="8" s="1"/>
  <c r="N522" i="1" s="1"/>
  <c r="L33" i="8"/>
  <c r="H198" i="8"/>
  <c r="N198" i="8" s="1"/>
  <c r="I198" i="8"/>
  <c r="O198" i="8" s="1"/>
  <c r="N38" i="8"/>
  <c r="F198" i="8"/>
  <c r="L198" i="8" s="1"/>
  <c r="M529" i="1" s="1"/>
  <c r="K38" i="8"/>
  <c r="G271" i="8"/>
  <c r="H263" i="8"/>
  <c r="G270" i="8"/>
  <c r="M270" i="8" s="1"/>
  <c r="N678" i="1" s="1"/>
  <c r="G269" i="8"/>
  <c r="M269" i="8" s="1"/>
  <c r="G272" i="8"/>
  <c r="K294" i="8"/>
  <c r="H220" i="8"/>
  <c r="H248" i="8" s="1"/>
  <c r="N248" i="8" s="1"/>
  <c r="O458" i="1" s="1"/>
  <c r="I219" i="8"/>
  <c r="I220" i="8" s="1"/>
  <c r="I248" i="8" s="1"/>
  <c r="O248" i="8" s="1"/>
  <c r="P458" i="1" s="1"/>
  <c r="K185" i="8"/>
  <c r="L512" i="1" s="1"/>
  <c r="J185" i="8"/>
  <c r="E191" i="8"/>
  <c r="N317" i="8"/>
  <c r="H321" i="8"/>
  <c r="J317" i="8"/>
  <c r="G284" i="8"/>
  <c r="M284" i="8" s="1"/>
  <c r="H275" i="8"/>
  <c r="M275" i="8"/>
  <c r="G228" i="8"/>
  <c r="G229" i="8" s="1"/>
  <c r="G249" i="8" s="1"/>
  <c r="M249" i="8" s="1"/>
  <c r="G227" i="8"/>
  <c r="H226" i="8"/>
  <c r="G230" i="8"/>
  <c r="G231" i="8" s="1"/>
  <c r="G255" i="8" s="1"/>
  <c r="M255" i="8" s="1"/>
  <c r="K200" i="8"/>
  <c r="J200" i="8"/>
  <c r="P210" i="8"/>
  <c r="G252" i="8"/>
  <c r="M252" i="8" s="1"/>
  <c r="N594" i="1" s="1"/>
  <c r="H238" i="8"/>
  <c r="H280" i="8"/>
  <c r="H281" i="8"/>
  <c r="H278" i="8"/>
  <c r="N278" i="8" s="1"/>
  <c r="I264" i="8"/>
  <c r="H279" i="8"/>
  <c r="N279" i="8" s="1"/>
  <c r="O680" i="1" s="1"/>
  <c r="O679" i="1" s="1"/>
  <c r="I211" i="8"/>
  <c r="O205" i="8"/>
  <c r="G42" i="8"/>
  <c r="G189" i="8" s="1"/>
  <c r="M189" i="8" s="1"/>
  <c r="N532" i="1" s="1"/>
  <c r="L40" i="8"/>
  <c r="J318" i="8"/>
  <c r="G670" i="8"/>
  <c r="G671" i="8" s="1"/>
  <c r="L1987" i="1" s="1"/>
  <c r="K435" i="8"/>
  <c r="K436" i="8" s="1"/>
  <c r="J319" i="8"/>
  <c r="M671" i="8"/>
  <c r="O1987" i="1" s="1"/>
  <c r="H1849" i="1" l="1"/>
  <c r="G489" i="8"/>
  <c r="K489" i="8"/>
  <c r="I489" i="8"/>
  <c r="M489" i="8"/>
  <c r="O489" i="8"/>
  <c r="O659" i="8"/>
  <c r="P1976" i="1" s="1"/>
  <c r="N799" i="1"/>
  <c r="N809" i="1"/>
  <c r="G659" i="8"/>
  <c r="L1976" i="1" s="1"/>
  <c r="L1982" i="1" s="1"/>
  <c r="O321" i="8"/>
  <c r="P759" i="1"/>
  <c r="F191" i="8"/>
  <c r="N698" i="1"/>
  <c r="J471" i="8"/>
  <c r="K471" i="8" s="1"/>
  <c r="K475" i="8" s="1"/>
  <c r="K476" i="8" s="1"/>
  <c r="N321" i="8"/>
  <c r="O759" i="1"/>
  <c r="I191" i="8"/>
  <c r="Q1884" i="1"/>
  <c r="Q1890" i="1" s="1"/>
  <c r="L1890" i="1"/>
  <c r="N1911" i="1"/>
  <c r="N1910" i="1"/>
  <c r="M799" i="1"/>
  <c r="M809" i="1"/>
  <c r="G548" i="8"/>
  <c r="L1894" i="1" s="1"/>
  <c r="L1900" i="1" s="1"/>
  <c r="H1899" i="1"/>
  <c r="H630" i="1"/>
  <c r="K407" i="8"/>
  <c r="N625" i="1" s="1"/>
  <c r="O407" i="8"/>
  <c r="M407" i="8"/>
  <c r="I621" i="8"/>
  <c r="M1945" i="1" s="1"/>
  <c r="H1950" i="1"/>
  <c r="K659" i="8"/>
  <c r="N1976" i="1" s="1"/>
  <c r="N1982" i="1" s="1"/>
  <c r="H1981" i="1"/>
  <c r="M649" i="8"/>
  <c r="O1966" i="1" s="1"/>
  <c r="H1971" i="1"/>
  <c r="M636" i="8"/>
  <c r="O1956" i="1" s="1"/>
  <c r="O1965" i="1" s="1"/>
  <c r="H1961" i="1"/>
  <c r="O497" i="8"/>
  <c r="P1854" i="1" s="1"/>
  <c r="P1856" i="1" s="1"/>
  <c r="H1859" i="1"/>
  <c r="L738" i="1"/>
  <c r="L750" i="1"/>
  <c r="L748" i="1"/>
  <c r="L740" i="1"/>
  <c r="S708" i="1"/>
  <c r="N710" i="1"/>
  <c r="S710" i="1" s="1"/>
  <c r="M1027" i="1"/>
  <c r="M1017" i="1"/>
  <c r="N730" i="1"/>
  <c r="N728" i="1"/>
  <c r="M728" i="1"/>
  <c r="M730" i="1"/>
  <c r="O710" i="1"/>
  <c r="T708" i="1"/>
  <c r="L751" i="1"/>
  <c r="L741" i="1"/>
  <c r="M751" i="1"/>
  <c r="M741" i="1"/>
  <c r="L1027" i="1"/>
  <c r="L1017" i="1"/>
  <c r="L1029" i="1"/>
  <c r="L1016" i="1"/>
  <c r="I412" i="8"/>
  <c r="K588" i="8"/>
  <c r="G475" i="8"/>
  <c r="G476" i="8" s="1"/>
  <c r="G636" i="8"/>
  <c r="K636" i="8"/>
  <c r="N1956" i="1" s="1"/>
  <c r="N1965" i="1" s="1"/>
  <c r="I636" i="8"/>
  <c r="M1956" i="1" s="1"/>
  <c r="I548" i="8"/>
  <c r="M1894" i="1" s="1"/>
  <c r="M1900" i="1" s="1"/>
  <c r="P467" i="8"/>
  <c r="P586" i="8"/>
  <c r="I475" i="8"/>
  <c r="I476" i="8" s="1"/>
  <c r="M587" i="8"/>
  <c r="M588" i="8" s="1"/>
  <c r="G675" i="8"/>
  <c r="K511" i="8"/>
  <c r="M511" i="8"/>
  <c r="P674" i="8"/>
  <c r="P676" i="8" s="1"/>
  <c r="G511" i="8"/>
  <c r="O676" i="8"/>
  <c r="O598" i="8"/>
  <c r="P596" i="8"/>
  <c r="P516" i="8"/>
  <c r="I675" i="8"/>
  <c r="G597" i="8"/>
  <c r="G598" i="8" s="1"/>
  <c r="P509" i="8"/>
  <c r="M676" i="8"/>
  <c r="G621" i="8"/>
  <c r="L1945" i="1" s="1"/>
  <c r="P197" i="8"/>
  <c r="L642" i="1"/>
  <c r="O621" i="8"/>
  <c r="P1945" i="1" s="1"/>
  <c r="P187" i="8"/>
  <c r="L635" i="1"/>
  <c r="M621" i="8"/>
  <c r="O1945" i="1" s="1"/>
  <c r="K621" i="8"/>
  <c r="N1945" i="1" s="1"/>
  <c r="P207" i="8"/>
  <c r="L641" i="1"/>
  <c r="P200" i="8"/>
  <c r="L549" i="1"/>
  <c r="N704" i="1"/>
  <c r="M499" i="1"/>
  <c r="M481" i="1"/>
  <c r="M479" i="1"/>
  <c r="M504" i="1"/>
  <c r="M491" i="1"/>
  <c r="M489" i="1"/>
  <c r="L211" i="8"/>
  <c r="M554" i="1" s="1"/>
  <c r="M514" i="1"/>
  <c r="P208" i="8"/>
  <c r="L524" i="1"/>
  <c r="P199" i="8"/>
  <c r="L539" i="1"/>
  <c r="O211" i="8"/>
  <c r="P554" i="1" s="1"/>
  <c r="P514" i="1"/>
  <c r="M285" i="8"/>
  <c r="P190" i="8"/>
  <c r="L542" i="1"/>
  <c r="N211" i="8"/>
  <c r="O554" i="1" s="1"/>
  <c r="O514" i="1"/>
  <c r="N489" i="1"/>
  <c r="N499" i="1"/>
  <c r="N481" i="1"/>
  <c r="N479" i="1"/>
  <c r="N504" i="1"/>
  <c r="N491" i="1"/>
  <c r="L191" i="8"/>
  <c r="M552" i="1" s="1"/>
  <c r="M512" i="1"/>
  <c r="N502" i="1"/>
  <c r="N492" i="1"/>
  <c r="N486" i="1"/>
  <c r="M211" i="8"/>
  <c r="N554" i="1" s="1"/>
  <c r="N514" i="1"/>
  <c r="P344" i="8"/>
  <c r="K612" i="8"/>
  <c r="M612" i="8"/>
  <c r="P474" i="8"/>
  <c r="I612" i="8"/>
  <c r="P610" i="8"/>
  <c r="G436" i="8"/>
  <c r="P510" i="8"/>
  <c r="P432" i="8"/>
  <c r="I435" i="8"/>
  <c r="P435" i="8" s="1"/>
  <c r="K458" i="8"/>
  <c r="N1681" i="1" s="1"/>
  <c r="N1687" i="1" s="1"/>
  <c r="O458" i="8"/>
  <c r="P1681" i="1" s="1"/>
  <c r="P1687" i="1" s="1"/>
  <c r="G458" i="8"/>
  <c r="L1681" i="1" s="1"/>
  <c r="L1687" i="1" s="1"/>
  <c r="I458" i="8"/>
  <c r="M1681" i="1" s="1"/>
  <c r="M1687" i="1" s="1"/>
  <c r="M458" i="8"/>
  <c r="O1681" i="1" s="1"/>
  <c r="O1687" i="1" s="1"/>
  <c r="I407" i="8"/>
  <c r="M625" i="1" s="1"/>
  <c r="O625" i="1"/>
  <c r="P625" i="1"/>
  <c r="N280" i="8"/>
  <c r="H284" i="8"/>
  <c r="N284" i="8" s="1"/>
  <c r="N275" i="8"/>
  <c r="I275" i="8"/>
  <c r="J275" i="8" s="1"/>
  <c r="K191" i="8"/>
  <c r="L552" i="1" s="1"/>
  <c r="P185" i="8"/>
  <c r="H270" i="8"/>
  <c r="N270" i="8" s="1"/>
  <c r="O678" i="1" s="1"/>
  <c r="H269" i="8"/>
  <c r="N269" i="8" s="1"/>
  <c r="H272" i="8"/>
  <c r="H271" i="8"/>
  <c r="N271" i="8" s="1"/>
  <c r="O688" i="1" s="1"/>
  <c r="I263" i="8"/>
  <c r="J189" i="8"/>
  <c r="H287" i="8"/>
  <c r="N287" i="8" s="1"/>
  <c r="H289" i="8"/>
  <c r="I265" i="8"/>
  <c r="H290" i="8"/>
  <c r="N290" i="8" s="1"/>
  <c r="H288" i="8"/>
  <c r="N288" i="8" s="1"/>
  <c r="K211" i="8"/>
  <c r="L554" i="1" s="1"/>
  <c r="P205" i="8"/>
  <c r="P517" i="8"/>
  <c r="L201" i="8"/>
  <c r="M559" i="1" s="1"/>
  <c r="M191" i="8"/>
  <c r="N552" i="1" s="1"/>
  <c r="I282" i="8"/>
  <c r="O273" i="8"/>
  <c r="J248" i="8"/>
  <c r="G201" i="8"/>
  <c r="M497" i="8"/>
  <c r="O1854" i="1" s="1"/>
  <c r="O1856" i="1" s="1"/>
  <c r="I280" i="8"/>
  <c r="O280" i="8" s="1"/>
  <c r="I281" i="8"/>
  <c r="O281" i="8" s="1"/>
  <c r="I279" i="8"/>
  <c r="O279" i="8" s="1"/>
  <c r="I278" i="8"/>
  <c r="O278" i="8" s="1"/>
  <c r="P278" i="8" s="1"/>
  <c r="H252" i="8"/>
  <c r="N252" i="8" s="1"/>
  <c r="I238" i="8"/>
  <c r="I252" i="8" s="1"/>
  <c r="O252" i="8" s="1"/>
  <c r="P594" i="1" s="1"/>
  <c r="M271" i="8"/>
  <c r="N688" i="1" s="1"/>
  <c r="P189" i="8"/>
  <c r="M290" i="8"/>
  <c r="J211" i="8"/>
  <c r="G588" i="8"/>
  <c r="L276" i="8"/>
  <c r="H191" i="8"/>
  <c r="G191" i="8"/>
  <c r="P248" i="8"/>
  <c r="H251" i="8"/>
  <c r="I236" i="8"/>
  <c r="I251" i="8" s="1"/>
  <c r="O251" i="8" s="1"/>
  <c r="P584" i="1" s="1"/>
  <c r="H201" i="8"/>
  <c r="G497" i="8"/>
  <c r="L1854" i="1" s="1"/>
  <c r="I497" i="8"/>
  <c r="M1854" i="1" s="1"/>
  <c r="K649" i="8"/>
  <c r="I649" i="8"/>
  <c r="J321" i="8"/>
  <c r="I201" i="8"/>
  <c r="P611" i="8"/>
  <c r="G612" i="8"/>
  <c r="I283" i="8"/>
  <c r="O283" i="8" s="1"/>
  <c r="P718" i="1" s="1"/>
  <c r="O274" i="8"/>
  <c r="N191" i="8"/>
  <c r="O552" i="1" s="1"/>
  <c r="H250" i="8"/>
  <c r="N250" i="8" s="1"/>
  <c r="O574" i="1" s="1"/>
  <c r="I234" i="8"/>
  <c r="I250" i="8" s="1"/>
  <c r="O250" i="8" s="1"/>
  <c r="P574" i="1" s="1"/>
  <c r="P188" i="8"/>
  <c r="N201" i="8"/>
  <c r="N281" i="8"/>
  <c r="H228" i="8"/>
  <c r="H229" i="8" s="1"/>
  <c r="H249" i="8" s="1"/>
  <c r="N249" i="8" s="1"/>
  <c r="H227" i="8"/>
  <c r="I226" i="8"/>
  <c r="H230" i="8"/>
  <c r="H231" i="8" s="1"/>
  <c r="H255" i="8" s="1"/>
  <c r="N255" i="8" s="1"/>
  <c r="O482" i="1" s="1"/>
  <c r="G407" i="8"/>
  <c r="L625" i="1" s="1"/>
  <c r="L285" i="8"/>
  <c r="O201" i="8"/>
  <c r="M287" i="8"/>
  <c r="P195" i="8"/>
  <c r="N283" i="8"/>
  <c r="O718" i="1" s="1"/>
  <c r="F201" i="8"/>
  <c r="J198" i="8"/>
  <c r="J201" i="8" s="1"/>
  <c r="K198" i="8"/>
  <c r="G649" i="8"/>
  <c r="M250" i="8"/>
  <c r="N574" i="1" s="1"/>
  <c r="J188" i="8"/>
  <c r="J191" i="8" s="1"/>
  <c r="J252" i="8"/>
  <c r="M201" i="8"/>
  <c r="N559" i="1" s="1"/>
  <c r="K497" i="8"/>
  <c r="N1854" i="1" s="1"/>
  <c r="O649" i="8"/>
  <c r="P1966" i="1" s="1"/>
  <c r="M276" i="8" l="1"/>
  <c r="P809" i="1"/>
  <c r="P799" i="1"/>
  <c r="J279" i="8"/>
  <c r="O698" i="1"/>
  <c r="L471" i="8"/>
  <c r="M471" i="8" s="1"/>
  <c r="M475" i="8" s="1"/>
  <c r="M476" i="8" s="1"/>
  <c r="O809" i="1"/>
  <c r="O799" i="1"/>
  <c r="T1854" i="1"/>
  <c r="T1856" i="1" s="1"/>
  <c r="M1972" i="1"/>
  <c r="M1966" i="1"/>
  <c r="S1854" i="1"/>
  <c r="N1860" i="1"/>
  <c r="L1972" i="1"/>
  <c r="L1966" i="1"/>
  <c r="N1972" i="1"/>
  <c r="N1966" i="1"/>
  <c r="M1860" i="1"/>
  <c r="R1854" i="1"/>
  <c r="Q1956" i="1"/>
  <c r="Q1854" i="1"/>
  <c r="L1860" i="1"/>
  <c r="I677" i="8"/>
  <c r="M1997" i="1" s="1"/>
  <c r="H2002" i="1"/>
  <c r="N750" i="1"/>
  <c r="N740" i="1"/>
  <c r="O730" i="1"/>
  <c r="O728" i="1"/>
  <c r="M738" i="1"/>
  <c r="M750" i="1"/>
  <c r="M748" i="1"/>
  <c r="M740" i="1"/>
  <c r="O709" i="1"/>
  <c r="T710" i="1"/>
  <c r="J412" i="8"/>
  <c r="P412" i="8"/>
  <c r="P597" i="8"/>
  <c r="P598" i="8" s="1"/>
  <c r="P587" i="8"/>
  <c r="P588" i="8" s="1"/>
  <c r="M677" i="8"/>
  <c r="O1997" i="1" s="1"/>
  <c r="P675" i="8"/>
  <c r="K677" i="8"/>
  <c r="N1997" i="1" s="1"/>
  <c r="O677" i="8"/>
  <c r="P1997" i="1" s="1"/>
  <c r="P518" i="8"/>
  <c r="G677" i="8"/>
  <c r="L1997" i="1" s="1"/>
  <c r="P511" i="8"/>
  <c r="P211" i="8"/>
  <c r="J280" i="8"/>
  <c r="O502" i="1"/>
  <c r="O492" i="1"/>
  <c r="J281" i="8"/>
  <c r="P274" i="8"/>
  <c r="P252" i="8"/>
  <c r="O594" i="1"/>
  <c r="P273" i="8"/>
  <c r="P281" i="8"/>
  <c r="P198" i="8"/>
  <c r="P201" i="8" s="1"/>
  <c r="L529" i="1"/>
  <c r="O504" i="1"/>
  <c r="O491" i="1"/>
  <c r="O489" i="1"/>
  <c r="O499" i="1"/>
  <c r="O481" i="1"/>
  <c r="O480" i="1" s="1"/>
  <c r="O479" i="1"/>
  <c r="P283" i="8"/>
  <c r="P279" i="8"/>
  <c r="P680" i="1"/>
  <c r="P679" i="1" s="1"/>
  <c r="N276" i="8"/>
  <c r="P280" i="8"/>
  <c r="P612" i="8"/>
  <c r="P436" i="8"/>
  <c r="I436" i="8"/>
  <c r="P250" i="8"/>
  <c r="J283" i="8"/>
  <c r="K201" i="8"/>
  <c r="L559" i="1" s="1"/>
  <c r="P191" i="8"/>
  <c r="N251" i="8"/>
  <c r="J251" i="8"/>
  <c r="O282" i="8"/>
  <c r="P708" i="1" s="1"/>
  <c r="J282" i="8"/>
  <c r="I290" i="8"/>
  <c r="I288" i="8"/>
  <c r="I289" i="8"/>
  <c r="O289" i="8" s="1"/>
  <c r="I287" i="8"/>
  <c r="M294" i="8"/>
  <c r="N748" i="1" s="1"/>
  <c r="I227" i="8"/>
  <c r="I230" i="8"/>
  <c r="I231" i="8" s="1"/>
  <c r="I255" i="8" s="1"/>
  <c r="O255" i="8" s="1"/>
  <c r="P482" i="1" s="1"/>
  <c r="I228" i="8"/>
  <c r="I229" i="8" s="1"/>
  <c r="I249" i="8" s="1"/>
  <c r="O249" i="8" s="1"/>
  <c r="N285" i="8"/>
  <c r="N289" i="8"/>
  <c r="N294" i="8" s="1"/>
  <c r="O275" i="8"/>
  <c r="I284" i="8"/>
  <c r="J250" i="8"/>
  <c r="J278" i="8"/>
  <c r="I269" i="8"/>
  <c r="I272" i="8"/>
  <c r="N471" i="8" s="1"/>
  <c r="O471" i="8" s="1"/>
  <c r="O475" i="8" s="1"/>
  <c r="O476" i="8" s="1"/>
  <c r="I271" i="8"/>
  <c r="I270" i="8"/>
  <c r="P471" i="8" l="1"/>
  <c r="P475" i="8"/>
  <c r="Q1962" i="1"/>
  <c r="L1957" i="1"/>
  <c r="K613" i="8"/>
  <c r="N1935" i="1" s="1"/>
  <c r="H1940" i="1"/>
  <c r="I599" i="8"/>
  <c r="M1925" i="1" s="1"/>
  <c r="M1931" i="1" s="1"/>
  <c r="H1930" i="1"/>
  <c r="M589" i="8"/>
  <c r="O1915" i="1" s="1"/>
  <c r="H1920" i="1"/>
  <c r="M519" i="8"/>
  <c r="O1874" i="1" s="1"/>
  <c r="H1879" i="1"/>
  <c r="K512" i="8"/>
  <c r="N1864" i="1" s="1"/>
  <c r="H1869" i="1"/>
  <c r="O437" i="8"/>
  <c r="P1671" i="1" s="1"/>
  <c r="H1676" i="1"/>
  <c r="P710" i="1"/>
  <c r="U708" i="1"/>
  <c r="V708" i="1" s="1"/>
  <c r="O748" i="1"/>
  <c r="O740" i="1"/>
  <c r="O738" i="1"/>
  <c r="O750" i="1"/>
  <c r="N751" i="1"/>
  <c r="N741" i="1"/>
  <c r="O751" i="1"/>
  <c r="O741" i="1"/>
  <c r="N738" i="1"/>
  <c r="K589" i="8"/>
  <c r="N1915" i="1" s="1"/>
  <c r="I589" i="8"/>
  <c r="M1915" i="1" s="1"/>
  <c r="O512" i="8"/>
  <c r="P1864" i="1" s="1"/>
  <c r="O589" i="8"/>
  <c r="P1915" i="1" s="1"/>
  <c r="G589" i="8"/>
  <c r="L1915" i="1" s="1"/>
  <c r="M512" i="8"/>
  <c r="O1864" i="1" s="1"/>
  <c r="M599" i="8"/>
  <c r="O1925" i="1" s="1"/>
  <c r="O1927" i="1" s="1"/>
  <c r="O599" i="8"/>
  <c r="P1925" i="1" s="1"/>
  <c r="P1927" i="1" s="1"/>
  <c r="O519" i="8"/>
  <c r="P1874" i="1" s="1"/>
  <c r="K599" i="8"/>
  <c r="N1925" i="1" s="1"/>
  <c r="N1931" i="1" s="1"/>
  <c r="G599" i="8"/>
  <c r="L1925" i="1" s="1"/>
  <c r="L1931" i="1" s="1"/>
  <c r="G519" i="8"/>
  <c r="L1874" i="1" s="1"/>
  <c r="L1880" i="1" s="1"/>
  <c r="K519" i="8"/>
  <c r="N1874" i="1" s="1"/>
  <c r="N1880" i="1" s="1"/>
  <c r="J289" i="8"/>
  <c r="J249" i="8"/>
  <c r="I519" i="8"/>
  <c r="M1874" i="1" s="1"/>
  <c r="M1880" i="1" s="1"/>
  <c r="G512" i="8"/>
  <c r="L1864" i="1" s="1"/>
  <c r="I512" i="8"/>
  <c r="M1864" i="1" s="1"/>
  <c r="J255" i="8"/>
  <c r="P249" i="8"/>
  <c r="P479" i="1"/>
  <c r="P504" i="1"/>
  <c r="P491" i="1"/>
  <c r="P489" i="1"/>
  <c r="P499" i="1"/>
  <c r="P481" i="1"/>
  <c r="P480" i="1" s="1"/>
  <c r="P251" i="8"/>
  <c r="O584" i="1"/>
  <c r="P255" i="8"/>
  <c r="P492" i="1"/>
  <c r="P502" i="1"/>
  <c r="P282" i="8"/>
  <c r="P275" i="8"/>
  <c r="I613" i="8"/>
  <c r="M1935" i="1" s="1"/>
  <c r="G613" i="8"/>
  <c r="L1935" i="1" s="1"/>
  <c r="O613" i="8"/>
  <c r="P1935" i="1" s="1"/>
  <c r="G437" i="8"/>
  <c r="L1671" i="1" s="1"/>
  <c r="L1677" i="1" s="1"/>
  <c r="I437" i="8"/>
  <c r="M1671" i="1" s="1"/>
  <c r="M613" i="8"/>
  <c r="O1935" i="1" s="1"/>
  <c r="M437" i="8"/>
  <c r="O1671" i="1" s="1"/>
  <c r="K437" i="8"/>
  <c r="N1671" i="1" s="1"/>
  <c r="J272" i="8"/>
  <c r="O284" i="8"/>
  <c r="J284" i="8"/>
  <c r="P289" i="8"/>
  <c r="O287" i="8"/>
  <c r="J287" i="8"/>
  <c r="O269" i="8"/>
  <c r="J269" i="8"/>
  <c r="O270" i="8"/>
  <c r="J270" i="8"/>
  <c r="O288" i="8"/>
  <c r="P288" i="8" s="1"/>
  <c r="J288" i="8"/>
  <c r="O271" i="8"/>
  <c r="J271" i="8"/>
  <c r="O290" i="8"/>
  <c r="P290" i="8" s="1"/>
  <c r="J290" i="8"/>
  <c r="P476" i="8" l="1"/>
  <c r="I477" i="8" s="1"/>
  <c r="M1771" i="1" s="1"/>
  <c r="U1874" i="1"/>
  <c r="P1876" i="1"/>
  <c r="T1874" i="1"/>
  <c r="O1876" i="1"/>
  <c r="O285" i="8"/>
  <c r="P730" i="1"/>
  <c r="P728" i="1"/>
  <c r="U710" i="1"/>
  <c r="P709" i="1"/>
  <c r="P284" i="8"/>
  <c r="P285" i="8" s="1"/>
  <c r="P271" i="8"/>
  <c r="P688" i="1"/>
  <c r="P270" i="8"/>
  <c r="P678" i="1"/>
  <c r="P272" i="8"/>
  <c r="P698" i="1"/>
  <c r="O294" i="8"/>
  <c r="P287" i="8"/>
  <c r="P294" i="8" s="1"/>
  <c r="O276" i="8"/>
  <c r="P269" i="8"/>
  <c r="K477" i="8" l="1"/>
  <c r="N1771" i="1" s="1"/>
  <c r="N1777" i="1" s="1"/>
  <c r="O477" i="8"/>
  <c r="P1771" i="1" s="1"/>
  <c r="G477" i="8"/>
  <c r="L1771" i="1" s="1"/>
  <c r="L1777" i="1" s="1"/>
  <c r="M477" i="8"/>
  <c r="O1771" i="1" s="1"/>
  <c r="O1773" i="1" s="1"/>
  <c r="H1776" i="1"/>
  <c r="M1777" i="1"/>
  <c r="P741" i="1"/>
  <c r="P751" i="1"/>
  <c r="P750" i="1"/>
  <c r="P748" i="1"/>
  <c r="P740" i="1"/>
  <c r="P738" i="1"/>
  <c r="P276" i="8"/>
  <c r="U1771" i="1" l="1"/>
  <c r="Q1771" i="1"/>
  <c r="T1771" i="1"/>
  <c r="P1773" i="1"/>
  <c r="S1771" i="1"/>
  <c r="R1771" i="1"/>
  <c r="E372" i="4"/>
  <c r="H1544" i="1"/>
  <c r="C410" i="4"/>
  <c r="C401" i="4"/>
  <c r="S1777" i="1" l="1"/>
  <c r="S1778" i="1"/>
  <c r="R1777" i="1"/>
  <c r="R1778" i="1"/>
  <c r="Q1777" i="1"/>
  <c r="Q1778" i="1"/>
  <c r="F509" i="4"/>
  <c r="F508" i="4"/>
  <c r="F510" i="4" s="1"/>
  <c r="H508" i="4" s="1"/>
  <c r="E504" i="4"/>
  <c r="H504" i="4" s="1"/>
  <c r="H112" i="1" s="1"/>
  <c r="F495" i="4"/>
  <c r="E495" i="4"/>
  <c r="H494" i="4"/>
  <c r="G494" i="4"/>
  <c r="F494" i="4"/>
  <c r="E494" i="4"/>
  <c r="D494" i="4"/>
  <c r="F492" i="4"/>
  <c r="E492" i="4"/>
  <c r="H491" i="4"/>
  <c r="G491" i="4"/>
  <c r="F491" i="4"/>
  <c r="E491" i="4"/>
  <c r="D491" i="4"/>
  <c r="G488" i="4"/>
  <c r="F488" i="4"/>
  <c r="D488" i="4"/>
  <c r="F486" i="4"/>
  <c r="E486" i="4"/>
  <c r="H485" i="4"/>
  <c r="G485" i="4"/>
  <c r="F485" i="4"/>
  <c r="F497" i="4" s="1"/>
  <c r="E485" i="4"/>
  <c r="D485" i="4"/>
  <c r="H477" i="4"/>
  <c r="H489" i="4" s="1"/>
  <c r="G477" i="4"/>
  <c r="G489" i="4" s="1"/>
  <c r="G498" i="4" s="1"/>
  <c r="F477" i="4"/>
  <c r="F489" i="4" s="1"/>
  <c r="E477" i="4"/>
  <c r="E489" i="4" s="1"/>
  <c r="H476" i="4"/>
  <c r="H488" i="4" s="1"/>
  <c r="E476" i="4"/>
  <c r="E488" i="4" s="1"/>
  <c r="F475" i="4"/>
  <c r="D475" i="4"/>
  <c r="H473" i="4"/>
  <c r="G473" i="4"/>
  <c r="F473" i="4"/>
  <c r="E473" i="4"/>
  <c r="D473" i="4"/>
  <c r="D480" i="4" s="1"/>
  <c r="H472" i="4"/>
  <c r="G472" i="4"/>
  <c r="F472" i="4"/>
  <c r="E472" i="4"/>
  <c r="H471" i="4"/>
  <c r="G471" i="4"/>
  <c r="F471" i="4"/>
  <c r="E471" i="4"/>
  <c r="H470" i="4"/>
  <c r="H480" i="4" s="1"/>
  <c r="G470" i="4"/>
  <c r="G480" i="4" s="1"/>
  <c r="F470" i="4"/>
  <c r="F480" i="4" s="1"/>
  <c r="E470" i="4"/>
  <c r="E479" i="4" s="1"/>
  <c r="D470" i="4"/>
  <c r="D479" i="4" s="1"/>
  <c r="O469" i="4"/>
  <c r="P469" i="4" s="1"/>
  <c r="H468" i="4"/>
  <c r="G468" i="4"/>
  <c r="F468" i="4"/>
  <c r="E468" i="4"/>
  <c r="D468" i="4"/>
  <c r="F479" i="4" l="1"/>
  <c r="H475" i="4"/>
  <c r="E480" i="4"/>
  <c r="E497" i="4"/>
  <c r="D497" i="4"/>
  <c r="H496" i="4"/>
  <c r="G497" i="4"/>
  <c r="E498" i="4"/>
  <c r="M134" i="1"/>
  <c r="R134" i="1" s="1"/>
  <c r="N134" i="1"/>
  <c r="E496" i="4"/>
  <c r="F498" i="4"/>
  <c r="F496" i="4"/>
  <c r="E475" i="4"/>
  <c r="G479" i="4"/>
  <c r="G496" i="4"/>
  <c r="G475" i="4"/>
  <c r="H479" i="4"/>
  <c r="D496" i="4"/>
  <c r="H499" i="4" l="1"/>
  <c r="P127" i="1" s="1"/>
  <c r="E499" i="4"/>
  <c r="E500" i="4" s="1"/>
  <c r="F499" i="4"/>
  <c r="F500" i="4" s="1"/>
  <c r="G499" i="4"/>
  <c r="O127" i="1" s="1"/>
  <c r="C409" i="4"/>
  <c r="C400" i="4"/>
  <c r="E462" i="4"/>
  <c r="E463" i="4"/>
  <c r="Q688" i="1"/>
  <c r="E464" i="4" l="1"/>
  <c r="U393" i="1"/>
  <c r="P386" i="1"/>
  <c r="P394" i="1" s="1"/>
  <c r="O386" i="1"/>
  <c r="O394" i="1" s="1"/>
  <c r="N386" i="1"/>
  <c r="N394" i="1" s="1"/>
  <c r="M386" i="1"/>
  <c r="M394" i="1" s="1"/>
  <c r="L386" i="1"/>
  <c r="L394" i="1" s="1"/>
  <c r="F385" i="1"/>
  <c r="U930" i="1"/>
  <c r="T930" i="1"/>
  <c r="S930" i="1"/>
  <c r="R930" i="1"/>
  <c r="Q930" i="1"/>
  <c r="U929" i="1"/>
  <c r="T929" i="1"/>
  <c r="U928" i="1"/>
  <c r="T928" i="1"/>
  <c r="R927" i="1"/>
  <c r="Q927" i="1"/>
  <c r="P927" i="1"/>
  <c r="U927" i="1" s="1"/>
  <c r="O927" i="1"/>
  <c r="T927" i="1" s="1"/>
  <c r="N927" i="1"/>
  <c r="S927" i="1" s="1"/>
  <c r="U926" i="1"/>
  <c r="T926" i="1"/>
  <c r="S926" i="1"/>
  <c r="R926" i="1"/>
  <c r="Q926" i="1"/>
  <c r="U925" i="1"/>
  <c r="T925" i="1"/>
  <c r="S925" i="1"/>
  <c r="R925" i="1"/>
  <c r="Q925" i="1"/>
  <c r="U924" i="1"/>
  <c r="T924" i="1"/>
  <c r="S924" i="1"/>
  <c r="R924" i="1"/>
  <c r="Q924" i="1"/>
  <c r="F922" i="1"/>
  <c r="O923" i="1" l="1"/>
  <c r="P923" i="1"/>
  <c r="R393" i="1"/>
  <c r="Q385" i="1"/>
  <c r="U385" i="1"/>
  <c r="T387" i="1"/>
  <c r="R388" i="1"/>
  <c r="T389" i="1"/>
  <c r="Q390" i="1"/>
  <c r="U390" i="1"/>
  <c r="S391" i="1"/>
  <c r="Q392" i="1"/>
  <c r="U392" i="1"/>
  <c r="S393" i="1"/>
  <c r="Q388" i="1"/>
  <c r="T390" i="1"/>
  <c r="R385" i="1"/>
  <c r="Q387" i="1"/>
  <c r="U387" i="1"/>
  <c r="S388" i="1"/>
  <c r="Q389" i="1"/>
  <c r="U389" i="1"/>
  <c r="R390" i="1"/>
  <c r="T391" i="1"/>
  <c r="R392" i="1"/>
  <c r="T393" i="1"/>
  <c r="T385" i="1"/>
  <c r="S387" i="1"/>
  <c r="U388" i="1"/>
  <c r="S389" i="1"/>
  <c r="R391" i="1"/>
  <c r="T392" i="1"/>
  <c r="S385" i="1"/>
  <c r="R387" i="1"/>
  <c r="T388" i="1"/>
  <c r="R389" i="1"/>
  <c r="S390" i="1"/>
  <c r="Q391" i="1"/>
  <c r="U391" i="1"/>
  <c r="S392" i="1"/>
  <c r="Q393" i="1"/>
  <c r="V926" i="1"/>
  <c r="V930" i="1"/>
  <c r="T923" i="1"/>
  <c r="V924" i="1"/>
  <c r="V925" i="1"/>
  <c r="U923" i="1"/>
  <c r="V927" i="1"/>
  <c r="L1310" i="1"/>
  <c r="N631" i="1"/>
  <c r="M631" i="1"/>
  <c r="V391" i="1" l="1"/>
  <c r="R386" i="1"/>
  <c r="R394" i="1" s="1"/>
  <c r="V387" i="1"/>
  <c r="Q386" i="1"/>
  <c r="Q394" i="1" s="1"/>
  <c r="V393" i="1"/>
  <c r="V389" i="1"/>
  <c r="V390" i="1"/>
  <c r="S386" i="1"/>
  <c r="S394" i="1" s="1"/>
  <c r="V392" i="1"/>
  <c r="V385" i="1"/>
  <c r="T386" i="1"/>
  <c r="T394" i="1" s="1"/>
  <c r="U386" i="1"/>
  <c r="U394" i="1" s="1"/>
  <c r="V388" i="1"/>
  <c r="V394" i="1" l="1"/>
  <c r="V386" i="1"/>
  <c r="H2304" i="1"/>
  <c r="D263" i="4" l="1"/>
  <c r="H2024" i="1" l="1"/>
  <c r="F1239" i="1"/>
  <c r="M277" i="1"/>
  <c r="N277" i="1"/>
  <c r="M278" i="1"/>
  <c r="N278" i="1"/>
  <c r="F261" i="1"/>
  <c r="M2196" i="1" l="1"/>
  <c r="M2254" i="1" l="1"/>
  <c r="N2254" i="1"/>
  <c r="M2255" i="1"/>
  <c r="N2255" i="1"/>
  <c r="L2255" i="1"/>
  <c r="L2254" i="1"/>
  <c r="N1331" i="1"/>
  <c r="O376" i="1" l="1"/>
  <c r="P376" i="1"/>
  <c r="P366" i="1" l="1"/>
  <c r="O366" i="1"/>
  <c r="N366" i="1"/>
  <c r="M366" i="1"/>
  <c r="M374" i="1" s="1"/>
  <c r="L366" i="1"/>
  <c r="L374" i="1" s="1"/>
  <c r="F365" i="1"/>
  <c r="N376" i="1"/>
  <c r="M376" i="1"/>
  <c r="M384" i="1" s="1"/>
  <c r="L376" i="1"/>
  <c r="L384" i="1" s="1"/>
  <c r="F375" i="1"/>
  <c r="M2061" i="1" l="1"/>
  <c r="M2069" i="1" s="1"/>
  <c r="N2061" i="1"/>
  <c r="N2069" i="1" s="1"/>
  <c r="L278" i="1"/>
  <c r="L277" i="1"/>
  <c r="O179" i="1"/>
  <c r="P179" i="1"/>
  <c r="N67" i="1"/>
  <c r="N384" i="1" l="1"/>
  <c r="N374" i="1"/>
  <c r="O374" i="1" l="1"/>
  <c r="I122" i="4"/>
  <c r="P110" i="1" s="1"/>
  <c r="H122" i="4"/>
  <c r="O110" i="1" s="1"/>
  <c r="G122" i="4"/>
  <c r="F122" i="4"/>
  <c r="I121" i="4"/>
  <c r="P109" i="1" s="1"/>
  <c r="H121" i="4"/>
  <c r="O109" i="1" s="1"/>
  <c r="G121" i="4"/>
  <c r="N109" i="1" s="1"/>
  <c r="F121" i="4"/>
  <c r="F120" i="4" s="1"/>
  <c r="E121" i="4"/>
  <c r="E120" i="4" s="1"/>
  <c r="J113" i="4"/>
  <c r="J124" i="4" s="1"/>
  <c r="N114" i="1"/>
  <c r="M114" i="1"/>
  <c r="P79" i="1"/>
  <c r="O79" i="1"/>
  <c r="P78" i="1"/>
  <c r="N78" i="1"/>
  <c r="O78" i="1"/>
  <c r="M78" i="1"/>
  <c r="L78" i="1"/>
  <c r="N83" i="1"/>
  <c r="M83" i="1"/>
  <c r="L83" i="1"/>
  <c r="H81" i="1"/>
  <c r="I120" i="4" l="1"/>
  <c r="P107" i="1" s="1"/>
  <c r="L109" i="1"/>
  <c r="L108" i="1" s="1"/>
  <c r="M109" i="1"/>
  <c r="P374" i="1"/>
  <c r="N108" i="1"/>
  <c r="L107" i="1"/>
  <c r="M107" i="1"/>
  <c r="H120" i="4"/>
  <c r="O107" i="1" s="1"/>
  <c r="G120" i="4"/>
  <c r="N107" i="1" s="1"/>
  <c r="P108" i="1"/>
  <c r="L631" i="1" l="1"/>
  <c r="E132" i="4" l="1"/>
  <c r="F132" i="4"/>
  <c r="G132" i="4"/>
  <c r="D132" i="4"/>
  <c r="C132" i="4"/>
  <c r="G131" i="4"/>
  <c r="F131" i="4"/>
  <c r="G129" i="4"/>
  <c r="F129" i="4"/>
  <c r="E131" i="4"/>
  <c r="D131" i="4"/>
  <c r="C131" i="4"/>
  <c r="E129" i="4"/>
  <c r="Q1870" i="1" l="1"/>
  <c r="R1870" i="1"/>
  <c r="S1870" i="1"/>
  <c r="Q1869" i="1"/>
  <c r="L1865" i="1"/>
  <c r="U1892" i="1"/>
  <c r="T1892" i="1"/>
  <c r="U1535" i="1" l="1"/>
  <c r="M1100" i="1"/>
  <c r="N1100" i="1"/>
  <c r="O1100" i="1"/>
  <c r="P1100" i="1"/>
  <c r="L1100" i="1"/>
  <c r="M1098" i="1"/>
  <c r="N1098" i="1"/>
  <c r="O1098" i="1"/>
  <c r="P1098" i="1"/>
  <c r="L1098" i="1"/>
  <c r="H163" i="1"/>
  <c r="H10" i="1"/>
  <c r="Q608" i="1" l="1"/>
  <c r="R608" i="1"/>
  <c r="S608" i="1"/>
  <c r="T608" i="1"/>
  <c r="U608" i="1"/>
  <c r="Q610" i="1"/>
  <c r="R610" i="1"/>
  <c r="S610" i="1"/>
  <c r="T610" i="1"/>
  <c r="U610" i="1"/>
  <c r="Q611" i="1"/>
  <c r="R611" i="1"/>
  <c r="S611" i="1"/>
  <c r="T611" i="1"/>
  <c r="U611" i="1"/>
  <c r="Q612" i="1"/>
  <c r="R612" i="1"/>
  <c r="S612" i="1"/>
  <c r="T612" i="1"/>
  <c r="U612" i="1"/>
  <c r="U606" i="1"/>
  <c r="T606" i="1"/>
  <c r="S606" i="1"/>
  <c r="R606" i="1"/>
  <c r="Q606" i="1"/>
  <c r="I33" i="6"/>
  <c r="K31" i="6" l="1"/>
  <c r="J27" i="6"/>
  <c r="J51" i="6"/>
  <c r="M1280" i="1" l="1"/>
  <c r="F656" i="1"/>
  <c r="F646" i="1"/>
  <c r="M355" i="1"/>
  <c r="N355" i="1" s="1"/>
  <c r="O355" i="1" s="1"/>
  <c r="P355" i="1" s="1"/>
  <c r="O88" i="1"/>
  <c r="P88" i="1"/>
  <c r="N11" i="1"/>
  <c r="P10" i="1"/>
  <c r="O10" i="1"/>
  <c r="B27" i="3" l="1"/>
  <c r="B235" i="5" l="1"/>
  <c r="F1997" i="1"/>
  <c r="F1987" i="1"/>
  <c r="U1961" i="1"/>
  <c r="U1962" i="1"/>
  <c r="U1963" i="1"/>
  <c r="U1964" i="1"/>
  <c r="Q1961" i="1"/>
  <c r="Q1963" i="1"/>
  <c r="Q1964" i="1"/>
  <c r="P1977" i="1"/>
  <c r="P1985" i="1" s="1"/>
  <c r="O1977" i="1"/>
  <c r="O1985" i="1" s="1"/>
  <c r="N1977" i="1"/>
  <c r="N1985" i="1" s="1"/>
  <c r="M1977" i="1"/>
  <c r="M1985" i="1" s="1"/>
  <c r="L1977" i="1"/>
  <c r="L1985" i="1" s="1"/>
  <c r="F1976" i="1"/>
  <c r="P1967" i="1"/>
  <c r="O1967" i="1"/>
  <c r="N1967" i="1"/>
  <c r="M1967" i="1"/>
  <c r="L1967" i="1"/>
  <c r="F1966" i="1"/>
  <c r="F1956" i="1"/>
  <c r="F1945" i="1"/>
  <c r="F1935" i="1"/>
  <c r="F1925" i="1"/>
  <c r="F1915" i="1"/>
  <c r="F1904" i="1"/>
  <c r="F1894" i="1"/>
  <c r="U1889" i="1"/>
  <c r="T1889" i="1"/>
  <c r="S1889" i="1"/>
  <c r="R1889" i="1"/>
  <c r="Q1889" i="1"/>
  <c r="U1888" i="1"/>
  <c r="T1888" i="1"/>
  <c r="S1888" i="1"/>
  <c r="R1888" i="1"/>
  <c r="Q1888" i="1"/>
  <c r="F1884" i="1"/>
  <c r="U1879" i="1"/>
  <c r="T1879" i="1"/>
  <c r="S1879" i="1"/>
  <c r="R1879" i="1"/>
  <c r="Q1879" i="1"/>
  <c r="U1878" i="1"/>
  <c r="T1878" i="1"/>
  <c r="S1878" i="1"/>
  <c r="R1878" i="1"/>
  <c r="Q1878" i="1"/>
  <c r="F1874" i="1"/>
  <c r="U1869" i="1"/>
  <c r="T1869" i="1"/>
  <c r="S1869" i="1"/>
  <c r="R1869" i="1"/>
  <c r="U1868" i="1"/>
  <c r="T1868" i="1"/>
  <c r="S1868" i="1"/>
  <c r="R1868" i="1"/>
  <c r="Q1868" i="1"/>
  <c r="O1865" i="1"/>
  <c r="U1859" i="1"/>
  <c r="T1859" i="1"/>
  <c r="S1859" i="1"/>
  <c r="R1859" i="1"/>
  <c r="Q1859" i="1"/>
  <c r="U1858" i="1"/>
  <c r="T1858" i="1"/>
  <c r="S1858" i="1"/>
  <c r="R1858" i="1"/>
  <c r="Q1858" i="1"/>
  <c r="F1854" i="1"/>
  <c r="U1848" i="1"/>
  <c r="T1848" i="1"/>
  <c r="S1848" i="1"/>
  <c r="R1848" i="1"/>
  <c r="Q1848" i="1"/>
  <c r="P1845" i="1"/>
  <c r="P1853" i="1" s="1"/>
  <c r="O1845" i="1"/>
  <c r="O1853" i="1" s="1"/>
  <c r="N1845" i="1"/>
  <c r="N1853" i="1" s="1"/>
  <c r="M1845" i="1"/>
  <c r="M1853" i="1" s="1"/>
  <c r="L1845" i="1"/>
  <c r="L1853" i="1" s="1"/>
  <c r="F1844" i="1"/>
  <c r="P1682" i="1"/>
  <c r="P1690" i="1" s="1"/>
  <c r="O1682" i="1"/>
  <c r="O1690" i="1" s="1"/>
  <c r="P1676" i="1"/>
  <c r="P1672" i="1" s="1"/>
  <c r="P1680" i="1" s="1"/>
  <c r="O1676" i="1"/>
  <c r="O1672" i="1" s="1"/>
  <c r="O1680" i="1" s="1"/>
  <c r="N1676" i="1"/>
  <c r="N1672" i="1" s="1"/>
  <c r="N1680" i="1" s="1"/>
  <c r="M1676" i="1"/>
  <c r="M1672" i="1" s="1"/>
  <c r="M1680" i="1" s="1"/>
  <c r="L1676" i="1"/>
  <c r="L1672" i="1" s="1"/>
  <c r="L1680" i="1" s="1"/>
  <c r="H1091" i="1"/>
  <c r="P1090" i="1"/>
  <c r="P1086" i="1" s="1"/>
  <c r="P1094" i="1" s="1"/>
  <c r="O1090" i="1"/>
  <c r="O1086" i="1" s="1"/>
  <c r="O1094" i="1" s="1"/>
  <c r="N1086" i="1"/>
  <c r="N1094" i="1" s="1"/>
  <c r="M1086" i="1"/>
  <c r="M1094" i="1" s="1"/>
  <c r="L1086" i="1"/>
  <c r="L1094" i="1" s="1"/>
  <c r="H1061" i="1"/>
  <c r="P1056" i="1"/>
  <c r="P1064" i="1" s="1"/>
  <c r="O1056" i="1"/>
  <c r="O1064" i="1" s="1"/>
  <c r="N1056" i="1"/>
  <c r="N1064" i="1" s="1"/>
  <c r="M1056" i="1"/>
  <c r="M1064" i="1" s="1"/>
  <c r="L1056" i="1"/>
  <c r="L1064" i="1" s="1"/>
  <c r="H1040" i="1"/>
  <c r="P1039" i="1"/>
  <c r="P1035" i="1" s="1"/>
  <c r="P1043" i="1" s="1"/>
  <c r="O1039" i="1"/>
  <c r="O1035" i="1" s="1"/>
  <c r="O1043" i="1" s="1"/>
  <c r="N1035" i="1"/>
  <c r="N1043" i="1" s="1"/>
  <c r="M1035" i="1"/>
  <c r="M1043" i="1" s="1"/>
  <c r="L1035" i="1"/>
  <c r="L1043" i="1" s="1"/>
  <c r="F1034" i="1"/>
  <c r="H1030" i="1"/>
  <c r="F1024" i="1"/>
  <c r="H1020" i="1"/>
  <c r="F1014" i="1"/>
  <c r="H1010" i="1"/>
  <c r="F1004" i="1"/>
  <c r="H1000" i="1"/>
  <c r="F994" i="1"/>
  <c r="H990" i="1"/>
  <c r="F984" i="1"/>
  <c r="R791" i="1"/>
  <c r="P804" i="1"/>
  <c r="P800" i="1" s="1"/>
  <c r="O804" i="1"/>
  <c r="O800" i="1" s="1"/>
  <c r="P794" i="1"/>
  <c r="O794" i="1"/>
  <c r="O790" i="1" s="1"/>
  <c r="Q787" i="1"/>
  <c r="P784" i="1"/>
  <c r="P780" i="1" s="1"/>
  <c r="O784" i="1"/>
  <c r="N784" i="1"/>
  <c r="M784" i="1"/>
  <c r="L784" i="1"/>
  <c r="O780" i="1"/>
  <c r="U777" i="1"/>
  <c r="P774" i="1"/>
  <c r="P770" i="1" s="1"/>
  <c r="O774" i="1"/>
  <c r="O770" i="1" s="1"/>
  <c r="N774" i="1"/>
  <c r="M774" i="1"/>
  <c r="L774" i="1"/>
  <c r="T767" i="1"/>
  <c r="O810" i="1"/>
  <c r="F809" i="1"/>
  <c r="F799" i="1"/>
  <c r="F789" i="1"/>
  <c r="F779" i="1"/>
  <c r="T771" i="1"/>
  <c r="F769" i="1"/>
  <c r="P764" i="1"/>
  <c r="P760" i="1" s="1"/>
  <c r="O764" i="1"/>
  <c r="O760" i="1" s="1"/>
  <c r="N764" i="1"/>
  <c r="M764" i="1"/>
  <c r="L764" i="1"/>
  <c r="F759" i="1"/>
  <c r="H754" i="1"/>
  <c r="F748" i="1"/>
  <c r="T734" i="1"/>
  <c r="R725" i="1"/>
  <c r="Q692" i="1"/>
  <c r="U686" i="1"/>
  <c r="T676" i="1"/>
  <c r="H744" i="1"/>
  <c r="F738" i="1"/>
  <c r="H734" i="1"/>
  <c r="F728" i="1"/>
  <c r="H724" i="1"/>
  <c r="F718" i="1"/>
  <c r="H714" i="1"/>
  <c r="F708" i="1"/>
  <c r="H704" i="1"/>
  <c r="F698" i="1"/>
  <c r="H694" i="1"/>
  <c r="F688" i="1"/>
  <c r="H684" i="1"/>
  <c r="F678" i="1"/>
  <c r="H674" i="1"/>
  <c r="F668" i="1"/>
  <c r="H641" i="1"/>
  <c r="F635" i="1"/>
  <c r="H631" i="1"/>
  <c r="P626" i="1"/>
  <c r="P634" i="1" s="1"/>
  <c r="O626" i="1"/>
  <c r="O634" i="1" s="1"/>
  <c r="N626" i="1"/>
  <c r="N634" i="1" s="1"/>
  <c r="M626" i="1"/>
  <c r="M634" i="1" s="1"/>
  <c r="L626" i="1"/>
  <c r="L634" i="1" s="1"/>
  <c r="F625" i="1"/>
  <c r="H610" i="1"/>
  <c r="P609" i="1"/>
  <c r="U609" i="1" s="1"/>
  <c r="O609" i="1"/>
  <c r="T609" i="1" s="1"/>
  <c r="N609" i="1"/>
  <c r="S609" i="1" s="1"/>
  <c r="M609" i="1"/>
  <c r="R609" i="1" s="1"/>
  <c r="L609" i="1"/>
  <c r="Q609" i="1" s="1"/>
  <c r="F604" i="1"/>
  <c r="H620" i="1"/>
  <c r="F614" i="1"/>
  <c r="H600" i="1"/>
  <c r="P599" i="1"/>
  <c r="O599" i="1"/>
  <c r="N599" i="1"/>
  <c r="M599" i="1"/>
  <c r="L599" i="1"/>
  <c r="F594" i="1"/>
  <c r="H590" i="1"/>
  <c r="P589" i="1"/>
  <c r="O589" i="1"/>
  <c r="N589" i="1"/>
  <c r="M589" i="1"/>
  <c r="L589" i="1"/>
  <c r="F584" i="1"/>
  <c r="H580" i="1"/>
  <c r="F574" i="1"/>
  <c r="U571" i="1"/>
  <c r="G233" i="5" s="1"/>
  <c r="T571" i="1"/>
  <c r="F233" i="5" s="1"/>
  <c r="S571" i="1"/>
  <c r="E233" i="5" s="1"/>
  <c r="R571" i="1"/>
  <c r="D233" i="5" s="1"/>
  <c r="Q571" i="1"/>
  <c r="C233" i="5" s="1"/>
  <c r="U570" i="1"/>
  <c r="G232" i="5" s="1"/>
  <c r="T570" i="1"/>
  <c r="F232" i="5" s="1"/>
  <c r="S570" i="1"/>
  <c r="E232" i="5" s="1"/>
  <c r="R570" i="1"/>
  <c r="D232" i="5" s="1"/>
  <c r="Q570" i="1"/>
  <c r="C232" i="5" s="1"/>
  <c r="U569" i="1"/>
  <c r="G231" i="5" s="1"/>
  <c r="T569" i="1"/>
  <c r="F231" i="5" s="1"/>
  <c r="S569" i="1"/>
  <c r="E231" i="5" s="1"/>
  <c r="R569" i="1"/>
  <c r="D231" i="5" s="1"/>
  <c r="Q569" i="1"/>
  <c r="C231" i="5" s="1"/>
  <c r="H569" i="1"/>
  <c r="U568" i="1"/>
  <c r="G230" i="5" s="1"/>
  <c r="T568" i="1"/>
  <c r="F230" i="5" s="1"/>
  <c r="S568" i="1"/>
  <c r="E230" i="5" s="1"/>
  <c r="R568" i="1"/>
  <c r="D230" i="5" s="1"/>
  <c r="Q568" i="1"/>
  <c r="C230" i="5" s="1"/>
  <c r="U567" i="1"/>
  <c r="G229" i="5" s="1"/>
  <c r="T567" i="1"/>
  <c r="F229" i="5" s="1"/>
  <c r="S567" i="1"/>
  <c r="E229" i="5" s="1"/>
  <c r="R567" i="1"/>
  <c r="D229" i="5" s="1"/>
  <c r="Q567" i="1"/>
  <c r="C229" i="5" s="1"/>
  <c r="F563" i="1"/>
  <c r="T548" i="1"/>
  <c r="Q540" i="1"/>
  <c r="U520" i="1"/>
  <c r="F552" i="1"/>
  <c r="F542" i="1"/>
  <c r="H538" i="1"/>
  <c r="F532" i="1"/>
  <c r="F522" i="1"/>
  <c r="H518" i="1"/>
  <c r="F512" i="1"/>
  <c r="F573" i="1"/>
  <c r="F562" i="1"/>
  <c r="R503" i="1"/>
  <c r="R497" i="1"/>
  <c r="H505" i="1"/>
  <c r="F499" i="1"/>
  <c r="H495" i="1"/>
  <c r="F489" i="1"/>
  <c r="H485" i="1"/>
  <c r="F479" i="1"/>
  <c r="Q464" i="1"/>
  <c r="H474" i="1"/>
  <c r="F468" i="1"/>
  <c r="H464" i="1"/>
  <c r="F458" i="1"/>
  <c r="T714" i="1" l="1"/>
  <c r="T709" i="1" s="1"/>
  <c r="S714" i="1"/>
  <c r="S709" i="1" s="1"/>
  <c r="U714" i="1"/>
  <c r="U709" i="1" s="1"/>
  <c r="R714" i="1"/>
  <c r="Q714" i="1"/>
  <c r="R482" i="1"/>
  <c r="Q483" i="1"/>
  <c r="U483" i="1"/>
  <c r="T484" i="1"/>
  <c r="S485" i="1"/>
  <c r="Q487" i="1"/>
  <c r="U487" i="1"/>
  <c r="R485" i="1"/>
  <c r="T487" i="1"/>
  <c r="S482" i="1"/>
  <c r="R483" i="1"/>
  <c r="Q484" i="1"/>
  <c r="U484" i="1"/>
  <c r="T485" i="1"/>
  <c r="R487" i="1"/>
  <c r="T483" i="1"/>
  <c r="S483" i="1"/>
  <c r="R484" i="1"/>
  <c r="Q485" i="1"/>
  <c r="U485" i="1"/>
  <c r="T486" i="1"/>
  <c r="S487" i="1"/>
  <c r="Q482" i="1"/>
  <c r="S484" i="1"/>
  <c r="U486" i="1"/>
  <c r="Q587" i="1"/>
  <c r="U587" i="1"/>
  <c r="T588" i="1"/>
  <c r="S589" i="1"/>
  <c r="R590" i="1"/>
  <c r="Q591" i="1"/>
  <c r="U591" i="1"/>
  <c r="T592" i="1"/>
  <c r="R587" i="1"/>
  <c r="Q588" i="1"/>
  <c r="U588" i="1"/>
  <c r="T589" i="1"/>
  <c r="S590" i="1"/>
  <c r="R591" i="1"/>
  <c r="Q592" i="1"/>
  <c r="U592" i="1"/>
  <c r="S587" i="1"/>
  <c r="R588" i="1"/>
  <c r="Q589" i="1"/>
  <c r="U589" i="1"/>
  <c r="T590" i="1"/>
  <c r="S591" i="1"/>
  <c r="R592" i="1"/>
  <c r="S588" i="1"/>
  <c r="T591" i="1"/>
  <c r="S592" i="1"/>
  <c r="T587" i="1"/>
  <c r="R589" i="1"/>
  <c r="Q590" i="1"/>
  <c r="U590" i="1"/>
  <c r="Q597" i="1"/>
  <c r="U597" i="1"/>
  <c r="T598" i="1"/>
  <c r="S599" i="1"/>
  <c r="R600" i="1"/>
  <c r="Q601" i="1"/>
  <c r="U601" i="1"/>
  <c r="T602" i="1"/>
  <c r="R597" i="1"/>
  <c r="Q598" i="1"/>
  <c r="U598" i="1"/>
  <c r="T599" i="1"/>
  <c r="S600" i="1"/>
  <c r="R601" i="1"/>
  <c r="Q602" i="1"/>
  <c r="U602" i="1"/>
  <c r="S597" i="1"/>
  <c r="R598" i="1"/>
  <c r="Q599" i="1"/>
  <c r="U599" i="1"/>
  <c r="T600" i="1"/>
  <c r="S601" i="1"/>
  <c r="R602" i="1"/>
  <c r="Q600" i="1"/>
  <c r="T597" i="1"/>
  <c r="U600" i="1"/>
  <c r="S602" i="1"/>
  <c r="S598" i="1"/>
  <c r="T601" i="1"/>
  <c r="R599" i="1"/>
  <c r="Q578" i="1"/>
  <c r="U578" i="1"/>
  <c r="T579" i="1"/>
  <c r="S580" i="1"/>
  <c r="R581" i="1"/>
  <c r="Q582" i="1"/>
  <c r="U582" i="1"/>
  <c r="R577" i="1"/>
  <c r="R578" i="1"/>
  <c r="Q579" i="1"/>
  <c r="U579" i="1"/>
  <c r="T580" i="1"/>
  <c r="S581" i="1"/>
  <c r="R582" i="1"/>
  <c r="U577" i="1"/>
  <c r="Q577" i="1"/>
  <c r="S578" i="1"/>
  <c r="R579" i="1"/>
  <c r="Q580" i="1"/>
  <c r="U580" i="1"/>
  <c r="T581" i="1"/>
  <c r="S582" i="1"/>
  <c r="T577" i="1"/>
  <c r="Q581" i="1"/>
  <c r="T578" i="1"/>
  <c r="U581" i="1"/>
  <c r="S577" i="1"/>
  <c r="S579" i="1"/>
  <c r="T582" i="1"/>
  <c r="R580" i="1"/>
  <c r="Q617" i="1"/>
  <c r="U617" i="1"/>
  <c r="T618" i="1"/>
  <c r="R620" i="1"/>
  <c r="Q621" i="1"/>
  <c r="U621" i="1"/>
  <c r="T622" i="1"/>
  <c r="S616" i="1"/>
  <c r="R617" i="1"/>
  <c r="Q618" i="1"/>
  <c r="U618" i="1"/>
  <c r="S620" i="1"/>
  <c r="R621" i="1"/>
  <c r="Q622" i="1"/>
  <c r="U622" i="1"/>
  <c r="R616" i="1"/>
  <c r="S617" i="1"/>
  <c r="R618" i="1"/>
  <c r="T620" i="1"/>
  <c r="S621" i="1"/>
  <c r="R622" i="1"/>
  <c r="U616" i="1"/>
  <c r="Q616" i="1"/>
  <c r="S622" i="1"/>
  <c r="T621" i="1"/>
  <c r="Q620" i="1"/>
  <c r="T616" i="1"/>
  <c r="T617" i="1"/>
  <c r="U620" i="1"/>
  <c r="S618" i="1"/>
  <c r="R773" i="1"/>
  <c r="R463" i="1"/>
  <c r="Q782" i="1"/>
  <c r="T783" i="1"/>
  <c r="S692" i="1"/>
  <c r="T682" i="1"/>
  <c r="U692" i="1"/>
  <c r="S732" i="1"/>
  <c r="Q638" i="1"/>
  <c r="Q722" i="1"/>
  <c r="T765" i="1"/>
  <c r="Q762" i="1"/>
  <c r="S763" i="1"/>
  <c r="A235" i="5"/>
  <c r="A27" i="3"/>
  <c r="V1869" i="1"/>
  <c r="S772" i="1"/>
  <c r="R777" i="1"/>
  <c r="R781" i="1"/>
  <c r="U782" i="1"/>
  <c r="T784" i="1"/>
  <c r="P790" i="1"/>
  <c r="U794" i="1"/>
  <c r="V1848" i="1"/>
  <c r="U507" i="1"/>
  <c r="Q505" i="1"/>
  <c r="S505" i="1"/>
  <c r="T507" i="1"/>
  <c r="R537" i="1"/>
  <c r="U538" i="1"/>
  <c r="S639" i="1"/>
  <c r="R682" i="1"/>
  <c r="U722" i="1"/>
  <c r="V1859" i="1"/>
  <c r="V1868" i="1"/>
  <c r="V1879" i="1"/>
  <c r="V1888" i="1"/>
  <c r="S761" i="1"/>
  <c r="U762" i="1"/>
  <c r="S797" i="1"/>
  <c r="U792" i="1"/>
  <c r="V1858" i="1"/>
  <c r="V1878" i="1"/>
  <c r="V1889" i="1"/>
  <c r="P1855" i="1"/>
  <c r="Q792" i="1"/>
  <c r="T793" i="1"/>
  <c r="T777" i="1"/>
  <c r="T776" i="1"/>
  <c r="S774" i="1"/>
  <c r="U773" i="1"/>
  <c r="S773" i="1"/>
  <c r="Q773" i="1"/>
  <c r="T772" i="1"/>
  <c r="R772" i="1"/>
  <c r="U771" i="1"/>
  <c r="S771" i="1"/>
  <c r="Q771" i="1"/>
  <c r="S787" i="1"/>
  <c r="U786" i="1"/>
  <c r="R784" i="1"/>
  <c r="Q784" i="1"/>
  <c r="U783" i="1"/>
  <c r="S783" i="1"/>
  <c r="Q783" i="1"/>
  <c r="T782" i="1"/>
  <c r="R782" i="1"/>
  <c r="U781" i="1"/>
  <c r="S781" i="1"/>
  <c r="Q781" i="1"/>
  <c r="U797" i="1"/>
  <c r="Q797" i="1"/>
  <c r="U795" i="1"/>
  <c r="T794" i="1"/>
  <c r="U793" i="1"/>
  <c r="S793" i="1"/>
  <c r="Q793" i="1"/>
  <c r="T792" i="1"/>
  <c r="R792" i="1"/>
  <c r="U791" i="1"/>
  <c r="S791" i="1"/>
  <c r="Q791" i="1"/>
  <c r="R721" i="1"/>
  <c r="S722" i="1"/>
  <c r="Q723" i="1"/>
  <c r="T725" i="1"/>
  <c r="R771" i="1"/>
  <c r="Q772" i="1"/>
  <c r="U772" i="1"/>
  <c r="T773" i="1"/>
  <c r="T775" i="1"/>
  <c r="T781" i="1"/>
  <c r="S782" i="1"/>
  <c r="R783" i="1"/>
  <c r="T787" i="1"/>
  <c r="U785" i="1"/>
  <c r="U787" i="1"/>
  <c r="T791" i="1"/>
  <c r="S792" i="1"/>
  <c r="R793" i="1"/>
  <c r="T797" i="1"/>
  <c r="U796" i="1"/>
  <c r="S764" i="1"/>
  <c r="U763" i="1"/>
  <c r="Q763" i="1"/>
  <c r="S762" i="1"/>
  <c r="U761" i="1"/>
  <c r="Q761" i="1"/>
  <c r="S784" i="1"/>
  <c r="U784" i="1"/>
  <c r="Q774" i="1"/>
  <c r="U774" i="1"/>
  <c r="T774" i="1"/>
  <c r="U767" i="1"/>
  <c r="S767" i="1"/>
  <c r="Q767" i="1"/>
  <c r="U766" i="1"/>
  <c r="U765" i="1"/>
  <c r="T763" i="1"/>
  <c r="R763" i="1"/>
  <c r="T762" i="1"/>
  <c r="R762" i="1"/>
  <c r="T761" i="1"/>
  <c r="R761" i="1"/>
  <c r="R764" i="1"/>
  <c r="T764" i="1"/>
  <c r="Q764" i="1"/>
  <c r="U764" i="1"/>
  <c r="T766" i="1"/>
  <c r="R767" i="1"/>
  <c r="R774" i="1"/>
  <c r="U775" i="1"/>
  <c r="U776" i="1"/>
  <c r="Q777" i="1"/>
  <c r="S777" i="1"/>
  <c r="T785" i="1"/>
  <c r="T786" i="1"/>
  <c r="R787" i="1"/>
  <c r="R794" i="1"/>
  <c r="P810" i="1"/>
  <c r="T795" i="1"/>
  <c r="T796" i="1"/>
  <c r="R797" i="1"/>
  <c r="U516" i="1"/>
  <c r="S520" i="1"/>
  <c r="U672" i="1"/>
  <c r="S731" i="1"/>
  <c r="Q721" i="1"/>
  <c r="S721" i="1"/>
  <c r="R722" i="1"/>
  <c r="T722" i="1"/>
  <c r="U726" i="1"/>
  <c r="U683" i="1"/>
  <c r="R684" i="1"/>
  <c r="T686" i="1"/>
  <c r="R685" i="1"/>
  <c r="T501" i="1"/>
  <c r="Q501" i="1"/>
  <c r="S545" i="1"/>
  <c r="Q672" i="1"/>
  <c r="Q682" i="1"/>
  <c r="S682" i="1"/>
  <c r="U682" i="1"/>
  <c r="Q683" i="1"/>
  <c r="T685" i="1"/>
  <c r="U723" i="1"/>
  <c r="R724" i="1"/>
  <c r="T726" i="1"/>
  <c r="Q731" i="1"/>
  <c r="Q732" i="1"/>
  <c r="U732" i="1"/>
  <c r="S733" i="1"/>
  <c r="Q516" i="1"/>
  <c r="U517" i="1"/>
  <c r="U518" i="1"/>
  <c r="S535" i="1"/>
  <c r="S672" i="1"/>
  <c r="S683" i="1"/>
  <c r="T684" i="1"/>
  <c r="R686" i="1"/>
  <c r="S723" i="1"/>
  <c r="T724" i="1"/>
  <c r="R726" i="1"/>
  <c r="T721" i="1"/>
  <c r="U721" i="1"/>
  <c r="Q695" i="1"/>
  <c r="R673" i="1"/>
  <c r="T673" i="1"/>
  <c r="Q674" i="1"/>
  <c r="S674" i="1"/>
  <c r="U674" i="1"/>
  <c r="Q675" i="1"/>
  <c r="U675" i="1"/>
  <c r="Q676" i="1"/>
  <c r="S676" i="1"/>
  <c r="U676" i="1"/>
  <c r="U696" i="1"/>
  <c r="S696" i="1"/>
  <c r="Q696" i="1"/>
  <c r="U695" i="1"/>
  <c r="S695" i="1"/>
  <c r="U694" i="1"/>
  <c r="R693" i="1"/>
  <c r="T693" i="1"/>
  <c r="Q694" i="1"/>
  <c r="S694" i="1"/>
  <c r="T695" i="1"/>
  <c r="R696" i="1"/>
  <c r="R672" i="1"/>
  <c r="T672" i="1"/>
  <c r="Q673" i="1"/>
  <c r="S673" i="1"/>
  <c r="U673" i="1"/>
  <c r="R674" i="1"/>
  <c r="T674" i="1"/>
  <c r="R675" i="1"/>
  <c r="T675" i="1"/>
  <c r="R676" i="1"/>
  <c r="R683" i="1"/>
  <c r="T683" i="1"/>
  <c r="Q684" i="1"/>
  <c r="S684" i="1"/>
  <c r="U684" i="1"/>
  <c r="Q685" i="1"/>
  <c r="S685" i="1"/>
  <c r="U685" i="1"/>
  <c r="Q686" i="1"/>
  <c r="S686" i="1"/>
  <c r="R692" i="1"/>
  <c r="T692" i="1"/>
  <c r="Q693" i="1"/>
  <c r="S693" i="1"/>
  <c r="U693" i="1"/>
  <c r="R694" i="1"/>
  <c r="T694" i="1"/>
  <c r="R695" i="1"/>
  <c r="T696" i="1"/>
  <c r="U736" i="1"/>
  <c r="S736" i="1"/>
  <c r="Q736" i="1"/>
  <c r="U735" i="1"/>
  <c r="S735" i="1"/>
  <c r="Q735" i="1"/>
  <c r="U734" i="1"/>
  <c r="S734" i="1"/>
  <c r="Q734" i="1"/>
  <c r="T733" i="1"/>
  <c r="R733" i="1"/>
  <c r="R736" i="1"/>
  <c r="T735" i="1"/>
  <c r="R734" i="1"/>
  <c r="U733" i="1"/>
  <c r="Q733" i="1"/>
  <c r="T732" i="1"/>
  <c r="R732" i="1"/>
  <c r="R731" i="1"/>
  <c r="R735" i="1"/>
  <c r="T736" i="1"/>
  <c r="R723" i="1"/>
  <c r="T723" i="1"/>
  <c r="Q724" i="1"/>
  <c r="S724" i="1"/>
  <c r="U724" i="1"/>
  <c r="Q725" i="1"/>
  <c r="S725" i="1"/>
  <c r="U725" i="1"/>
  <c r="Q726" i="1"/>
  <c r="S726" i="1"/>
  <c r="S489" i="1"/>
  <c r="U489" i="1"/>
  <c r="R547" i="1"/>
  <c r="U643" i="1"/>
  <c r="S643" i="1"/>
  <c r="Q643" i="1"/>
  <c r="U642" i="1"/>
  <c r="U641" i="1"/>
  <c r="U640" i="1"/>
  <c r="S640" i="1"/>
  <c r="Q640" i="1"/>
  <c r="T639" i="1"/>
  <c r="R639" i="1"/>
  <c r="R638" i="1"/>
  <c r="R637" i="1"/>
  <c r="T640" i="1"/>
  <c r="T642" i="1"/>
  <c r="R643" i="1"/>
  <c r="Q637" i="1"/>
  <c r="S638" i="1"/>
  <c r="Q639" i="1"/>
  <c r="U639" i="1"/>
  <c r="R640" i="1"/>
  <c r="T641" i="1"/>
  <c r="T643" i="1"/>
  <c r="R515" i="1"/>
  <c r="S516" i="1"/>
  <c r="Q517" i="1"/>
  <c r="U519" i="1"/>
  <c r="S536" i="1"/>
  <c r="U540" i="1"/>
  <c r="T493" i="1"/>
  <c r="T496" i="1"/>
  <c r="Q515" i="1"/>
  <c r="S515" i="1"/>
  <c r="R516" i="1"/>
  <c r="T516" i="1"/>
  <c r="T520" i="1"/>
  <c r="S517" i="1"/>
  <c r="Q520" i="1"/>
  <c r="Q535" i="1"/>
  <c r="Q536" i="1"/>
  <c r="U536" i="1"/>
  <c r="S494" i="1"/>
  <c r="S495" i="1"/>
  <c r="S546" i="1"/>
  <c r="T550" i="1"/>
  <c r="V567" i="1"/>
  <c r="H229" i="5" s="1"/>
  <c r="V570" i="1"/>
  <c r="H232" i="5" s="1"/>
  <c r="Q466" i="1"/>
  <c r="U466" i="1"/>
  <c r="U461" i="1"/>
  <c r="U476" i="1"/>
  <c r="R476" i="1"/>
  <c r="T474" i="1"/>
  <c r="R473" i="1"/>
  <c r="T470" i="1"/>
  <c r="U526" i="1"/>
  <c r="Q526" i="1"/>
  <c r="S525" i="1"/>
  <c r="S472" i="1"/>
  <c r="S475" i="1"/>
  <c r="R507" i="1"/>
  <c r="T506" i="1"/>
  <c r="U505" i="1"/>
  <c r="T503" i="1"/>
  <c r="S501" i="1"/>
  <c r="Q525" i="1"/>
  <c r="S526" i="1"/>
  <c r="R506" i="1"/>
  <c r="V568" i="1"/>
  <c r="H230" i="5" s="1"/>
  <c r="V569" i="1"/>
  <c r="H231" i="5" s="1"/>
  <c r="V571" i="1"/>
  <c r="H233" i="5" s="1"/>
  <c r="U501" i="1"/>
  <c r="R501" i="1"/>
  <c r="Q503" i="1"/>
  <c r="S503" i="1"/>
  <c r="U503" i="1"/>
  <c r="Q506" i="1"/>
  <c r="S506" i="1"/>
  <c r="Q545" i="1"/>
  <c r="Q546" i="1"/>
  <c r="U546" i="1"/>
  <c r="R489" i="1"/>
  <c r="T489" i="1"/>
  <c r="Q489" i="1"/>
  <c r="R493" i="1"/>
  <c r="U497" i="1"/>
  <c r="T497" i="1"/>
  <c r="T530" i="1"/>
  <c r="R530" i="1"/>
  <c r="T529" i="1"/>
  <c r="R527" i="1"/>
  <c r="T527" i="1"/>
  <c r="T528" i="1"/>
  <c r="Q530" i="1"/>
  <c r="U530" i="1"/>
  <c r="R517" i="1"/>
  <c r="T517" i="1"/>
  <c r="T518" i="1"/>
  <c r="T519" i="1"/>
  <c r="R520" i="1"/>
  <c r="R525" i="1"/>
  <c r="R526" i="1"/>
  <c r="T526" i="1"/>
  <c r="Q527" i="1"/>
  <c r="S527" i="1"/>
  <c r="U527" i="1"/>
  <c r="U528" i="1"/>
  <c r="U529" i="1"/>
  <c r="S530" i="1"/>
  <c r="T540" i="1"/>
  <c r="R540" i="1"/>
  <c r="T539" i="1"/>
  <c r="T538" i="1"/>
  <c r="U537" i="1"/>
  <c r="S537" i="1"/>
  <c r="Q537" i="1"/>
  <c r="T536" i="1"/>
  <c r="R536" i="1"/>
  <c r="R535" i="1"/>
  <c r="T537" i="1"/>
  <c r="U539" i="1"/>
  <c r="S540" i="1"/>
  <c r="U550" i="1"/>
  <c r="S550" i="1"/>
  <c r="Q550" i="1"/>
  <c r="U549" i="1"/>
  <c r="U548" i="1"/>
  <c r="U547" i="1"/>
  <c r="S547" i="1"/>
  <c r="Q547" i="1"/>
  <c r="T546" i="1"/>
  <c r="R546" i="1"/>
  <c r="R545" i="1"/>
  <c r="T547" i="1"/>
  <c r="T549" i="1"/>
  <c r="R550" i="1"/>
  <c r="Q493" i="1"/>
  <c r="S493" i="1"/>
  <c r="U493" i="1"/>
  <c r="Q494" i="1"/>
  <c r="U494" i="1"/>
  <c r="Q495" i="1"/>
  <c r="U495" i="1"/>
  <c r="R495" i="1"/>
  <c r="R505" i="1"/>
  <c r="R494" i="1"/>
  <c r="T494" i="1"/>
  <c r="T495" i="1"/>
  <c r="U496" i="1"/>
  <c r="Q497" i="1"/>
  <c r="S497" i="1"/>
  <c r="T505" i="1"/>
  <c r="U506" i="1"/>
  <c r="Q507" i="1"/>
  <c r="S507" i="1"/>
  <c r="Q461" i="1"/>
  <c r="S462" i="1"/>
  <c r="S465" i="1"/>
  <c r="R470" i="1"/>
  <c r="Q472" i="1"/>
  <c r="U472" i="1"/>
  <c r="T473" i="1"/>
  <c r="R474" i="1"/>
  <c r="Q475" i="1"/>
  <c r="U475" i="1"/>
  <c r="T476" i="1"/>
  <c r="S461" i="1"/>
  <c r="Q462" i="1"/>
  <c r="U462" i="1"/>
  <c r="U464" i="1"/>
  <c r="Q470" i="1"/>
  <c r="S470" i="1"/>
  <c r="U470" i="1"/>
  <c r="R472" i="1"/>
  <c r="T472" i="1"/>
  <c r="Q473" i="1"/>
  <c r="S473" i="1"/>
  <c r="U473" i="1"/>
  <c r="Q474" i="1"/>
  <c r="S474" i="1"/>
  <c r="U474" i="1"/>
  <c r="R475" i="1"/>
  <c r="T475" i="1"/>
  <c r="Q476" i="1"/>
  <c r="S476" i="1"/>
  <c r="T466" i="1"/>
  <c r="R466" i="1"/>
  <c r="T465" i="1"/>
  <c r="R465" i="1"/>
  <c r="T464" i="1"/>
  <c r="R464" i="1"/>
  <c r="U463" i="1"/>
  <c r="S463" i="1"/>
  <c r="Q463" i="1"/>
  <c r="T462" i="1"/>
  <c r="R462" i="1"/>
  <c r="T461" i="1"/>
  <c r="R461" i="1"/>
  <c r="T463" i="1"/>
  <c r="S464" i="1"/>
  <c r="Q465" i="1"/>
  <c r="U465" i="1"/>
  <c r="S466" i="1"/>
  <c r="V704" i="1" l="1"/>
  <c r="V714" i="1"/>
  <c r="F185" i="5"/>
  <c r="G187" i="5"/>
  <c r="D242" i="5"/>
  <c r="G243" i="5"/>
  <c r="D244" i="5"/>
  <c r="C244" i="5"/>
  <c r="G240" i="5"/>
  <c r="C243" i="5"/>
  <c r="G242" i="5"/>
  <c r="F244" i="5"/>
  <c r="F240" i="5"/>
  <c r="F243" i="5"/>
  <c r="E240" i="5"/>
  <c r="E243" i="5"/>
  <c r="D240" i="5"/>
  <c r="D243" i="5"/>
  <c r="C240" i="5"/>
  <c r="C187" i="5"/>
  <c r="D189" i="5"/>
  <c r="D185" i="5"/>
  <c r="G189" i="5"/>
  <c r="G185" i="5"/>
  <c r="E244" i="5"/>
  <c r="F242" i="5"/>
  <c r="E242" i="5"/>
  <c r="E189" i="5"/>
  <c r="F187" i="5"/>
  <c r="C189" i="5"/>
  <c r="C185" i="5"/>
  <c r="D187" i="5"/>
  <c r="C242" i="5"/>
  <c r="G244" i="5"/>
  <c r="G188" i="5"/>
  <c r="F188" i="5"/>
  <c r="E185" i="5"/>
  <c r="F189" i="5"/>
  <c r="E187" i="5"/>
  <c r="V702" i="1"/>
  <c r="V784" i="1"/>
  <c r="V787" i="1"/>
  <c r="V793" i="1"/>
  <c r="V772" i="1"/>
  <c r="V781" i="1"/>
  <c r="V783" i="1"/>
  <c r="V773" i="1"/>
  <c r="V771" i="1"/>
  <c r="V791" i="1"/>
  <c r="V792" i="1"/>
  <c r="U790" i="1"/>
  <c r="V797" i="1"/>
  <c r="U760" i="1"/>
  <c r="T770" i="1"/>
  <c r="U780" i="1"/>
  <c r="V782" i="1"/>
  <c r="V764" i="1"/>
  <c r="T760" i="1"/>
  <c r="V762" i="1"/>
  <c r="V763" i="1"/>
  <c r="T790" i="1"/>
  <c r="T780" i="1"/>
  <c r="V777" i="1"/>
  <c r="V767" i="1"/>
  <c r="U770" i="1"/>
  <c r="V774" i="1"/>
  <c r="V761" i="1"/>
  <c r="V733" i="1"/>
  <c r="V722" i="1"/>
  <c r="V682" i="1"/>
  <c r="V735" i="1"/>
  <c r="V732" i="1"/>
  <c r="V734" i="1"/>
  <c r="V736" i="1"/>
  <c r="V672" i="1"/>
  <c r="V721" i="1"/>
  <c r="V516" i="1"/>
  <c r="V723" i="1"/>
  <c r="V683" i="1"/>
  <c r="S675" i="1"/>
  <c r="V692" i="1"/>
  <c r="V725" i="1"/>
  <c r="V685" i="1"/>
  <c r="V696" i="1"/>
  <c r="V726" i="1"/>
  <c r="V724" i="1"/>
  <c r="V703" i="1"/>
  <c r="V693" i="1"/>
  <c r="V686" i="1"/>
  <c r="V684" i="1"/>
  <c r="V673" i="1"/>
  <c r="V694" i="1"/>
  <c r="V695" i="1"/>
  <c r="V676" i="1"/>
  <c r="V674" i="1"/>
  <c r="V639" i="1"/>
  <c r="V643" i="1"/>
  <c r="V640" i="1"/>
  <c r="V520" i="1"/>
  <c r="V616" i="1"/>
  <c r="V483" i="1"/>
  <c r="V588" i="1"/>
  <c r="V612" i="1"/>
  <c r="V608" i="1"/>
  <c r="V577" i="1"/>
  <c r="V578" i="1"/>
  <c r="V501" i="1"/>
  <c r="V589" i="1"/>
  <c r="V503" i="1"/>
  <c r="V485" i="1"/>
  <c r="V622" i="1"/>
  <c r="V617" i="1"/>
  <c r="V610" i="1"/>
  <c r="V611" i="1"/>
  <c r="V609" i="1"/>
  <c r="V470" i="1"/>
  <c r="V587" i="1"/>
  <c r="V506" i="1"/>
  <c r="V546" i="1"/>
  <c r="V547" i="1"/>
  <c r="V598" i="1"/>
  <c r="V592" i="1"/>
  <c r="V591" i="1"/>
  <c r="V579" i="1"/>
  <c r="V618" i="1"/>
  <c r="V489" i="1"/>
  <c r="V493" i="1"/>
  <c r="V495" i="1"/>
  <c r="V621" i="1"/>
  <c r="V597" i="1"/>
  <c r="V582" i="1"/>
  <c r="V580" i="1"/>
  <c r="V600" i="1"/>
  <c r="V602" i="1"/>
  <c r="V620" i="1"/>
  <c r="V581" i="1"/>
  <c r="V599" i="1"/>
  <c r="V601" i="1"/>
  <c r="V590" i="1"/>
  <c r="V540" i="1"/>
  <c r="V536" i="1"/>
  <c r="V537" i="1"/>
  <c r="V526" i="1"/>
  <c r="V527" i="1"/>
  <c r="V530" i="1"/>
  <c r="V517" i="1"/>
  <c r="V550" i="1"/>
  <c r="V476" i="1"/>
  <c r="V474" i="1"/>
  <c r="V472" i="1"/>
  <c r="V475" i="1"/>
  <c r="V505" i="1"/>
  <c r="V507" i="1"/>
  <c r="V497" i="1"/>
  <c r="V487" i="1"/>
  <c r="V494" i="1"/>
  <c r="V484" i="1"/>
  <c r="V473" i="1"/>
  <c r="V465" i="1"/>
  <c r="V461" i="1"/>
  <c r="V462" i="1"/>
  <c r="V464" i="1"/>
  <c r="V466" i="1"/>
  <c r="V463" i="1"/>
  <c r="H244" i="5" l="1"/>
  <c r="H185" i="5"/>
  <c r="H243" i="5"/>
  <c r="H242" i="5"/>
  <c r="H189" i="5"/>
  <c r="H187" i="5"/>
  <c r="H240" i="5"/>
  <c r="S794" i="1"/>
  <c r="Q794" i="1"/>
  <c r="V675" i="1"/>
  <c r="V606" i="1"/>
  <c r="V794" i="1" l="1"/>
  <c r="H87" i="4" l="1"/>
  <c r="H86" i="4"/>
  <c r="H88" i="4" l="1"/>
  <c r="L35" i="1"/>
  <c r="L178" i="1"/>
  <c r="K407" i="1"/>
  <c r="L407" i="1"/>
  <c r="M710" i="1"/>
  <c r="R710" i="1" s="1"/>
  <c r="R709" i="1" s="1"/>
  <c r="L710" i="1"/>
  <c r="Q710" i="1" s="1"/>
  <c r="P700" i="1"/>
  <c r="O700" i="1"/>
  <c r="P690" i="1"/>
  <c r="O690" i="1"/>
  <c r="N690" i="1"/>
  <c r="M690" i="1"/>
  <c r="L690" i="1"/>
  <c r="Q709" i="1" l="1"/>
  <c r="V709" i="1" s="1"/>
  <c r="V710" i="1"/>
  <c r="R678" i="1"/>
  <c r="S678" i="1"/>
  <c r="T681" i="1"/>
  <c r="Q987" i="1"/>
  <c r="T988" i="1"/>
  <c r="S989" i="1"/>
  <c r="R990" i="1"/>
  <c r="Q988" i="1"/>
  <c r="U988" i="1"/>
  <c r="S990" i="1"/>
  <c r="U991" i="1"/>
  <c r="R988" i="1"/>
  <c r="Q989" i="1"/>
  <c r="T990" i="1"/>
  <c r="Q990" i="1"/>
  <c r="R992" i="1"/>
  <c r="U990" i="1"/>
  <c r="S992" i="1"/>
  <c r="R989" i="1"/>
  <c r="Q992" i="1"/>
  <c r="S988" i="1"/>
  <c r="T991" i="1"/>
  <c r="T992" i="1"/>
  <c r="U992" i="1"/>
  <c r="I88" i="4"/>
  <c r="H1665" i="1"/>
  <c r="T1004" i="1"/>
  <c r="Q802" i="1"/>
  <c r="S807" i="1"/>
  <c r="S804" i="1"/>
  <c r="T802" i="1"/>
  <c r="U804" i="1"/>
  <c r="U801" i="1"/>
  <c r="R804" i="1"/>
  <c r="Q807" i="1"/>
  <c r="Q804" i="1"/>
  <c r="R802" i="1"/>
  <c r="T804" i="1"/>
  <c r="S802" i="1"/>
  <c r="T806" i="1"/>
  <c r="U802" i="1"/>
  <c r="U806" i="1"/>
  <c r="T803" i="1"/>
  <c r="T801" i="1"/>
  <c r="T805" i="1"/>
  <c r="Q803" i="1"/>
  <c r="R807" i="1"/>
  <c r="S803" i="1"/>
  <c r="S801" i="1"/>
  <c r="U807" i="1"/>
  <c r="U805" i="1"/>
  <c r="R803" i="1"/>
  <c r="R801" i="1"/>
  <c r="T807" i="1"/>
  <c r="Q801" i="1"/>
  <c r="U803" i="1"/>
  <c r="Q1004" i="1"/>
  <c r="U1004" i="1"/>
  <c r="Q668" i="1"/>
  <c r="Q671" i="1"/>
  <c r="R755" i="1"/>
  <c r="S752" i="1"/>
  <c r="R751" i="1"/>
  <c r="Q752" i="1"/>
  <c r="R754" i="1"/>
  <c r="T751" i="1"/>
  <c r="U756" i="1"/>
  <c r="R753" i="1"/>
  <c r="U754" i="1"/>
  <c r="Q756" i="1"/>
  <c r="Q751" i="1"/>
  <c r="Q753" i="1"/>
  <c r="U753" i="1"/>
  <c r="S751" i="1"/>
  <c r="S753" i="1"/>
  <c r="T753" i="1"/>
  <c r="Q755" i="1"/>
  <c r="S756" i="1"/>
  <c r="T756" i="1"/>
  <c r="U752" i="1"/>
  <c r="R752" i="1"/>
  <c r="T754" i="1"/>
  <c r="Q754" i="1"/>
  <c r="S755" i="1"/>
  <c r="R756" i="1"/>
  <c r="U751" i="1"/>
  <c r="T752" i="1"/>
  <c r="T755" i="1"/>
  <c r="S754" i="1"/>
  <c r="U755" i="1"/>
  <c r="U560" i="1"/>
  <c r="G222" i="5" s="1"/>
  <c r="Q557" i="1"/>
  <c r="C219" i="5" s="1"/>
  <c r="Q555" i="1"/>
  <c r="C217" i="5" s="1"/>
  <c r="S557" i="1"/>
  <c r="E219" i="5" s="1"/>
  <c r="S556" i="1"/>
  <c r="E218" i="5" s="1"/>
  <c r="T558" i="1"/>
  <c r="F220" i="5" s="1"/>
  <c r="U559" i="1"/>
  <c r="G221" i="5" s="1"/>
  <c r="R556" i="1"/>
  <c r="D218" i="5" s="1"/>
  <c r="U558" i="1"/>
  <c r="G220" i="5" s="1"/>
  <c r="U556" i="1"/>
  <c r="G218" i="5" s="1"/>
  <c r="T559" i="1"/>
  <c r="F221" i="5" s="1"/>
  <c r="U557" i="1"/>
  <c r="G219" i="5" s="1"/>
  <c r="S555" i="1"/>
  <c r="E217" i="5" s="1"/>
  <c r="R560" i="1"/>
  <c r="D222" i="5" s="1"/>
  <c r="R555" i="1"/>
  <c r="D217" i="5" s="1"/>
  <c r="R557" i="1"/>
  <c r="D219" i="5" s="1"/>
  <c r="Q560" i="1"/>
  <c r="C222" i="5" s="1"/>
  <c r="T560" i="1"/>
  <c r="F222" i="5" s="1"/>
  <c r="T556" i="1"/>
  <c r="F218" i="5" s="1"/>
  <c r="Q556" i="1"/>
  <c r="C218" i="5" s="1"/>
  <c r="T557" i="1"/>
  <c r="F219" i="5" s="1"/>
  <c r="S560" i="1"/>
  <c r="E222" i="5" s="1"/>
  <c r="T565" i="1"/>
  <c r="F227" i="5" s="1"/>
  <c r="U813" i="1"/>
  <c r="R811" i="1"/>
  <c r="T817" i="1"/>
  <c r="T814" i="1"/>
  <c r="T816" i="1"/>
  <c r="U817" i="1"/>
  <c r="U811" i="1"/>
  <c r="U815" i="1"/>
  <c r="Q817" i="1"/>
  <c r="U814" i="1"/>
  <c r="T815" i="1"/>
  <c r="S813" i="1"/>
  <c r="T813" i="1"/>
  <c r="S811" i="1"/>
  <c r="Q816" i="1"/>
  <c r="S817" i="1"/>
  <c r="Q813" i="1"/>
  <c r="R817" i="1"/>
  <c r="R813" i="1"/>
  <c r="Q811" i="1"/>
  <c r="S816" i="1"/>
  <c r="T811" i="1"/>
  <c r="T812" i="1"/>
  <c r="R815" i="1"/>
  <c r="R816" i="1"/>
  <c r="U812" i="1"/>
  <c r="Q815" i="1"/>
  <c r="S815" i="1"/>
  <c r="U816" i="1"/>
  <c r="R1004" i="1"/>
  <c r="U1007" i="1"/>
  <c r="T1011" i="1"/>
  <c r="U1009" i="1"/>
  <c r="R1008" i="1"/>
  <c r="S1007" i="1"/>
  <c r="U1012" i="1"/>
  <c r="S1006" i="1"/>
  <c r="S1008" i="1"/>
  <c r="R1011" i="1"/>
  <c r="S1009" i="1"/>
  <c r="T1007" i="1"/>
  <c r="Q1011" i="1"/>
  <c r="Q1008" i="1"/>
  <c r="U1010" i="1"/>
  <c r="Q1007" i="1"/>
  <c r="T1012" i="1"/>
  <c r="T1010" i="1"/>
  <c r="Q1009" i="1"/>
  <c r="R1007" i="1"/>
  <c r="U1011" i="1"/>
  <c r="R1006" i="1"/>
  <c r="Q1006" i="1"/>
  <c r="U1008" i="1"/>
  <c r="S1011" i="1"/>
  <c r="R1012" i="1"/>
  <c r="T1008" i="1"/>
  <c r="T1009" i="1"/>
  <c r="S1012" i="1"/>
  <c r="R1009" i="1"/>
  <c r="Q1012" i="1"/>
  <c r="R671" i="1"/>
  <c r="R668" i="1"/>
  <c r="T563" i="1"/>
  <c r="F225" i="5" s="1"/>
  <c r="T566" i="1"/>
  <c r="F228" i="5" s="1"/>
  <c r="S671" i="1"/>
  <c r="S668" i="1"/>
  <c r="U745" i="1"/>
  <c r="S742" i="1"/>
  <c r="R745" i="1"/>
  <c r="S743" i="1"/>
  <c r="U746" i="1"/>
  <c r="Q744" i="1"/>
  <c r="Q745" i="1"/>
  <c r="T743" i="1"/>
  <c r="T746" i="1"/>
  <c r="T744" i="1"/>
  <c r="Q743" i="1"/>
  <c r="Q746" i="1"/>
  <c r="R743" i="1"/>
  <c r="S746" i="1"/>
  <c r="S744" i="1"/>
  <c r="R746" i="1"/>
  <c r="R744" i="1"/>
  <c r="T742" i="1"/>
  <c r="S745" i="1"/>
  <c r="U742" i="1"/>
  <c r="T745" i="1"/>
  <c r="U743" i="1"/>
  <c r="R742" i="1"/>
  <c r="U744" i="1"/>
  <c r="Q742" i="1"/>
  <c r="S1004" i="1"/>
  <c r="Q681" i="1"/>
  <c r="U691" i="1"/>
  <c r="U688" i="1"/>
  <c r="L720" i="1"/>
  <c r="Q718" i="1"/>
  <c r="P720" i="1"/>
  <c r="U718" i="1"/>
  <c r="U728" i="1"/>
  <c r="U731" i="1"/>
  <c r="R574" i="1"/>
  <c r="U668" i="1"/>
  <c r="U671" i="1"/>
  <c r="Q691" i="1"/>
  <c r="S691" i="1"/>
  <c r="S688" i="1"/>
  <c r="N720" i="1"/>
  <c r="S718" i="1"/>
  <c r="Q728" i="1"/>
  <c r="S728" i="1"/>
  <c r="T671" i="1"/>
  <c r="T668" i="1"/>
  <c r="R691" i="1"/>
  <c r="R688" i="1"/>
  <c r="T688" i="1"/>
  <c r="T691" i="1"/>
  <c r="M720" i="1"/>
  <c r="R718" i="1"/>
  <c r="T718" i="1"/>
  <c r="O720" i="1"/>
  <c r="R728" i="1"/>
  <c r="T731" i="1"/>
  <c r="T728" i="1"/>
  <c r="U1849" i="1"/>
  <c r="S1847" i="1"/>
  <c r="T1846" i="1"/>
  <c r="R1844" i="1"/>
  <c r="Q1847" i="1"/>
  <c r="Q1849" i="1"/>
  <c r="U1847" i="1"/>
  <c r="R1846" i="1"/>
  <c r="T1844" i="1"/>
  <c r="S1849" i="1"/>
  <c r="R1847" i="1"/>
  <c r="S1846" i="1"/>
  <c r="U1844" i="1"/>
  <c r="Q1844" i="1"/>
  <c r="Q1850" i="1" s="1"/>
  <c r="T1852" i="1"/>
  <c r="U1852" i="1"/>
  <c r="Q1852" i="1"/>
  <c r="S1851" i="1"/>
  <c r="U1850" i="1"/>
  <c r="T1849" i="1"/>
  <c r="R1851" i="1"/>
  <c r="R1850" i="1"/>
  <c r="T1847" i="1"/>
  <c r="U1846" i="1"/>
  <c r="Q1846" i="1"/>
  <c r="S1844" i="1"/>
  <c r="R1852" i="1"/>
  <c r="S1852" i="1"/>
  <c r="U1851" i="1"/>
  <c r="Q1851" i="1"/>
  <c r="S1850" i="1"/>
  <c r="R1849" i="1"/>
  <c r="T1850" i="1"/>
  <c r="T1851" i="1"/>
  <c r="Q492" i="1"/>
  <c r="R566" i="1"/>
  <c r="D228" i="5" s="1"/>
  <c r="Q566" i="1"/>
  <c r="C228" i="5" s="1"/>
  <c r="U566" i="1"/>
  <c r="G228" i="5" s="1"/>
  <c r="S566" i="1"/>
  <c r="E228" i="5" s="1"/>
  <c r="Q594" i="1"/>
  <c r="R594" i="1"/>
  <c r="U512" i="1"/>
  <c r="Q604" i="1"/>
  <c r="R584" i="1"/>
  <c r="C287" i="5" l="1"/>
  <c r="G285" i="5"/>
  <c r="R681" i="1"/>
  <c r="U678" i="1"/>
  <c r="R680" i="1"/>
  <c r="Q678" i="1"/>
  <c r="T678" i="1"/>
  <c r="S681" i="1"/>
  <c r="U681" i="1"/>
  <c r="U996" i="1"/>
  <c r="U994" i="1"/>
  <c r="V731" i="1"/>
  <c r="G287" i="5"/>
  <c r="F284" i="5"/>
  <c r="F288" i="5"/>
  <c r="G288" i="5"/>
  <c r="E285" i="5"/>
  <c r="V815" i="1"/>
  <c r="D285" i="5"/>
  <c r="F287" i="5"/>
  <c r="V816" i="1"/>
  <c r="Q563" i="1"/>
  <c r="C225" i="5" s="1"/>
  <c r="U810" i="1"/>
  <c r="V560" i="1"/>
  <c r="H222" i="5" s="1"/>
  <c r="V801" i="1"/>
  <c r="V807" i="1"/>
  <c r="D286" i="5"/>
  <c r="G286" i="5"/>
  <c r="G284" i="5"/>
  <c r="D288" i="5"/>
  <c r="F285" i="5"/>
  <c r="D284" i="5"/>
  <c r="E287" i="5"/>
  <c r="E286" i="5"/>
  <c r="D287" i="5"/>
  <c r="V557" i="1"/>
  <c r="H219" i="5" s="1"/>
  <c r="V1011" i="1"/>
  <c r="T564" i="1"/>
  <c r="L1005" i="1"/>
  <c r="L1013" i="1" s="1"/>
  <c r="Q1010" i="1"/>
  <c r="Q1005" i="1" s="1"/>
  <c r="S1026" i="1"/>
  <c r="U1031" i="1"/>
  <c r="S1030" i="1"/>
  <c r="T1026" i="1"/>
  <c r="R1030" i="1"/>
  <c r="Q1026" i="1"/>
  <c r="U1032" i="1"/>
  <c r="S1031" i="1"/>
  <c r="Q1030" i="1"/>
  <c r="R1026" i="1"/>
  <c r="U1028" i="1"/>
  <c r="R1031" i="1"/>
  <c r="T1030" i="1"/>
  <c r="S1032" i="1"/>
  <c r="Q1031" i="1"/>
  <c r="T1028" i="1"/>
  <c r="R1032" i="1"/>
  <c r="Q1028" i="1"/>
  <c r="T1032" i="1"/>
  <c r="S1028" i="1"/>
  <c r="Q1032" i="1"/>
  <c r="U1030" i="1"/>
  <c r="R1028" i="1"/>
  <c r="T1031" i="1"/>
  <c r="U1026" i="1"/>
  <c r="Q769" i="1"/>
  <c r="Q776" i="1"/>
  <c r="C288" i="5"/>
  <c r="V746" i="1"/>
  <c r="S670" i="1"/>
  <c r="S669" i="1" s="1"/>
  <c r="S677" i="1" s="1"/>
  <c r="N669" i="1"/>
  <c r="N677" i="1" s="1"/>
  <c r="Q565" i="1"/>
  <c r="C227" i="5" s="1"/>
  <c r="L564" i="1"/>
  <c r="V1007" i="1"/>
  <c r="R1010" i="1"/>
  <c r="R1005" i="1" s="1"/>
  <c r="R1013" i="1" s="1"/>
  <c r="M1005" i="1"/>
  <c r="M1013" i="1" s="1"/>
  <c r="T810" i="1"/>
  <c r="V755" i="1"/>
  <c r="V992" i="1"/>
  <c r="V803" i="1"/>
  <c r="S565" i="1"/>
  <c r="N564" i="1"/>
  <c r="C284" i="5"/>
  <c r="V742" i="1"/>
  <c r="M669" i="1"/>
  <c r="M677" i="1" s="1"/>
  <c r="R670" i="1"/>
  <c r="R669" i="1" s="1"/>
  <c r="R677" i="1" s="1"/>
  <c r="V756" i="1"/>
  <c r="Q670" i="1"/>
  <c r="Q669" i="1" s="1"/>
  <c r="L669" i="1"/>
  <c r="L677" i="1" s="1"/>
  <c r="S563" i="1"/>
  <c r="E225" i="5" s="1"/>
  <c r="V566" i="1"/>
  <c r="H228" i="5" s="1"/>
  <c r="L460" i="1"/>
  <c r="Q458" i="1"/>
  <c r="Q759" i="1"/>
  <c r="Q766" i="1"/>
  <c r="V743" i="1"/>
  <c r="C285" i="5"/>
  <c r="V745" i="1"/>
  <c r="U563" i="1"/>
  <c r="G225" i="5" s="1"/>
  <c r="V1012" i="1"/>
  <c r="V1009" i="1"/>
  <c r="V813" i="1"/>
  <c r="V817" i="1"/>
  <c r="U1000" i="1"/>
  <c r="T998" i="1"/>
  <c r="T1001" i="1"/>
  <c r="U997" i="1"/>
  <c r="Q999" i="1"/>
  <c r="R998" i="1"/>
  <c r="T1000" i="1"/>
  <c r="U998" i="1"/>
  <c r="U1002" i="1"/>
  <c r="U1001" i="1"/>
  <c r="S998" i="1"/>
  <c r="S999" i="1"/>
  <c r="Q1002" i="1"/>
  <c r="R1002" i="1"/>
  <c r="Q998" i="1"/>
  <c r="Q997" i="1"/>
  <c r="T1002" i="1"/>
  <c r="R999" i="1"/>
  <c r="S1002" i="1"/>
  <c r="V753" i="1"/>
  <c r="V752" i="1"/>
  <c r="R563" i="1"/>
  <c r="D225" i="5" s="1"/>
  <c r="P1005" i="1"/>
  <c r="P1013" i="1" s="1"/>
  <c r="U1006" i="1"/>
  <c r="U1005" i="1" s="1"/>
  <c r="U1013" i="1" s="1"/>
  <c r="V988" i="1"/>
  <c r="U800" i="1"/>
  <c r="U515" i="1"/>
  <c r="U1020" i="1"/>
  <c r="Q1022" i="1"/>
  <c r="U1018" i="1"/>
  <c r="Q1018" i="1"/>
  <c r="U1022" i="1"/>
  <c r="T1022" i="1"/>
  <c r="R1019" i="1"/>
  <c r="Q1017" i="1"/>
  <c r="Q1019" i="1"/>
  <c r="R1022" i="1"/>
  <c r="U1021" i="1"/>
  <c r="S1018" i="1"/>
  <c r="T1018" i="1"/>
  <c r="T1021" i="1"/>
  <c r="S1022" i="1"/>
  <c r="S1019" i="1"/>
  <c r="R1018" i="1"/>
  <c r="T1020" i="1"/>
  <c r="S1010" i="1"/>
  <c r="S1005" i="1" s="1"/>
  <c r="S1013" i="1" s="1"/>
  <c r="N1005" i="1"/>
  <c r="N1013" i="1" s="1"/>
  <c r="E288" i="5"/>
  <c r="F286" i="5"/>
  <c r="V744" i="1"/>
  <c r="E284" i="5"/>
  <c r="U565" i="1"/>
  <c r="P564" i="1"/>
  <c r="V1008" i="1"/>
  <c r="V811" i="1"/>
  <c r="O564" i="1"/>
  <c r="O572" i="1" s="1"/>
  <c r="V556" i="1"/>
  <c r="H218" i="5" s="1"/>
  <c r="V754" i="1"/>
  <c r="V751" i="1"/>
  <c r="R565" i="1"/>
  <c r="M564" i="1"/>
  <c r="V1004" i="1"/>
  <c r="T800" i="1"/>
  <c r="V804" i="1"/>
  <c r="V802" i="1"/>
  <c r="T1006" i="1"/>
  <c r="T1005" i="1" s="1"/>
  <c r="T1013" i="1" s="1"/>
  <c r="O1005" i="1"/>
  <c r="O1013" i="1" s="1"/>
  <c r="V671" i="1"/>
  <c r="M596" i="1"/>
  <c r="R596" i="1" s="1"/>
  <c r="V1851" i="1"/>
  <c r="U1845" i="1"/>
  <c r="U1853" i="1" s="1"/>
  <c r="V1852" i="1"/>
  <c r="V1847" i="1"/>
  <c r="T1845" i="1"/>
  <c r="T720" i="1"/>
  <c r="T719" i="1" s="1"/>
  <c r="T727" i="1" s="1"/>
  <c r="O719" i="1"/>
  <c r="O727" i="1" s="1"/>
  <c r="M689" i="1"/>
  <c r="M697" i="1" s="1"/>
  <c r="R690" i="1"/>
  <c r="R689" i="1" s="1"/>
  <c r="R697" i="1" s="1"/>
  <c r="T670" i="1"/>
  <c r="O669" i="1"/>
  <c r="O677" i="1" s="1"/>
  <c r="N729" i="1"/>
  <c r="N737" i="1" s="1"/>
  <c r="S730" i="1"/>
  <c r="S729" i="1" s="1"/>
  <c r="S737" i="1" s="1"/>
  <c r="L729" i="1"/>
  <c r="L737" i="1" s="1"/>
  <c r="Q730" i="1"/>
  <c r="S720" i="1"/>
  <c r="S719" i="1" s="1"/>
  <c r="S727" i="1" s="1"/>
  <c r="N719" i="1"/>
  <c r="N727" i="1" s="1"/>
  <c r="P717" i="1"/>
  <c r="U717" i="1" s="1"/>
  <c r="N709" i="1"/>
  <c r="N717" i="1" s="1"/>
  <c r="S717" i="1" s="1"/>
  <c r="Q700" i="1"/>
  <c r="V701" i="1"/>
  <c r="S690" i="1"/>
  <c r="S689" i="1" s="1"/>
  <c r="S697" i="1" s="1"/>
  <c r="N689" i="1"/>
  <c r="N697" i="1" s="1"/>
  <c r="L689" i="1"/>
  <c r="L697" i="1" s="1"/>
  <c r="Q690" i="1"/>
  <c r="V691" i="1"/>
  <c r="U670" i="1"/>
  <c r="P669" i="1"/>
  <c r="P677" i="1" s="1"/>
  <c r="M576" i="1"/>
  <c r="V718" i="1"/>
  <c r="S700" i="1"/>
  <c r="S699" i="1" s="1"/>
  <c r="N699" i="1"/>
  <c r="N707" i="1" s="1"/>
  <c r="P689" i="1"/>
  <c r="P697" i="1" s="1"/>
  <c r="U690" i="1"/>
  <c r="U689" i="1" s="1"/>
  <c r="U697" i="1" s="1"/>
  <c r="P687" i="1"/>
  <c r="U680" i="1"/>
  <c r="L679" i="1"/>
  <c r="L687" i="1" s="1"/>
  <c r="Q680" i="1"/>
  <c r="T1902" i="1"/>
  <c r="T1901" i="1"/>
  <c r="T1900" i="1"/>
  <c r="S1899" i="1"/>
  <c r="U1902" i="1"/>
  <c r="T1898" i="1"/>
  <c r="R1898" i="1"/>
  <c r="U1897" i="1"/>
  <c r="S1897" i="1"/>
  <c r="Q1897" i="1"/>
  <c r="R1896" i="1"/>
  <c r="R1902" i="1"/>
  <c r="Q1899" i="1"/>
  <c r="S1898" i="1"/>
  <c r="T1897" i="1"/>
  <c r="S1896" i="1"/>
  <c r="R1901" i="1"/>
  <c r="U1899" i="1"/>
  <c r="U1898" i="1"/>
  <c r="Q1898" i="1"/>
  <c r="R1897" i="1"/>
  <c r="Q1896" i="1"/>
  <c r="R1899" i="1"/>
  <c r="U1900" i="1"/>
  <c r="S1901" i="1"/>
  <c r="Q1902" i="1"/>
  <c r="T1899" i="1"/>
  <c r="Q1901" i="1"/>
  <c r="U1901" i="1"/>
  <c r="S1902" i="1"/>
  <c r="M586" i="1"/>
  <c r="R586" i="1" s="1"/>
  <c r="L607" i="1"/>
  <c r="Q607" i="1" s="1"/>
  <c r="C239" i="5" s="1"/>
  <c r="L596" i="1"/>
  <c r="Q596" i="1" s="1"/>
  <c r="Q496" i="1"/>
  <c r="Q486" i="1"/>
  <c r="Q786" i="1"/>
  <c r="Q779" i="1"/>
  <c r="V1846" i="1"/>
  <c r="Q1845" i="1"/>
  <c r="V1850" i="1"/>
  <c r="V1844" i="1"/>
  <c r="S1845" i="1"/>
  <c r="R1845" i="1"/>
  <c r="V1849" i="1"/>
  <c r="T730" i="1"/>
  <c r="T729" i="1" s="1"/>
  <c r="T737" i="1" s="1"/>
  <c r="O729" i="1"/>
  <c r="O737" i="1" s="1"/>
  <c r="M729" i="1"/>
  <c r="M737" i="1" s="1"/>
  <c r="R730" i="1"/>
  <c r="R729" i="1" s="1"/>
  <c r="R737" i="1" s="1"/>
  <c r="R720" i="1"/>
  <c r="R719" i="1" s="1"/>
  <c r="R727" i="1" s="1"/>
  <c r="M719" i="1"/>
  <c r="M727" i="1" s="1"/>
  <c r="O717" i="1"/>
  <c r="T717" i="1" s="1"/>
  <c r="M709" i="1"/>
  <c r="M717" i="1" s="1"/>
  <c r="R717" i="1" s="1"/>
  <c r="O699" i="1"/>
  <c r="O707" i="1" s="1"/>
  <c r="T700" i="1"/>
  <c r="T699" i="1" s="1"/>
  <c r="M699" i="1"/>
  <c r="M707" i="1" s="1"/>
  <c r="R700" i="1"/>
  <c r="R699" i="1" s="1"/>
  <c r="O689" i="1"/>
  <c r="O697" i="1" s="1"/>
  <c r="T690" i="1"/>
  <c r="T689" i="1" s="1"/>
  <c r="T697" i="1" s="1"/>
  <c r="O687" i="1"/>
  <c r="T680" i="1"/>
  <c r="T679" i="1" s="1"/>
  <c r="M687" i="1"/>
  <c r="V668" i="1"/>
  <c r="V728" i="1"/>
  <c r="U700" i="1"/>
  <c r="U699" i="1" s="1"/>
  <c r="P699" i="1"/>
  <c r="P707" i="1" s="1"/>
  <c r="V698" i="1"/>
  <c r="V688" i="1"/>
  <c r="S680" i="1"/>
  <c r="P729" i="1"/>
  <c r="P737" i="1" s="1"/>
  <c r="U730" i="1"/>
  <c r="U729" i="1" s="1"/>
  <c r="U737" i="1" s="1"/>
  <c r="U720" i="1"/>
  <c r="U719" i="1" s="1"/>
  <c r="U727" i="1" s="1"/>
  <c r="P719" i="1"/>
  <c r="P727" i="1" s="1"/>
  <c r="L719" i="1"/>
  <c r="L727" i="1" s="1"/>
  <c r="Q720" i="1"/>
  <c r="L709" i="1"/>
  <c r="L717" i="1" s="1"/>
  <c r="Q717" i="1" s="1"/>
  <c r="S534" i="1"/>
  <c r="S594" i="1"/>
  <c r="R604" i="1"/>
  <c r="S544" i="1"/>
  <c r="R492" i="1"/>
  <c r="S584" i="1"/>
  <c r="Q584" i="1"/>
  <c r="P1392" i="1"/>
  <c r="P1400" i="1" s="1"/>
  <c r="O1392" i="1"/>
  <c r="O1400" i="1" s="1"/>
  <c r="N1392" i="1"/>
  <c r="N1400" i="1" s="1"/>
  <c r="M1392" i="1"/>
  <c r="M1400" i="1" s="1"/>
  <c r="L1392" i="1"/>
  <c r="L1400" i="1" s="1"/>
  <c r="F1391" i="1"/>
  <c r="P1352" i="1"/>
  <c r="P1360" i="1" s="1"/>
  <c r="O1352" i="1"/>
  <c r="O1360" i="1" s="1"/>
  <c r="N1352" i="1"/>
  <c r="N1360" i="1" s="1"/>
  <c r="M1352" i="1"/>
  <c r="M1360" i="1" s="1"/>
  <c r="L1352" i="1"/>
  <c r="L1360" i="1" s="1"/>
  <c r="F1351" i="1"/>
  <c r="H1161" i="1"/>
  <c r="S1164" i="1" s="1"/>
  <c r="P1161" i="1"/>
  <c r="P1157" i="1" s="1"/>
  <c r="P1165" i="1" s="1"/>
  <c r="O1161" i="1"/>
  <c r="O1157" i="1" s="1"/>
  <c r="O1165" i="1" s="1"/>
  <c r="N1157" i="1"/>
  <c r="N1165" i="1" s="1"/>
  <c r="M1157" i="1"/>
  <c r="M1165" i="1" s="1"/>
  <c r="L1157" i="1"/>
  <c r="L1165" i="1" s="1"/>
  <c r="F1156" i="1"/>
  <c r="H1183" i="1"/>
  <c r="T1178" i="1" s="1"/>
  <c r="P1179" i="1"/>
  <c r="P1187" i="1" s="1"/>
  <c r="O1179" i="1"/>
  <c r="O1187" i="1" s="1"/>
  <c r="N1179" i="1"/>
  <c r="N1187" i="1" s="1"/>
  <c r="M1179" i="1"/>
  <c r="M1187" i="1" s="1"/>
  <c r="L1179" i="1"/>
  <c r="L1187" i="1" s="1"/>
  <c r="F1178" i="1"/>
  <c r="B29" i="3"/>
  <c r="V717" i="1" l="1"/>
  <c r="V681" i="1"/>
  <c r="U679" i="1"/>
  <c r="U687" i="1" s="1"/>
  <c r="T687" i="1"/>
  <c r="V678" i="1"/>
  <c r="N687" i="1"/>
  <c r="P572" i="1"/>
  <c r="R544" i="1"/>
  <c r="R534" i="1"/>
  <c r="Q519" i="1"/>
  <c r="Q544" i="1"/>
  <c r="S514" i="1"/>
  <c r="S519" i="1"/>
  <c r="C188" i="5"/>
  <c r="S512" i="1"/>
  <c r="M572" i="1"/>
  <c r="R564" i="1"/>
  <c r="R572" i="1" s="1"/>
  <c r="D234" i="5" s="1"/>
  <c r="D227" i="5"/>
  <c r="U564" i="1"/>
  <c r="G227" i="5"/>
  <c r="T562" i="1"/>
  <c r="F226" i="5"/>
  <c r="U1860" i="1"/>
  <c r="T1860" i="1"/>
  <c r="Q514" i="1"/>
  <c r="Q512" i="1"/>
  <c r="Q677" i="1"/>
  <c r="S564" i="1"/>
  <c r="S572" i="1" s="1"/>
  <c r="E234" i="5" s="1"/>
  <c r="E227" i="5"/>
  <c r="T758" i="1"/>
  <c r="F32" i="3" s="1"/>
  <c r="U758" i="1"/>
  <c r="G32" i="3" s="1"/>
  <c r="L572" i="1"/>
  <c r="R458" i="1"/>
  <c r="R614" i="1"/>
  <c r="D236" i="5" s="1"/>
  <c r="N572" i="1"/>
  <c r="T572" i="1"/>
  <c r="F234" i="5" s="1"/>
  <c r="V1032" i="1"/>
  <c r="H284" i="5"/>
  <c r="V563" i="1"/>
  <c r="H225" i="5" s="1"/>
  <c r="Q479" i="1"/>
  <c r="Q481" i="1"/>
  <c r="L490" i="1"/>
  <c r="L498" i="1" s="1"/>
  <c r="R786" i="1"/>
  <c r="R779" i="1"/>
  <c r="V1018" i="1"/>
  <c r="P513" i="1"/>
  <c r="P521" i="1" s="1"/>
  <c r="U514" i="1"/>
  <c r="V998" i="1"/>
  <c r="V1010" i="1"/>
  <c r="R766" i="1"/>
  <c r="R759" i="1"/>
  <c r="L459" i="1"/>
  <c r="L467" i="1" s="1"/>
  <c r="Q460" i="1"/>
  <c r="V1030" i="1"/>
  <c r="V1006" i="1"/>
  <c r="H285" i="5"/>
  <c r="Q775" i="1"/>
  <c r="Q770" i="1" s="1"/>
  <c r="Q778" i="1" s="1"/>
  <c r="L770" i="1"/>
  <c r="L778" i="1" s="1"/>
  <c r="V1031" i="1"/>
  <c r="R549" i="1"/>
  <c r="R542" i="1"/>
  <c r="V1022" i="1"/>
  <c r="V1002" i="1"/>
  <c r="Q1013" i="1"/>
  <c r="V1013" i="1" s="1"/>
  <c r="V1005" i="1"/>
  <c r="Q765" i="1"/>
  <c r="Q760" i="1" s="1"/>
  <c r="L760" i="1"/>
  <c r="L768" i="1" s="1"/>
  <c r="V565" i="1"/>
  <c r="H227" i="5" s="1"/>
  <c r="Q564" i="1"/>
  <c r="C226" i="5" s="1"/>
  <c r="H288" i="5"/>
  <c r="V1028" i="1"/>
  <c r="V1026" i="1"/>
  <c r="V1901" i="1"/>
  <c r="T1962" i="1"/>
  <c r="R1962" i="1"/>
  <c r="Q1960" i="1"/>
  <c r="R1961" i="1"/>
  <c r="T1961" i="1"/>
  <c r="U1960" i="1"/>
  <c r="R1960" i="1"/>
  <c r="S1962" i="1"/>
  <c r="S1961" i="1"/>
  <c r="R679" i="1"/>
  <c r="R687" i="1" s="1"/>
  <c r="V1898" i="1"/>
  <c r="S679" i="1"/>
  <c r="S687" i="1" s="1"/>
  <c r="U669" i="1"/>
  <c r="Q796" i="1"/>
  <c r="Q789" i="1"/>
  <c r="T1857" i="1"/>
  <c r="R1857" i="1"/>
  <c r="S1856" i="1"/>
  <c r="Q1856" i="1"/>
  <c r="S1857" i="1"/>
  <c r="R1856" i="1"/>
  <c r="T1862" i="1"/>
  <c r="U1857" i="1"/>
  <c r="Q1857" i="1"/>
  <c r="S1861" i="1"/>
  <c r="Q1862" i="1"/>
  <c r="U1862" i="1"/>
  <c r="T1861" i="1"/>
  <c r="Q1861" i="1"/>
  <c r="U1861" i="1"/>
  <c r="S1862" i="1"/>
  <c r="R1861" i="1"/>
  <c r="R1862" i="1"/>
  <c r="U1979" i="1"/>
  <c r="S1978" i="1"/>
  <c r="R1976" i="1"/>
  <c r="S1980" i="1"/>
  <c r="Q1979" i="1"/>
  <c r="S1984" i="1"/>
  <c r="U1983" i="1"/>
  <c r="Q1983" i="1"/>
  <c r="S1982" i="1"/>
  <c r="U1981" i="1"/>
  <c r="Q1981" i="1"/>
  <c r="R1980" i="1"/>
  <c r="R1979" i="1"/>
  <c r="R1978" i="1"/>
  <c r="S1976" i="1"/>
  <c r="T1981" i="1"/>
  <c r="T1983" i="1"/>
  <c r="Q1978" i="1"/>
  <c r="S1979" i="1"/>
  <c r="U1980" i="1"/>
  <c r="T1982" i="1"/>
  <c r="T1984" i="1"/>
  <c r="U1984" i="1"/>
  <c r="Q1984" i="1"/>
  <c r="S1983" i="1"/>
  <c r="U1982" i="1"/>
  <c r="Q1982" i="1"/>
  <c r="S1981" i="1"/>
  <c r="T1980" i="1"/>
  <c r="T1979" i="1"/>
  <c r="T1978" i="1"/>
  <c r="U1976" i="1"/>
  <c r="Q1976" i="1"/>
  <c r="R1982" i="1"/>
  <c r="R1984" i="1"/>
  <c r="T1976" i="1"/>
  <c r="U1978" i="1"/>
  <c r="Q1980" i="1"/>
  <c r="R1981" i="1"/>
  <c r="R1983" i="1"/>
  <c r="R468" i="1"/>
  <c r="M471" i="1"/>
  <c r="Q614" i="1"/>
  <c r="Q574" i="1"/>
  <c r="R539" i="1"/>
  <c r="R532" i="1"/>
  <c r="T545" i="1"/>
  <c r="T542" i="1"/>
  <c r="R479" i="1"/>
  <c r="R481" i="1"/>
  <c r="S574" i="1"/>
  <c r="Q549" i="1"/>
  <c r="Q542" i="1"/>
  <c r="S766" i="1"/>
  <c r="S759" i="1"/>
  <c r="T769" i="1"/>
  <c r="T778" i="1" s="1"/>
  <c r="O778" i="1"/>
  <c r="O768" i="1"/>
  <c r="T759" i="1"/>
  <c r="T768" i="1" s="1"/>
  <c r="R776" i="1"/>
  <c r="R769" i="1"/>
  <c r="P798" i="1"/>
  <c r="U789" i="1"/>
  <c r="U798" i="1" s="1"/>
  <c r="S539" i="1"/>
  <c r="S532" i="1"/>
  <c r="T532" i="1"/>
  <c r="T535" i="1"/>
  <c r="Q719" i="1"/>
  <c r="V720" i="1"/>
  <c r="S1853" i="1"/>
  <c r="V1845" i="1"/>
  <c r="L780" i="1"/>
  <c r="L788" i="1" s="1"/>
  <c r="Q785" i="1"/>
  <c r="Q595" i="1"/>
  <c r="Q603" i="1" s="1"/>
  <c r="L595" i="1"/>
  <c r="L603" i="1" s="1"/>
  <c r="L605" i="1"/>
  <c r="L613" i="1" s="1"/>
  <c r="S741" i="1"/>
  <c r="E283" i="5" s="1"/>
  <c r="S738" i="1"/>
  <c r="U741" i="1"/>
  <c r="G283" i="5" s="1"/>
  <c r="U738" i="1"/>
  <c r="R585" i="1"/>
  <c r="R593" i="1" s="1"/>
  <c r="M585" i="1"/>
  <c r="M593" i="1" s="1"/>
  <c r="V1899" i="1"/>
  <c r="Q679" i="1"/>
  <c r="V680" i="1"/>
  <c r="Q689" i="1"/>
  <c r="V690" i="1"/>
  <c r="V700" i="1"/>
  <c r="V670" i="1"/>
  <c r="T669" i="1"/>
  <c r="T738" i="1"/>
  <c r="T741" i="1"/>
  <c r="F283" i="5" s="1"/>
  <c r="Q468" i="1"/>
  <c r="L471" i="1"/>
  <c r="L586" i="1"/>
  <c r="Q586" i="1" s="1"/>
  <c r="S1900" i="1"/>
  <c r="S1894" i="1"/>
  <c r="N586" i="1"/>
  <c r="S586" i="1" s="1"/>
  <c r="Q1900" i="1"/>
  <c r="U535" i="1"/>
  <c r="U532" i="1"/>
  <c r="R496" i="1"/>
  <c r="R486" i="1"/>
  <c r="S542" i="1"/>
  <c r="S549" i="1"/>
  <c r="M607" i="1"/>
  <c r="R607" i="1" s="1"/>
  <c r="D239" i="5" s="1"/>
  <c r="U545" i="1"/>
  <c r="U542" i="1"/>
  <c r="N596" i="1"/>
  <c r="S596" i="1" s="1"/>
  <c r="S786" i="1"/>
  <c r="S779" i="1"/>
  <c r="O798" i="1"/>
  <c r="T789" i="1"/>
  <c r="T798" i="1" s="1"/>
  <c r="T779" i="1"/>
  <c r="T788" i="1" s="1"/>
  <c r="O788" i="1"/>
  <c r="S795" i="1"/>
  <c r="S789" i="1"/>
  <c r="R795" i="1"/>
  <c r="R789" i="1"/>
  <c r="P788" i="1"/>
  <c r="U779" i="1"/>
  <c r="U788" i="1" s="1"/>
  <c r="S769" i="1"/>
  <c r="S776" i="1"/>
  <c r="P768" i="1"/>
  <c r="U759" i="1"/>
  <c r="U768" i="1" s="1"/>
  <c r="P778" i="1"/>
  <c r="U769" i="1"/>
  <c r="U778" i="1" s="1"/>
  <c r="T1963" i="1"/>
  <c r="S1960" i="1"/>
  <c r="U1959" i="1"/>
  <c r="S1959" i="1"/>
  <c r="Q1959" i="1"/>
  <c r="T1958" i="1"/>
  <c r="R1958" i="1"/>
  <c r="T1956" i="1"/>
  <c r="R1956" i="1"/>
  <c r="R1964" i="1"/>
  <c r="T1959" i="1"/>
  <c r="U1958" i="1"/>
  <c r="Q1958" i="1"/>
  <c r="U1956" i="1"/>
  <c r="R1959" i="1"/>
  <c r="S1958" i="1"/>
  <c r="S1956" i="1"/>
  <c r="S1963" i="1"/>
  <c r="R1963" i="1"/>
  <c r="S1964" i="1"/>
  <c r="T1960" i="1"/>
  <c r="T1964" i="1"/>
  <c r="R1853" i="1"/>
  <c r="Q1853" i="1"/>
  <c r="S748" i="1"/>
  <c r="U748" i="1"/>
  <c r="V1902" i="1"/>
  <c r="V1897" i="1"/>
  <c r="M575" i="1"/>
  <c r="M583" i="1" s="1"/>
  <c r="R576" i="1"/>
  <c r="D238" i="5" s="1"/>
  <c r="V730" i="1"/>
  <c r="Q729" i="1"/>
  <c r="T1853" i="1"/>
  <c r="M595" i="1"/>
  <c r="M603" i="1" s="1"/>
  <c r="T748" i="1"/>
  <c r="T1159" i="1"/>
  <c r="Q1158" i="1"/>
  <c r="U1164" i="1"/>
  <c r="T1156" i="1"/>
  <c r="Q1159" i="1"/>
  <c r="T1160" i="1"/>
  <c r="T1161" i="1"/>
  <c r="R1162" i="1"/>
  <c r="R1164" i="1"/>
  <c r="T594" i="1"/>
  <c r="S604" i="1"/>
  <c r="T584" i="1"/>
  <c r="T1158" i="1"/>
  <c r="U1159" i="1"/>
  <c r="S1162" i="1"/>
  <c r="S1156" i="1"/>
  <c r="U1158" i="1"/>
  <c r="R1160" i="1"/>
  <c r="U1163" i="1"/>
  <c r="R1156" i="1"/>
  <c r="R1158" i="1"/>
  <c r="S1159" i="1"/>
  <c r="S1160" i="1"/>
  <c r="T1163" i="1"/>
  <c r="Q1156" i="1"/>
  <c r="U1156" i="1"/>
  <c r="S1158" i="1"/>
  <c r="R1159" i="1"/>
  <c r="Q1160" i="1"/>
  <c r="U1160" i="1"/>
  <c r="Q1161" i="1"/>
  <c r="Q1163" i="1"/>
  <c r="U1161" i="1"/>
  <c r="R1161" i="1"/>
  <c r="T1162" i="1"/>
  <c r="R1163" i="1"/>
  <c r="T1164" i="1"/>
  <c r="U1186" i="1"/>
  <c r="S1161" i="1"/>
  <c r="Q1162" i="1"/>
  <c r="U1162" i="1"/>
  <c r="S1163" i="1"/>
  <c r="Q1164" i="1"/>
  <c r="S1180" i="1"/>
  <c r="Q1181" i="1"/>
  <c r="U1181" i="1"/>
  <c r="S1182" i="1"/>
  <c r="T1183" i="1"/>
  <c r="R1186" i="1"/>
  <c r="T1182" i="1"/>
  <c r="Q1183" i="1"/>
  <c r="U1183" i="1"/>
  <c r="S1184" i="1"/>
  <c r="Q1185" i="1"/>
  <c r="U1185" i="1"/>
  <c r="S1186" i="1"/>
  <c r="R1184" i="1"/>
  <c r="T1185" i="1"/>
  <c r="U1178" i="1"/>
  <c r="R1181" i="1"/>
  <c r="R1178" i="1"/>
  <c r="Q1180" i="1"/>
  <c r="U1180" i="1"/>
  <c r="S1181" i="1"/>
  <c r="Q1182" i="1"/>
  <c r="U1182" i="1"/>
  <c r="R1183" i="1"/>
  <c r="T1184" i="1"/>
  <c r="R1185" i="1"/>
  <c r="T1186" i="1"/>
  <c r="Q1178" i="1"/>
  <c r="T1180" i="1"/>
  <c r="S1178" i="1"/>
  <c r="R1180" i="1"/>
  <c r="T1181" i="1"/>
  <c r="R1182" i="1"/>
  <c r="S1183" i="1"/>
  <c r="Q1184" i="1"/>
  <c r="U1184" i="1"/>
  <c r="S1185" i="1"/>
  <c r="Q1186" i="1"/>
  <c r="T512" i="1" l="1"/>
  <c r="D188" i="5"/>
  <c r="U562" i="1"/>
  <c r="G226" i="5"/>
  <c r="U513" i="1"/>
  <c r="S562" i="1"/>
  <c r="E226" i="5"/>
  <c r="R562" i="1"/>
  <c r="D226" i="5"/>
  <c r="M460" i="1"/>
  <c r="R460" i="1" s="1"/>
  <c r="R459" i="1" s="1"/>
  <c r="R467" i="1" s="1"/>
  <c r="U572" i="1"/>
  <c r="G234" i="5" s="1"/>
  <c r="P1975" i="1"/>
  <c r="Q768" i="1"/>
  <c r="L1975" i="1"/>
  <c r="U594" i="1"/>
  <c r="R1972" i="1"/>
  <c r="Q504" i="1"/>
  <c r="C186" i="5" s="1"/>
  <c r="M619" i="1"/>
  <c r="V766" i="1"/>
  <c r="N1975" i="1"/>
  <c r="Q491" i="1"/>
  <c r="C183" i="5" s="1"/>
  <c r="V786" i="1"/>
  <c r="C236" i="5"/>
  <c r="Q562" i="1"/>
  <c r="C224" i="5" s="1"/>
  <c r="V564" i="1"/>
  <c r="Q572" i="1"/>
  <c r="M543" i="1"/>
  <c r="M551" i="1" s="1"/>
  <c r="R548" i="1"/>
  <c r="R543" i="1" s="1"/>
  <c r="R551" i="1" s="1"/>
  <c r="N460" i="1"/>
  <c r="S458" i="1"/>
  <c r="R575" i="1"/>
  <c r="R785" i="1"/>
  <c r="R780" i="1" s="1"/>
  <c r="R788" i="1" s="1"/>
  <c r="M780" i="1"/>
  <c r="M788" i="1" s="1"/>
  <c r="S518" i="1"/>
  <c r="N513" i="1"/>
  <c r="N521" i="1" s="1"/>
  <c r="Q499" i="1"/>
  <c r="C181" i="5" s="1"/>
  <c r="V1963" i="1"/>
  <c r="Q518" i="1"/>
  <c r="L513" i="1"/>
  <c r="L521" i="1" s="1"/>
  <c r="Q459" i="1"/>
  <c r="R765" i="1"/>
  <c r="R760" i="1" s="1"/>
  <c r="R768" i="1" s="1"/>
  <c r="M760" i="1"/>
  <c r="M768" i="1" s="1"/>
  <c r="G280" i="5"/>
  <c r="V1980" i="1"/>
  <c r="V1984" i="1"/>
  <c r="V1853" i="1"/>
  <c r="E280" i="5"/>
  <c r="V776" i="1"/>
  <c r="V1861" i="1"/>
  <c r="V779" i="1"/>
  <c r="F280" i="5"/>
  <c r="U677" i="1"/>
  <c r="V1962" i="1"/>
  <c r="O1855" i="1"/>
  <c r="S481" i="1"/>
  <c r="U574" i="1"/>
  <c r="O596" i="1"/>
  <c r="T596" i="1" s="1"/>
  <c r="V729" i="1"/>
  <c r="Q737" i="1"/>
  <c r="V737" i="1" s="1"/>
  <c r="U750" i="1"/>
  <c r="U749" i="1" s="1"/>
  <c r="U757" i="1" s="1"/>
  <c r="P749" i="1"/>
  <c r="P757" i="1" s="1"/>
  <c r="V1964" i="1"/>
  <c r="V1960" i="1"/>
  <c r="V1956" i="1"/>
  <c r="V1958" i="1"/>
  <c r="Q1957" i="1"/>
  <c r="T1957" i="1"/>
  <c r="S775" i="1"/>
  <c r="S770" i="1" s="1"/>
  <c r="S778" i="1" s="1"/>
  <c r="N770" i="1"/>
  <c r="N778" i="1" s="1"/>
  <c r="M790" i="1"/>
  <c r="M798" i="1" s="1"/>
  <c r="R796" i="1"/>
  <c r="R790" i="1" s="1"/>
  <c r="R798" i="1" s="1"/>
  <c r="S595" i="1"/>
  <c r="S603" i="1" s="1"/>
  <c r="N595" i="1"/>
  <c r="N603" i="1" s="1"/>
  <c r="U544" i="1"/>
  <c r="U543" i="1" s="1"/>
  <c r="U551" i="1" s="1"/>
  <c r="P543" i="1"/>
  <c r="P551" i="1" s="1"/>
  <c r="R741" i="1"/>
  <c r="D283" i="5" s="1"/>
  <c r="R738" i="1"/>
  <c r="N543" i="1"/>
  <c r="N551" i="1" s="1"/>
  <c r="S548" i="1"/>
  <c r="S543" i="1" s="1"/>
  <c r="S551" i="1" s="1"/>
  <c r="P533" i="1"/>
  <c r="P541" i="1" s="1"/>
  <c r="U534" i="1"/>
  <c r="U533" i="1" s="1"/>
  <c r="U541" i="1" s="1"/>
  <c r="M1895" i="1"/>
  <c r="M1903" i="1" s="1"/>
  <c r="R1900" i="1"/>
  <c r="R1895" i="1" s="1"/>
  <c r="L1895" i="1"/>
  <c r="L1903" i="1" s="1"/>
  <c r="L469" i="1"/>
  <c r="L477" i="1" s="1"/>
  <c r="Q471" i="1"/>
  <c r="O739" i="1"/>
  <c r="O747" i="1" s="1"/>
  <c r="T740" i="1"/>
  <c r="V669" i="1"/>
  <c r="T677" i="1"/>
  <c r="V679" i="1"/>
  <c r="Q687" i="1"/>
  <c r="U740" i="1"/>
  <c r="P739" i="1"/>
  <c r="P747" i="1" s="1"/>
  <c r="Q780" i="1"/>
  <c r="V719" i="1"/>
  <c r="Q727" i="1"/>
  <c r="V727" i="1" s="1"/>
  <c r="V759" i="1"/>
  <c r="S765" i="1"/>
  <c r="N760" i="1"/>
  <c r="N768" i="1" s="1"/>
  <c r="V549" i="1"/>
  <c r="N576" i="1"/>
  <c r="M480" i="1"/>
  <c r="R504" i="1"/>
  <c r="D186" i="5" s="1"/>
  <c r="R499" i="1"/>
  <c r="D181" i="5" s="1"/>
  <c r="M533" i="1"/>
  <c r="M541" i="1" s="1"/>
  <c r="R538" i="1"/>
  <c r="T1896" i="1"/>
  <c r="O1895" i="1"/>
  <c r="O1903" i="1" s="1"/>
  <c r="U1896" i="1"/>
  <c r="U1895" i="1" s="1"/>
  <c r="P1895" i="1"/>
  <c r="P1903" i="1" s="1"/>
  <c r="R471" i="1"/>
  <c r="R469" i="1" s="1"/>
  <c r="M469" i="1"/>
  <c r="M477" i="1" s="1"/>
  <c r="V1978" i="1"/>
  <c r="Q1977" i="1"/>
  <c r="Q1985" i="1" s="1"/>
  <c r="R1977" i="1"/>
  <c r="R1985" i="1" s="1"/>
  <c r="V1983" i="1"/>
  <c r="S1977" i="1"/>
  <c r="S1985" i="1" s="1"/>
  <c r="V1862" i="1"/>
  <c r="Q748" i="1"/>
  <c r="Q795" i="1"/>
  <c r="L790" i="1"/>
  <c r="L798" i="1" s="1"/>
  <c r="O586" i="1"/>
  <c r="T586" i="1" s="1"/>
  <c r="S1860" i="1"/>
  <c r="U1854" i="1"/>
  <c r="U1856" i="1" s="1"/>
  <c r="U1855" i="1" s="1"/>
  <c r="P1863" i="1"/>
  <c r="T574" i="1"/>
  <c r="N607" i="1"/>
  <c r="S607" i="1" s="1"/>
  <c r="E239" i="5" s="1"/>
  <c r="T750" i="1"/>
  <c r="T749" i="1" s="1"/>
  <c r="T757" i="1" s="1"/>
  <c r="O749" i="1"/>
  <c r="O757" i="1" s="1"/>
  <c r="R595" i="1"/>
  <c r="R603" i="1" s="1"/>
  <c r="Q502" i="1"/>
  <c r="C184" i="5" s="1"/>
  <c r="S750" i="1"/>
  <c r="S749" i="1" s="1"/>
  <c r="S757" i="1" s="1"/>
  <c r="N749" i="1"/>
  <c r="N757" i="1" s="1"/>
  <c r="S1957" i="1"/>
  <c r="U1957" i="1"/>
  <c r="V1961" i="1"/>
  <c r="R1957" i="1"/>
  <c r="V1959" i="1"/>
  <c r="N790" i="1"/>
  <c r="N798" i="1" s="1"/>
  <c r="S796" i="1"/>
  <c r="S790" i="1" s="1"/>
  <c r="S798" i="1" s="1"/>
  <c r="N780" i="1"/>
  <c r="N788" i="1" s="1"/>
  <c r="S785" i="1"/>
  <c r="S780" i="1" s="1"/>
  <c r="S788" i="1" s="1"/>
  <c r="T1041" i="1"/>
  <c r="F353" i="5" s="1"/>
  <c r="U1037" i="1"/>
  <c r="S1036" i="1"/>
  <c r="R1034" i="1"/>
  <c r="R1040" i="1"/>
  <c r="S1038" i="1"/>
  <c r="E350" i="5" s="1"/>
  <c r="Q1037" i="1"/>
  <c r="U1039" i="1"/>
  <c r="U1042" i="1"/>
  <c r="G354" i="5" s="1"/>
  <c r="Q1042" i="1"/>
  <c r="C354" i="5" s="1"/>
  <c r="S1041" i="1"/>
  <c r="U1040" i="1"/>
  <c r="G352" i="5" s="1"/>
  <c r="Q1040" i="1"/>
  <c r="R1038" i="1"/>
  <c r="D350" i="5" s="1"/>
  <c r="R1037" i="1"/>
  <c r="R1036" i="1"/>
  <c r="S1034" i="1"/>
  <c r="T1042" i="1"/>
  <c r="F354" i="5" s="1"/>
  <c r="T1040" i="1"/>
  <c r="F352" i="5" s="1"/>
  <c r="U1038" i="1"/>
  <c r="G350" i="5" s="1"/>
  <c r="S1037" i="1"/>
  <c r="Q1036" i="1"/>
  <c r="R1039" i="1"/>
  <c r="Q1039" i="1"/>
  <c r="S1042" i="1"/>
  <c r="E354" i="5" s="1"/>
  <c r="U1041" i="1"/>
  <c r="G353" i="5" s="1"/>
  <c r="Q1041" i="1"/>
  <c r="S1040" i="1"/>
  <c r="T1038" i="1"/>
  <c r="F350" i="5" s="1"/>
  <c r="T1037" i="1"/>
  <c r="T1036" i="1"/>
  <c r="U1034" i="1"/>
  <c r="Q1034" i="1"/>
  <c r="R1041" i="1"/>
  <c r="S1039" i="1"/>
  <c r="Q1038" i="1"/>
  <c r="C350" i="5" s="1"/>
  <c r="U1036" i="1"/>
  <c r="T1034" i="1"/>
  <c r="T1039" i="1"/>
  <c r="R1042" i="1"/>
  <c r="D354" i="5" s="1"/>
  <c r="R748" i="1"/>
  <c r="M605" i="1"/>
  <c r="M613" i="1" s="1"/>
  <c r="R1894" i="1"/>
  <c r="Q1894" i="1"/>
  <c r="N585" i="1"/>
  <c r="N593" i="1" s="1"/>
  <c r="S585" i="1"/>
  <c r="S593" i="1" s="1"/>
  <c r="N1895" i="1"/>
  <c r="N1903" i="1" s="1"/>
  <c r="S1895" i="1"/>
  <c r="S1903" i="1" s="1"/>
  <c r="L585" i="1"/>
  <c r="L593" i="1" s="1"/>
  <c r="V689" i="1"/>
  <c r="Q697" i="1"/>
  <c r="V697" i="1" s="1"/>
  <c r="N739" i="1"/>
  <c r="N747" i="1" s="1"/>
  <c r="S740" i="1"/>
  <c r="Q605" i="1"/>
  <c r="V535" i="1"/>
  <c r="T534" i="1"/>
  <c r="O533" i="1"/>
  <c r="O541" i="1" s="1"/>
  <c r="S538" i="1"/>
  <c r="S533" i="1" s="1"/>
  <c r="S541" i="1" s="1"/>
  <c r="N533" i="1"/>
  <c r="N541" i="1" s="1"/>
  <c r="V769" i="1"/>
  <c r="M770" i="1"/>
  <c r="M778" i="1" s="1"/>
  <c r="R775" i="1"/>
  <c r="V542" i="1"/>
  <c r="Q548" i="1"/>
  <c r="L543" i="1"/>
  <c r="L551" i="1" s="1"/>
  <c r="R491" i="1"/>
  <c r="R490" i="1" s="1"/>
  <c r="R498" i="1" s="1"/>
  <c r="M490" i="1"/>
  <c r="M498" i="1" s="1"/>
  <c r="O543" i="1"/>
  <c r="O551" i="1" s="1"/>
  <c r="T544" i="1"/>
  <c r="V545" i="1"/>
  <c r="T1894" i="1"/>
  <c r="U1894" i="1"/>
  <c r="L576" i="1"/>
  <c r="L619" i="1"/>
  <c r="Q619" i="1" s="1"/>
  <c r="C241" i="5" s="1"/>
  <c r="U1977" i="1"/>
  <c r="U1985" i="1" s="1"/>
  <c r="V1976" i="1"/>
  <c r="T1977" i="1"/>
  <c r="T1985" i="1" s="1"/>
  <c r="V1982" i="1"/>
  <c r="V1981" i="1"/>
  <c r="V1979" i="1"/>
  <c r="V1857" i="1"/>
  <c r="Q741" i="1"/>
  <c r="Q738" i="1"/>
  <c r="V789" i="1"/>
  <c r="V1158" i="1"/>
  <c r="V1159" i="1"/>
  <c r="S524" i="1"/>
  <c r="S629" i="1"/>
  <c r="E251" i="5" s="1"/>
  <c r="U584" i="1"/>
  <c r="U1157" i="1"/>
  <c r="U1165" i="1" s="1"/>
  <c r="Q1157" i="1"/>
  <c r="Q1165" i="1" s="1"/>
  <c r="R1157" i="1"/>
  <c r="R1165" i="1" s="1"/>
  <c r="V1163" i="1"/>
  <c r="V1160" i="1"/>
  <c r="V1156" i="1"/>
  <c r="T1157" i="1"/>
  <c r="T1165" i="1" s="1"/>
  <c r="V1161" i="1"/>
  <c r="V1162" i="1"/>
  <c r="V1164" i="1"/>
  <c r="S1157" i="1"/>
  <c r="S1165" i="1" s="1"/>
  <c r="V1185" i="1"/>
  <c r="V1184" i="1"/>
  <c r="R1179" i="1"/>
  <c r="R1187" i="1" s="1"/>
  <c r="V1186" i="1"/>
  <c r="V1182" i="1"/>
  <c r="V1181" i="1"/>
  <c r="V1180" i="1"/>
  <c r="Q1179" i="1"/>
  <c r="T1179" i="1"/>
  <c r="T1187" i="1" s="1"/>
  <c r="S1179" i="1"/>
  <c r="S1187" i="1" s="1"/>
  <c r="V1178" i="1"/>
  <c r="U1179" i="1"/>
  <c r="U1187" i="1" s="1"/>
  <c r="V1183" i="1"/>
  <c r="S637" i="1" l="1"/>
  <c r="U631" i="1"/>
  <c r="G253" i="5" s="1"/>
  <c r="T627" i="1"/>
  <c r="S628" i="1"/>
  <c r="E250" i="5" s="1"/>
  <c r="Q632" i="1"/>
  <c r="S630" i="1"/>
  <c r="E252" i="5" s="1"/>
  <c r="R627" i="1"/>
  <c r="D249" i="5" s="1"/>
  <c r="Q629" i="1"/>
  <c r="C251" i="5" s="1"/>
  <c r="U629" i="1"/>
  <c r="G251" i="5" s="1"/>
  <c r="Q627" i="1"/>
  <c r="C249" i="5" s="1"/>
  <c r="Q630" i="1"/>
  <c r="C252" i="5" s="1"/>
  <c r="R630" i="1"/>
  <c r="D252" i="5" s="1"/>
  <c r="S632" i="1"/>
  <c r="T625" i="1"/>
  <c r="S631" i="1"/>
  <c r="T629" i="1"/>
  <c r="F251" i="5" s="1"/>
  <c r="R625" i="1"/>
  <c r="U630" i="1"/>
  <c r="G252" i="5" s="1"/>
  <c r="R633" i="1"/>
  <c r="D255" i="5" s="1"/>
  <c r="U627" i="1"/>
  <c r="R632" i="1"/>
  <c r="T631" i="1"/>
  <c r="F253" i="5" s="1"/>
  <c r="Q631" i="1"/>
  <c r="S633" i="1"/>
  <c r="E255" i="5" s="1"/>
  <c r="T630" i="1"/>
  <c r="F252" i="5" s="1"/>
  <c r="U628" i="1"/>
  <c r="S625" i="1"/>
  <c r="R631" i="1"/>
  <c r="Q625" i="1"/>
  <c r="T628" i="1"/>
  <c r="T633" i="1"/>
  <c r="F255" i="5" s="1"/>
  <c r="Q633" i="1"/>
  <c r="C255" i="5" s="1"/>
  <c r="R629" i="1"/>
  <c r="D251" i="5" s="1"/>
  <c r="U633" i="1"/>
  <c r="G255" i="5" s="1"/>
  <c r="U632" i="1"/>
  <c r="G254" i="5" s="1"/>
  <c r="T632" i="1"/>
  <c r="F254" i="5" s="1"/>
  <c r="Q628" i="1"/>
  <c r="C250" i="5" s="1"/>
  <c r="S627" i="1"/>
  <c r="E249" i="5" s="1"/>
  <c r="R628" i="1"/>
  <c r="D250" i="5" s="1"/>
  <c r="U625" i="1"/>
  <c r="L500" i="1"/>
  <c r="L508" i="1" s="1"/>
  <c r="U1884" i="1"/>
  <c r="U1886" i="1" s="1"/>
  <c r="P596" i="1"/>
  <c r="U596" i="1" s="1"/>
  <c r="Q534" i="1"/>
  <c r="V534" i="1" s="1"/>
  <c r="Q538" i="1"/>
  <c r="V538" i="1" s="1"/>
  <c r="R519" i="1"/>
  <c r="T514" i="1"/>
  <c r="T515" i="1"/>
  <c r="Q490" i="1"/>
  <c r="Q498" i="1" s="1"/>
  <c r="M459" i="1"/>
  <c r="M467" i="1" s="1"/>
  <c r="V562" i="1"/>
  <c r="H226" i="5"/>
  <c r="M488" i="1"/>
  <c r="R488" i="1" s="1"/>
  <c r="R480" i="1"/>
  <c r="N619" i="1"/>
  <c r="S619" i="1" s="1"/>
  <c r="E241" i="5" s="1"/>
  <c r="S614" i="1"/>
  <c r="E236" i="5" s="1"/>
  <c r="M615" i="1"/>
  <c r="M623" i="1" s="1"/>
  <c r="R619" i="1"/>
  <c r="D241" i="5" s="1"/>
  <c r="U521" i="1"/>
  <c r="R514" i="1"/>
  <c r="R512" i="1"/>
  <c r="S513" i="1"/>
  <c r="V572" i="1"/>
  <c r="H234" i="5" s="1"/>
  <c r="C234" i="5"/>
  <c r="L488" i="1"/>
  <c r="Q488" i="1" s="1"/>
  <c r="Q480" i="1"/>
  <c r="D183" i="5"/>
  <c r="R1971" i="1"/>
  <c r="R1966" i="1"/>
  <c r="S1972" i="1"/>
  <c r="Q1974" i="1"/>
  <c r="Q1972" i="1"/>
  <c r="T1973" i="1"/>
  <c r="Q1970" i="1"/>
  <c r="Q1968" i="1"/>
  <c r="U1973" i="1"/>
  <c r="T1972" i="1"/>
  <c r="U1970" i="1"/>
  <c r="U1972" i="1"/>
  <c r="Q1966" i="1"/>
  <c r="C588" i="5" s="1"/>
  <c r="R1968" i="1"/>
  <c r="T1970" i="1"/>
  <c r="R1973" i="1"/>
  <c r="T1969" i="1"/>
  <c r="T1974" i="1"/>
  <c r="Q1971" i="1"/>
  <c r="R1970" i="1"/>
  <c r="U1966" i="1"/>
  <c r="U1969" i="1"/>
  <c r="R1974" i="1"/>
  <c r="Q1969" i="1"/>
  <c r="U1971" i="1"/>
  <c r="U1974" i="1"/>
  <c r="T1971" i="1"/>
  <c r="S1970" i="1"/>
  <c r="Q1973" i="1"/>
  <c r="S1973" i="1"/>
  <c r="R1969" i="1"/>
  <c r="U1968" i="1"/>
  <c r="S1974" i="1"/>
  <c r="S1968" i="1"/>
  <c r="T1968" i="1"/>
  <c r="S1971" i="1"/>
  <c r="S1969" i="1"/>
  <c r="P1913" i="1"/>
  <c r="Q1909" i="1"/>
  <c r="C571" i="5" s="1"/>
  <c r="O1913" i="1"/>
  <c r="S1909" i="1"/>
  <c r="E571" i="5" s="1"/>
  <c r="R1909" i="1"/>
  <c r="D571" i="5" s="1"/>
  <c r="S504" i="1"/>
  <c r="E186" i="5" s="1"/>
  <c r="S492" i="1"/>
  <c r="S1966" i="1"/>
  <c r="O1975" i="1"/>
  <c r="T1966" i="1"/>
  <c r="V1038" i="1"/>
  <c r="H350" i="5" s="1"/>
  <c r="V1039" i="1"/>
  <c r="M1885" i="1"/>
  <c r="T458" i="1"/>
  <c r="O460" i="1"/>
  <c r="Q513" i="1"/>
  <c r="S460" i="1"/>
  <c r="S459" i="1" s="1"/>
  <c r="S467" i="1" s="1"/>
  <c r="N459" i="1"/>
  <c r="N467" i="1" s="1"/>
  <c r="L1885" i="1"/>
  <c r="N1885" i="1"/>
  <c r="P1893" i="1"/>
  <c r="O1893" i="1"/>
  <c r="Q467" i="1"/>
  <c r="R583" i="1"/>
  <c r="O1999" i="1"/>
  <c r="T1997" i="1"/>
  <c r="L2003" i="1"/>
  <c r="Q1997" i="1"/>
  <c r="M2003" i="1"/>
  <c r="R1997" i="1"/>
  <c r="U1997" i="1"/>
  <c r="P1999" i="1"/>
  <c r="N2003" i="1"/>
  <c r="S1997" i="1"/>
  <c r="Q2002" i="1"/>
  <c r="T2000" i="1"/>
  <c r="T2004" i="1"/>
  <c r="S2001" i="1"/>
  <c r="R2004" i="1"/>
  <c r="U2005" i="1"/>
  <c r="R2001" i="1"/>
  <c r="S2000" i="1"/>
  <c r="S1999" i="1"/>
  <c r="R1999" i="1"/>
  <c r="Q2001" i="1"/>
  <c r="U2002" i="1"/>
  <c r="T2005" i="1"/>
  <c r="T2002" i="1"/>
  <c r="Q2004" i="1"/>
  <c r="U2004" i="1"/>
  <c r="S2005" i="1"/>
  <c r="R2005" i="1"/>
  <c r="S2002" i="1"/>
  <c r="T2001" i="1"/>
  <c r="U2000" i="1"/>
  <c r="Q2000" i="1"/>
  <c r="Q1999" i="1"/>
  <c r="R2000" i="1"/>
  <c r="U2001" i="1"/>
  <c r="T2003" i="1"/>
  <c r="R2002" i="1"/>
  <c r="U2003" i="1"/>
  <c r="S2004" i="1"/>
  <c r="Q2005" i="1"/>
  <c r="R1965" i="1"/>
  <c r="U1965" i="1"/>
  <c r="U739" i="1"/>
  <c r="G281" i="5" s="1"/>
  <c r="G282" i="5"/>
  <c r="T1965" i="1"/>
  <c r="V796" i="1"/>
  <c r="V738" i="1"/>
  <c r="C280" i="5"/>
  <c r="V741" i="1"/>
  <c r="H283" i="5" s="1"/>
  <c r="C283" i="5"/>
  <c r="S739" i="1"/>
  <c r="E281" i="5" s="1"/>
  <c r="E282" i="5"/>
  <c r="R605" i="1"/>
  <c r="R613" i="1" s="1"/>
  <c r="S1965" i="1"/>
  <c r="V687" i="1"/>
  <c r="V677" i="1"/>
  <c r="T739" i="1"/>
  <c r="T667" i="1" s="1"/>
  <c r="F282" i="5"/>
  <c r="D280" i="5"/>
  <c r="V594" i="1"/>
  <c r="N1951" i="1"/>
  <c r="S1945" i="1"/>
  <c r="T479" i="1"/>
  <c r="T481" i="1"/>
  <c r="V1985" i="1"/>
  <c r="R770" i="1"/>
  <c r="V775" i="1"/>
  <c r="T533" i="1"/>
  <c r="T541" i="1" s="1"/>
  <c r="Q585" i="1"/>
  <c r="M749" i="1"/>
  <c r="M757" i="1" s="1"/>
  <c r="R750" i="1"/>
  <c r="R749" i="1" s="1"/>
  <c r="R757" i="1" s="1"/>
  <c r="U1035" i="1"/>
  <c r="V1034" i="1"/>
  <c r="T1035" i="1"/>
  <c r="V1041" i="1"/>
  <c r="V1040" i="1"/>
  <c r="V1037" i="1"/>
  <c r="S1035" i="1"/>
  <c r="N605" i="1"/>
  <c r="N613" i="1" s="1"/>
  <c r="R809" i="1"/>
  <c r="R814" i="1"/>
  <c r="O818" i="1"/>
  <c r="T809" i="1"/>
  <c r="T818" i="1" s="1"/>
  <c r="N1855" i="1"/>
  <c r="N1863" i="1" s="1"/>
  <c r="Q1860" i="1"/>
  <c r="O585" i="1"/>
  <c r="O593" i="1" s="1"/>
  <c r="T585" i="1"/>
  <c r="T593" i="1" s="1"/>
  <c r="V795" i="1"/>
  <c r="Q790" i="1"/>
  <c r="V748" i="1"/>
  <c r="V1977" i="1"/>
  <c r="R477" i="1"/>
  <c r="R457" i="1"/>
  <c r="U1903" i="1"/>
  <c r="T1895" i="1"/>
  <c r="T1903" i="1" s="1"/>
  <c r="V1896" i="1"/>
  <c r="V785" i="1"/>
  <c r="Q469" i="1"/>
  <c r="Q457" i="1" s="1"/>
  <c r="V1900" i="1"/>
  <c r="Q1895" i="1"/>
  <c r="M739" i="1"/>
  <c r="M747" i="1" s="1"/>
  <c r="R740" i="1"/>
  <c r="V1957" i="1"/>
  <c r="Q1965" i="1"/>
  <c r="P808" i="1"/>
  <c r="U799" i="1"/>
  <c r="U808" i="1" s="1"/>
  <c r="S806" i="1"/>
  <c r="S799" i="1"/>
  <c r="T1953" i="1"/>
  <c r="T1952" i="1"/>
  <c r="T1951" i="1"/>
  <c r="U1950" i="1"/>
  <c r="Q1950" i="1"/>
  <c r="U1949" i="1"/>
  <c r="S1949" i="1"/>
  <c r="Q1949" i="1"/>
  <c r="T1948" i="1"/>
  <c r="R1948" i="1"/>
  <c r="R1947" i="1"/>
  <c r="R1953" i="1"/>
  <c r="S1950" i="1"/>
  <c r="T1949" i="1"/>
  <c r="U1948" i="1"/>
  <c r="Q1948" i="1"/>
  <c r="Q1947" i="1"/>
  <c r="R1949" i="1"/>
  <c r="S1947" i="1"/>
  <c r="R1952" i="1"/>
  <c r="U1953" i="1"/>
  <c r="S1948" i="1"/>
  <c r="T1950" i="1"/>
  <c r="Q1952" i="1"/>
  <c r="U1952" i="1"/>
  <c r="S1953" i="1"/>
  <c r="R1950" i="1"/>
  <c r="U1951" i="1"/>
  <c r="S1952" i="1"/>
  <c r="Q1953" i="1"/>
  <c r="P576" i="1"/>
  <c r="S491" i="1"/>
  <c r="E183" i="5" s="1"/>
  <c r="O1863" i="1"/>
  <c r="R1860" i="1"/>
  <c r="U595" i="1"/>
  <c r="U603" i="1" s="1"/>
  <c r="O471" i="1"/>
  <c r="T468" i="1"/>
  <c r="T482" i="1"/>
  <c r="T492" i="1"/>
  <c r="N471" i="1"/>
  <c r="S468" i="1"/>
  <c r="S529" i="1"/>
  <c r="S522" i="1"/>
  <c r="S496" i="1"/>
  <c r="V496" i="1" s="1"/>
  <c r="O1947" i="1"/>
  <c r="T1945" i="1"/>
  <c r="T638" i="1"/>
  <c r="F250" i="5" s="1"/>
  <c r="T635" i="1"/>
  <c r="R642" i="1"/>
  <c r="R635" i="1"/>
  <c r="D247" i="5" s="1"/>
  <c r="P586" i="1"/>
  <c r="U586" i="1" s="1"/>
  <c r="U525" i="1"/>
  <c r="U522" i="1"/>
  <c r="U1945" i="1"/>
  <c r="P1947" i="1"/>
  <c r="U638" i="1"/>
  <c r="U635" i="1"/>
  <c r="R1945" i="1"/>
  <c r="M1951" i="1"/>
  <c r="S642" i="1"/>
  <c r="S635" i="1"/>
  <c r="S1911" i="1"/>
  <c r="R1911" i="1"/>
  <c r="S1910" i="1"/>
  <c r="Q1910" i="1"/>
  <c r="Q1911" i="1"/>
  <c r="R1910" i="1"/>
  <c r="L739" i="1"/>
  <c r="L747" i="1" s="1"/>
  <c r="Q740" i="1"/>
  <c r="U1863" i="1"/>
  <c r="L615" i="1"/>
  <c r="L623" i="1" s="1"/>
  <c r="Q576" i="1"/>
  <c r="C238" i="5" s="1"/>
  <c r="L575" i="1"/>
  <c r="L583" i="1" s="1"/>
  <c r="T543" i="1"/>
  <c r="T551" i="1" s="1"/>
  <c r="V544" i="1"/>
  <c r="Q543" i="1"/>
  <c r="V548" i="1"/>
  <c r="Q613" i="1"/>
  <c r="V1894" i="1"/>
  <c r="V1036" i="1"/>
  <c r="Q1035" i="1"/>
  <c r="R1035" i="1"/>
  <c r="V1042" i="1"/>
  <c r="H354" i="5" s="1"/>
  <c r="Q500" i="1"/>
  <c r="U1908" i="1"/>
  <c r="G570" i="5" s="1"/>
  <c r="Q1908" i="1"/>
  <c r="C570" i="5" s="1"/>
  <c r="S1907" i="1"/>
  <c r="S1906" i="1"/>
  <c r="Q1906" i="1"/>
  <c r="U1904" i="1"/>
  <c r="S1904" i="1"/>
  <c r="Q1904" i="1"/>
  <c r="U1912" i="1"/>
  <c r="U1907" i="1"/>
  <c r="R1906" i="1"/>
  <c r="R1904" i="1"/>
  <c r="S1908" i="1"/>
  <c r="E570" i="5" s="1"/>
  <c r="Q1907" i="1"/>
  <c r="T1904" i="1"/>
  <c r="R1912" i="1"/>
  <c r="R1907" i="1"/>
  <c r="R1908" i="1"/>
  <c r="D570" i="5" s="1"/>
  <c r="U1911" i="1"/>
  <c r="S1912" i="1"/>
  <c r="T1910" i="1"/>
  <c r="T1911" i="1"/>
  <c r="T1912" i="1"/>
  <c r="T1907" i="1"/>
  <c r="T1908" i="1"/>
  <c r="F570" i="5" s="1"/>
  <c r="U1910" i="1"/>
  <c r="Q1912" i="1"/>
  <c r="O576" i="1"/>
  <c r="R806" i="1"/>
  <c r="R799" i="1"/>
  <c r="O808" i="1"/>
  <c r="T799" i="1"/>
  <c r="T808" i="1" s="1"/>
  <c r="Q532" i="1"/>
  <c r="V532" i="1" s="1"/>
  <c r="L1855" i="1"/>
  <c r="L1863" i="1" s="1"/>
  <c r="L749" i="1"/>
  <c r="L757" i="1" s="1"/>
  <c r="Q750" i="1"/>
  <c r="R533" i="1"/>
  <c r="R541" i="1" s="1"/>
  <c r="R502" i="1"/>
  <c r="M500" i="1"/>
  <c r="M508" i="1" s="1"/>
  <c r="N575" i="1"/>
  <c r="N583" i="1" s="1"/>
  <c r="S576" i="1"/>
  <c r="E238" i="5" s="1"/>
  <c r="S760" i="1"/>
  <c r="V765" i="1"/>
  <c r="V780" i="1"/>
  <c r="Q788" i="1"/>
  <c r="V788" i="1" s="1"/>
  <c r="R1903" i="1"/>
  <c r="O595" i="1"/>
  <c r="O603" i="1" s="1"/>
  <c r="U809" i="1"/>
  <c r="U818" i="1" s="1"/>
  <c r="P818" i="1"/>
  <c r="S814" i="1"/>
  <c r="S809" i="1"/>
  <c r="L1951" i="1"/>
  <c r="Q1945" i="1"/>
  <c r="S479" i="1"/>
  <c r="M1855" i="1"/>
  <c r="M1863" i="1" s="1"/>
  <c r="Q806" i="1"/>
  <c r="Q799" i="1"/>
  <c r="Q814" i="1"/>
  <c r="Q809" i="1"/>
  <c r="S554" i="1"/>
  <c r="E216" i="5" s="1"/>
  <c r="U604" i="1"/>
  <c r="U614" i="1"/>
  <c r="T604" i="1"/>
  <c r="V1165" i="1"/>
  <c r="V1157" i="1"/>
  <c r="V1179" i="1"/>
  <c r="Q1187" i="1"/>
  <c r="V1187" i="1" s="1"/>
  <c r="E254" i="5" l="1"/>
  <c r="G250" i="5"/>
  <c r="F247" i="5"/>
  <c r="Q478" i="1"/>
  <c r="V515" i="1"/>
  <c r="V631" i="1"/>
  <c r="D254" i="5"/>
  <c r="V633" i="1"/>
  <c r="H255" i="5" s="1"/>
  <c r="V625" i="1"/>
  <c r="V627" i="1"/>
  <c r="U626" i="1"/>
  <c r="E247" i="5"/>
  <c r="Q626" i="1"/>
  <c r="Q634" i="1" s="1"/>
  <c r="S626" i="1"/>
  <c r="S634" i="1" s="1"/>
  <c r="T626" i="1"/>
  <c r="T634" i="1" s="1"/>
  <c r="R626" i="1"/>
  <c r="R634" i="1" s="1"/>
  <c r="V629" i="1"/>
  <c r="H251" i="5" s="1"/>
  <c r="G247" i="5"/>
  <c r="V630" i="1"/>
  <c r="H252" i="5" s="1"/>
  <c r="V632" i="1"/>
  <c r="V628" i="1"/>
  <c r="P595" i="1"/>
  <c r="P603" i="1" s="1"/>
  <c r="F279" i="5"/>
  <c r="S499" i="1"/>
  <c r="E181" i="5" s="1"/>
  <c r="R615" i="1"/>
  <c r="R623" i="1" s="1"/>
  <c r="D245" i="5" s="1"/>
  <c r="N615" i="1"/>
  <c r="N623" i="1" s="1"/>
  <c r="O513" i="1"/>
  <c r="O521" i="1" s="1"/>
  <c r="U1909" i="1"/>
  <c r="G571" i="5" s="1"/>
  <c r="G236" i="5"/>
  <c r="C182" i="5"/>
  <c r="R500" i="1"/>
  <c r="R508" i="1" s="1"/>
  <c r="D190" i="5" s="1"/>
  <c r="D184" i="5"/>
  <c r="S486" i="1"/>
  <c r="E188" i="5" s="1"/>
  <c r="V519" i="1"/>
  <c r="O619" i="1"/>
  <c r="T619" i="1" s="1"/>
  <c r="F241" i="5" s="1"/>
  <c r="T614" i="1"/>
  <c r="F236" i="5" s="1"/>
  <c r="S521" i="1"/>
  <c r="U1043" i="1"/>
  <c r="R1043" i="1"/>
  <c r="S1043" i="1"/>
  <c r="T1043" i="1"/>
  <c r="V1974" i="1"/>
  <c r="V1973" i="1"/>
  <c r="V1971" i="1"/>
  <c r="V1972" i="1"/>
  <c r="U1967" i="1"/>
  <c r="U1975" i="1" s="1"/>
  <c r="V1968" i="1"/>
  <c r="V1970" i="1"/>
  <c r="T1967" i="1"/>
  <c r="T1955" i="1" s="1"/>
  <c r="R1967" i="1"/>
  <c r="R1975" i="1" s="1"/>
  <c r="Q1967" i="1"/>
  <c r="Q1975" i="1" s="1"/>
  <c r="V1969" i="1"/>
  <c r="N500" i="1"/>
  <c r="N508" i="1" s="1"/>
  <c r="S1967" i="1"/>
  <c r="S1955" i="1" s="1"/>
  <c r="T1909" i="1"/>
  <c r="F571" i="5" s="1"/>
  <c r="U481" i="1"/>
  <c r="V1966" i="1"/>
  <c r="L1893" i="1"/>
  <c r="U747" i="1"/>
  <c r="G289" i="5" s="1"/>
  <c r="N480" i="1"/>
  <c r="U667" i="1"/>
  <c r="S667" i="1"/>
  <c r="S747" i="1"/>
  <c r="E289" i="5" s="1"/>
  <c r="V2005" i="1"/>
  <c r="M1893" i="1"/>
  <c r="V1895" i="1"/>
  <c r="V512" i="1"/>
  <c r="S575" i="1"/>
  <c r="V814" i="1"/>
  <c r="V806" i="1"/>
  <c r="Q575" i="1"/>
  <c r="V1965" i="1"/>
  <c r="R518" i="1"/>
  <c r="M513" i="1"/>
  <c r="M521" i="1" s="1"/>
  <c r="T513" i="1"/>
  <c r="V514" i="1"/>
  <c r="T460" i="1"/>
  <c r="O459" i="1"/>
  <c r="O467" i="1" s="1"/>
  <c r="P607" i="1"/>
  <c r="U607" i="1" s="1"/>
  <c r="G239" i="5" s="1"/>
  <c r="N1893" i="1"/>
  <c r="Q521" i="1"/>
  <c r="C282" i="5"/>
  <c r="V2004" i="1"/>
  <c r="V2001" i="1"/>
  <c r="V2002" i="1"/>
  <c r="N1998" i="1"/>
  <c r="N2006" i="1" s="1"/>
  <c r="S2003" i="1"/>
  <c r="S1998" i="1" s="1"/>
  <c r="S2006" i="1" s="1"/>
  <c r="U1998" i="1"/>
  <c r="U2006" i="1" s="1"/>
  <c r="P1998" i="1"/>
  <c r="P2006" i="1" s="1"/>
  <c r="R2003" i="1"/>
  <c r="R1998" i="1" s="1"/>
  <c r="R2006" i="1" s="1"/>
  <c r="M1998" i="1"/>
  <c r="M2006" i="1" s="1"/>
  <c r="L1998" i="1"/>
  <c r="L2006" i="1" s="1"/>
  <c r="Q2003" i="1"/>
  <c r="Q1998" i="1" s="1"/>
  <c r="V2000" i="1"/>
  <c r="V1997" i="1"/>
  <c r="O1998" i="1"/>
  <c r="O2006" i="1" s="1"/>
  <c r="T1998" i="1"/>
  <c r="T2006" i="1" s="1"/>
  <c r="R739" i="1"/>
  <c r="D281" i="5" s="1"/>
  <c r="D282" i="5"/>
  <c r="H280" i="5"/>
  <c r="R1855" i="1"/>
  <c r="U634" i="1"/>
  <c r="Q1903" i="1"/>
  <c r="V1903" i="1" s="1"/>
  <c r="V1911" i="1"/>
  <c r="V638" i="1"/>
  <c r="S615" i="1"/>
  <c r="S623" i="1" s="1"/>
  <c r="S1855" i="1"/>
  <c r="T747" i="1"/>
  <c r="F289" i="5" s="1"/>
  <c r="F281" i="5"/>
  <c r="Q528" i="1"/>
  <c r="Q522" i="1"/>
  <c r="V1945" i="1"/>
  <c r="S768" i="1"/>
  <c r="V768" i="1" s="1"/>
  <c r="V760" i="1"/>
  <c r="V1860" i="1"/>
  <c r="Q1855" i="1"/>
  <c r="Q1863" i="1" s="1"/>
  <c r="V1908" i="1"/>
  <c r="H570" i="5" s="1"/>
  <c r="Q508" i="1"/>
  <c r="C190" i="5" s="1"/>
  <c r="Q615" i="1"/>
  <c r="P644" i="1"/>
  <c r="U637" i="1"/>
  <c r="U491" i="1"/>
  <c r="U524" i="1"/>
  <c r="P523" i="1"/>
  <c r="P531" i="1" s="1"/>
  <c r="T1947" i="1"/>
  <c r="T1946" i="1" s="1"/>
  <c r="T1954" i="1" s="1"/>
  <c r="O1946" i="1"/>
  <c r="O1954" i="1" s="1"/>
  <c r="T1855" i="1"/>
  <c r="T1863" i="1" s="1"/>
  <c r="V1856" i="1"/>
  <c r="S605" i="1"/>
  <c r="R778" i="1"/>
  <c r="V778" i="1" s="1"/>
  <c r="V770" i="1"/>
  <c r="U492" i="1"/>
  <c r="V492" i="1" s="1"/>
  <c r="S559" i="1"/>
  <c r="E221" i="5" s="1"/>
  <c r="S552" i="1"/>
  <c r="E214" i="5" s="1"/>
  <c r="P619" i="1"/>
  <c r="U619" i="1" s="1"/>
  <c r="G241" i="5" s="1"/>
  <c r="V614" i="1"/>
  <c r="V750" i="1"/>
  <c r="Q749" i="1"/>
  <c r="L533" i="1"/>
  <c r="L541" i="1" s="1"/>
  <c r="Q539" i="1"/>
  <c r="T576" i="1"/>
  <c r="F238" i="5" s="1"/>
  <c r="O575" i="1"/>
  <c r="O583" i="1" s="1"/>
  <c r="V1906" i="1"/>
  <c r="N1905" i="1"/>
  <c r="N1913" i="1" s="1"/>
  <c r="S1905" i="1"/>
  <c r="S1913" i="1" s="1"/>
  <c r="M1946" i="1"/>
  <c r="M1954" i="1" s="1"/>
  <c r="R1951" i="1"/>
  <c r="R1946" i="1" s="1"/>
  <c r="R1954" i="1" s="1"/>
  <c r="U1947" i="1"/>
  <c r="U1946" i="1" s="1"/>
  <c r="U1954" i="1" s="1"/>
  <c r="P1946" i="1"/>
  <c r="P1954" i="1" s="1"/>
  <c r="N490" i="1"/>
  <c r="N498" i="1" s="1"/>
  <c r="V1950" i="1"/>
  <c r="V790" i="1"/>
  <c r="Q798" i="1"/>
  <c r="V798" i="1" s="1"/>
  <c r="V1854" i="1"/>
  <c r="R812" i="1"/>
  <c r="R810" i="1" s="1"/>
  <c r="R818" i="1" s="1"/>
  <c r="M810" i="1"/>
  <c r="M818" i="1" s="1"/>
  <c r="V574" i="1"/>
  <c r="V584" i="1"/>
  <c r="O607" i="1"/>
  <c r="T607" i="1" s="1"/>
  <c r="F239" i="5" s="1"/>
  <c r="U555" i="1"/>
  <c r="G217" i="5" s="1"/>
  <c r="U552" i="1"/>
  <c r="G214" i="5" s="1"/>
  <c r="Q1951" i="1"/>
  <c r="L1946" i="1"/>
  <c r="L1954" i="1" s="1"/>
  <c r="S812" i="1"/>
  <c r="S810" i="1" s="1"/>
  <c r="S818" i="1" s="1"/>
  <c r="N810" i="1"/>
  <c r="N818" i="1" s="1"/>
  <c r="T595" i="1"/>
  <c r="V596" i="1"/>
  <c r="M800" i="1"/>
  <c r="M808" i="1" s="1"/>
  <c r="R805" i="1"/>
  <c r="R800" i="1" s="1"/>
  <c r="R808" i="1" s="1"/>
  <c r="V1912" i="1"/>
  <c r="V1907" i="1"/>
  <c r="V1904" i="1"/>
  <c r="V1035" i="1"/>
  <c r="V543" i="1"/>
  <c r="Q551" i="1"/>
  <c r="V551" i="1" s="1"/>
  <c r="Q739" i="1"/>
  <c r="V740" i="1"/>
  <c r="M1905" i="1"/>
  <c r="M1913" i="1" s="1"/>
  <c r="R1905" i="1"/>
  <c r="R1913" i="1" s="1"/>
  <c r="L1905" i="1"/>
  <c r="L1913" i="1" s="1"/>
  <c r="S641" i="1"/>
  <c r="N644" i="1"/>
  <c r="P585" i="1"/>
  <c r="P593" i="1" s="1"/>
  <c r="U585" i="1"/>
  <c r="U593" i="1" s="1"/>
  <c r="M644" i="1"/>
  <c r="R641" i="1"/>
  <c r="O644" i="1"/>
  <c r="T637" i="1"/>
  <c r="F249" i="5" s="1"/>
  <c r="N523" i="1"/>
  <c r="N531" i="1" s="1"/>
  <c r="S528" i="1"/>
  <c r="S471" i="1"/>
  <c r="N469" i="1"/>
  <c r="N477" i="1" s="1"/>
  <c r="O469" i="1"/>
  <c r="O477" i="1" s="1"/>
  <c r="T471" i="1"/>
  <c r="T469" i="1" s="1"/>
  <c r="S490" i="1"/>
  <c r="U576" i="1"/>
  <c r="G238" i="5" s="1"/>
  <c r="P575" i="1"/>
  <c r="P583" i="1" s="1"/>
  <c r="V1953" i="1"/>
  <c r="V1952" i="1"/>
  <c r="V1949" i="1"/>
  <c r="V1948" i="1"/>
  <c r="S805" i="1"/>
  <c r="S800" i="1" s="1"/>
  <c r="S808" i="1" s="1"/>
  <c r="N800" i="1"/>
  <c r="N808" i="1" s="1"/>
  <c r="Q477" i="1"/>
  <c r="Q1043" i="1"/>
  <c r="Q593" i="1"/>
  <c r="O490" i="1"/>
  <c r="O498" i="1" s="1"/>
  <c r="T491" i="1"/>
  <c r="F183" i="5" s="1"/>
  <c r="T504" i="1"/>
  <c r="F186" i="5" s="1"/>
  <c r="T499" i="1"/>
  <c r="F181" i="5" s="1"/>
  <c r="S1951" i="1"/>
  <c r="S1946" i="1" s="1"/>
  <c r="S1954" i="1" s="1"/>
  <c r="N1946" i="1"/>
  <c r="N1954" i="1" s="1"/>
  <c r="V799" i="1"/>
  <c r="V809" i="1"/>
  <c r="L810" i="1"/>
  <c r="L818" i="1" s="1"/>
  <c r="Q812" i="1"/>
  <c r="L800" i="1"/>
  <c r="L808" i="1" s="1"/>
  <c r="Q805" i="1"/>
  <c r="H1837" i="1"/>
  <c r="U523" i="1" l="1"/>
  <c r="V626" i="1"/>
  <c r="V634" i="1" s="1"/>
  <c r="H250" i="5"/>
  <c r="R573" i="1"/>
  <c r="D27" i="3" s="1"/>
  <c r="D237" i="5"/>
  <c r="G279" i="5"/>
  <c r="E279" i="5"/>
  <c r="T1905" i="1"/>
  <c r="T1913" i="1" s="1"/>
  <c r="U1905" i="1"/>
  <c r="U1913" i="1" s="1"/>
  <c r="R478" i="1"/>
  <c r="V1909" i="1"/>
  <c r="H571" i="5" s="1"/>
  <c r="O615" i="1"/>
  <c r="O623" i="1" s="1"/>
  <c r="R554" i="1"/>
  <c r="R524" i="1"/>
  <c r="Q554" i="1"/>
  <c r="S502" i="1"/>
  <c r="S500" i="1" s="1"/>
  <c r="S508" i="1" s="1"/>
  <c r="G183" i="5"/>
  <c r="V486" i="1"/>
  <c r="H188" i="5" s="1"/>
  <c r="D182" i="5"/>
  <c r="U482" i="1"/>
  <c r="U479" i="1"/>
  <c r="O488" i="1"/>
  <c r="T488" i="1" s="1"/>
  <c r="T480" i="1"/>
  <c r="T521" i="1"/>
  <c r="R636" i="1"/>
  <c r="R624" i="1" s="1"/>
  <c r="D253" i="5"/>
  <c r="S636" i="1"/>
  <c r="S624" i="1" s="1"/>
  <c r="E253" i="5"/>
  <c r="U636" i="1"/>
  <c r="G249" i="5"/>
  <c r="C237" i="5"/>
  <c r="E237" i="5"/>
  <c r="N488" i="1"/>
  <c r="S488" i="1" s="1"/>
  <c r="S480" i="1"/>
  <c r="V1043" i="1"/>
  <c r="Q583" i="1"/>
  <c r="Q573" i="1"/>
  <c r="C27" i="3" s="1"/>
  <c r="U1955" i="1"/>
  <c r="R1955" i="1"/>
  <c r="Q1955" i="1"/>
  <c r="T1975" i="1"/>
  <c r="V1967" i="1"/>
  <c r="S1975" i="1"/>
  <c r="U480" i="1"/>
  <c r="R667" i="1"/>
  <c r="V604" i="1"/>
  <c r="H236" i="5" s="1"/>
  <c r="T459" i="1"/>
  <c r="T457" i="1" s="1"/>
  <c r="R513" i="1"/>
  <c r="V518" i="1"/>
  <c r="S583" i="1"/>
  <c r="S573" i="1"/>
  <c r="H282" i="5"/>
  <c r="V1910" i="1"/>
  <c r="V585" i="1"/>
  <c r="V593" i="1" s="1"/>
  <c r="U575" i="1"/>
  <c r="P460" i="1"/>
  <c r="U458" i="1"/>
  <c r="P605" i="1"/>
  <c r="P613" i="1" s="1"/>
  <c r="V1998" i="1"/>
  <c r="Q2006" i="1"/>
  <c r="V2006" i="1" s="1"/>
  <c r="V2003" i="1"/>
  <c r="V1999" i="1"/>
  <c r="V1951" i="1"/>
  <c r="T615" i="1"/>
  <c r="T623" i="1" s="1"/>
  <c r="Q1946" i="1"/>
  <c r="V1946" i="1" s="1"/>
  <c r="R1863" i="1"/>
  <c r="S1863" i="1"/>
  <c r="R747" i="1"/>
  <c r="D289" i="5" s="1"/>
  <c r="U490" i="1"/>
  <c r="U498" i="1" s="1"/>
  <c r="S498" i="1"/>
  <c r="S523" i="1"/>
  <c r="V637" i="1"/>
  <c r="H249" i="5" s="1"/>
  <c r="T636" i="1"/>
  <c r="T525" i="1"/>
  <c r="T522" i="1"/>
  <c r="Q642" i="1"/>
  <c r="Q635" i="1"/>
  <c r="V635" i="1" s="1"/>
  <c r="H247" i="5" s="1"/>
  <c r="Q1905" i="1"/>
  <c r="V576" i="1"/>
  <c r="T575" i="1"/>
  <c r="P615" i="1"/>
  <c r="P623" i="1" s="1"/>
  <c r="R758" i="1"/>
  <c r="D32" i="3" s="1"/>
  <c r="S613" i="1"/>
  <c r="V619" i="1"/>
  <c r="H241" i="5" s="1"/>
  <c r="S758" i="1"/>
  <c r="E32" i="3" s="1"/>
  <c r="R529" i="1"/>
  <c r="R522" i="1"/>
  <c r="Q529" i="1"/>
  <c r="Q559" i="1"/>
  <c r="Q552" i="1"/>
  <c r="C214" i="5" s="1"/>
  <c r="O500" i="1"/>
  <c r="O508" i="1" s="1"/>
  <c r="T502" i="1"/>
  <c r="F184" i="5" s="1"/>
  <c r="T490" i="1"/>
  <c r="T498" i="1" s="1"/>
  <c r="V491" i="1"/>
  <c r="T477" i="1"/>
  <c r="S469" i="1"/>
  <c r="U504" i="1"/>
  <c r="U499" i="1"/>
  <c r="V499" i="1" s="1"/>
  <c r="Q747" i="1"/>
  <c r="V739" i="1"/>
  <c r="V481" i="1"/>
  <c r="T603" i="1"/>
  <c r="V595" i="1"/>
  <c r="V603" i="1" s="1"/>
  <c r="U554" i="1"/>
  <c r="U553" i="1" s="1"/>
  <c r="U561" i="1" s="1"/>
  <c r="P553" i="1"/>
  <c r="P561" i="1" s="1"/>
  <c r="O605" i="1"/>
  <c r="O613" i="1" s="1"/>
  <c r="T555" i="1"/>
  <c r="V555" i="1" s="1"/>
  <c r="T552" i="1"/>
  <c r="V586" i="1"/>
  <c r="Q533" i="1"/>
  <c r="Q541" i="1" s="1"/>
  <c r="V539" i="1"/>
  <c r="V533" i="1" s="1"/>
  <c r="V541" i="1" s="1"/>
  <c r="V749" i="1"/>
  <c r="Q757" i="1"/>
  <c r="V757" i="1" s="1"/>
  <c r="S558" i="1"/>
  <c r="S553" i="1" s="1"/>
  <c r="S561" i="1" s="1"/>
  <c r="N553" i="1"/>
  <c r="N561" i="1" s="1"/>
  <c r="V1947" i="1"/>
  <c r="P490" i="1"/>
  <c r="P498" i="1" s="1"/>
  <c r="Q623" i="1"/>
  <c r="V1855" i="1"/>
  <c r="R559" i="1"/>
  <c r="R552" i="1"/>
  <c r="V805" i="1"/>
  <c r="Q800" i="1"/>
  <c r="V812" i="1"/>
  <c r="Q810" i="1"/>
  <c r="M407" i="1"/>
  <c r="N407" i="1"/>
  <c r="O407" i="1"/>
  <c r="P407" i="1"/>
  <c r="D216" i="5" l="1"/>
  <c r="D214" i="5"/>
  <c r="F214" i="5"/>
  <c r="S511" i="1"/>
  <c r="E215" i="5"/>
  <c r="D221" i="5"/>
  <c r="F217" i="5"/>
  <c r="E220" i="5"/>
  <c r="G215" i="5"/>
  <c r="U511" i="1"/>
  <c r="G216" i="5"/>
  <c r="C221" i="5"/>
  <c r="D235" i="5"/>
  <c r="U531" i="1"/>
  <c r="G223" i="5" s="1"/>
  <c r="S531" i="1"/>
  <c r="E223" i="5" s="1"/>
  <c r="P488" i="1"/>
  <c r="U488" i="1" s="1"/>
  <c r="V488" i="1" s="1"/>
  <c r="D279" i="5"/>
  <c r="E184" i="5"/>
  <c r="E182" i="5"/>
  <c r="S478" i="1"/>
  <c r="H183" i="5"/>
  <c r="C245" i="5"/>
  <c r="H238" i="5"/>
  <c r="V642" i="1"/>
  <c r="H254" i="5" s="1"/>
  <c r="C254" i="5"/>
  <c r="S644" i="1"/>
  <c r="E256" i="5" s="1"/>
  <c r="E248" i="5"/>
  <c r="G181" i="5"/>
  <c r="T624" i="1"/>
  <c r="F248" i="5"/>
  <c r="V479" i="1"/>
  <c r="H181" i="5" s="1"/>
  <c r="V482" i="1"/>
  <c r="V504" i="1"/>
  <c r="H186" i="5" s="1"/>
  <c r="G186" i="5"/>
  <c r="U644" i="1"/>
  <c r="G256" i="5" s="1"/>
  <c r="G248" i="5"/>
  <c r="Q758" i="1"/>
  <c r="C32" i="3" s="1"/>
  <c r="V525" i="1"/>
  <c r="H217" i="5" s="1"/>
  <c r="E245" i="5"/>
  <c r="U624" i="1"/>
  <c r="E190" i="5"/>
  <c r="R644" i="1"/>
  <c r="D256" i="5" s="1"/>
  <c r="D248" i="5"/>
  <c r="V1955" i="1"/>
  <c r="V1975" i="1"/>
  <c r="V529" i="1"/>
  <c r="C235" i="5"/>
  <c r="U605" i="1"/>
  <c r="U613" i="1" s="1"/>
  <c r="E27" i="3"/>
  <c r="E235" i="5"/>
  <c r="T467" i="1"/>
  <c r="V458" i="1"/>
  <c r="V522" i="1"/>
  <c r="P459" i="1"/>
  <c r="P467" i="1" s="1"/>
  <c r="U460" i="1"/>
  <c r="U583" i="1"/>
  <c r="R521" i="1"/>
  <c r="V513" i="1"/>
  <c r="U468" i="1"/>
  <c r="V468" i="1" s="1"/>
  <c r="P471" i="1"/>
  <c r="Q1954" i="1"/>
  <c r="V1954" i="1" s="1"/>
  <c r="T644" i="1"/>
  <c r="F256" i="5" s="1"/>
  <c r="V1863" i="1"/>
  <c r="V747" i="1"/>
  <c r="U615" i="1"/>
  <c r="S477" i="1"/>
  <c r="S457" i="1"/>
  <c r="Q558" i="1"/>
  <c r="C220" i="5" s="1"/>
  <c r="L553" i="1"/>
  <c r="L561" i="1" s="1"/>
  <c r="Q641" i="1"/>
  <c r="C253" i="5" s="1"/>
  <c r="L636" i="1"/>
  <c r="L644" i="1" s="1"/>
  <c r="T524" i="1"/>
  <c r="O523" i="1"/>
  <c r="O531" i="1" s="1"/>
  <c r="V498" i="1"/>
  <c r="R558" i="1"/>
  <c r="R553" i="1" s="1"/>
  <c r="R561" i="1" s="1"/>
  <c r="M553" i="1"/>
  <c r="M561" i="1" s="1"/>
  <c r="T554" i="1"/>
  <c r="O553" i="1"/>
  <c r="O561" i="1" s="1"/>
  <c r="T605" i="1"/>
  <c r="F237" i="5" s="1"/>
  <c r="V607" i="1"/>
  <c r="H239" i="5" s="1"/>
  <c r="U502" i="1"/>
  <c r="U500" i="1" s="1"/>
  <c r="U508" i="1" s="1"/>
  <c r="P500" i="1"/>
  <c r="P508" i="1" s="1"/>
  <c r="V480" i="1"/>
  <c r="T500" i="1"/>
  <c r="F182" i="5" s="1"/>
  <c r="V552" i="1"/>
  <c r="V559" i="1"/>
  <c r="M523" i="1"/>
  <c r="M531" i="1" s="1"/>
  <c r="R528" i="1"/>
  <c r="V575" i="1"/>
  <c r="T583" i="1"/>
  <c r="V1905" i="1"/>
  <c r="Q1913" i="1"/>
  <c r="V1913" i="1" s="1"/>
  <c r="V490" i="1"/>
  <c r="V810" i="1"/>
  <c r="Q818" i="1"/>
  <c r="V818" i="1" s="1"/>
  <c r="V800" i="1"/>
  <c r="Q808" i="1"/>
  <c r="V808" i="1" s="1"/>
  <c r="H1407" i="1"/>
  <c r="H452" i="1"/>
  <c r="G190" i="5" l="1"/>
  <c r="D220" i="5"/>
  <c r="F216" i="5"/>
  <c r="H221" i="5"/>
  <c r="H214" i="5"/>
  <c r="V521" i="1"/>
  <c r="G237" i="5"/>
  <c r="G184" i="5"/>
  <c r="G182" i="5"/>
  <c r="T573" i="1"/>
  <c r="F27" i="3" s="1"/>
  <c r="U478" i="1"/>
  <c r="U573" i="1"/>
  <c r="G27" i="3" s="1"/>
  <c r="U459" i="1"/>
  <c r="V460" i="1"/>
  <c r="V758" i="1"/>
  <c r="H32" i="3" s="1"/>
  <c r="U471" i="1"/>
  <c r="P469" i="1"/>
  <c r="P477" i="1" s="1"/>
  <c r="V502" i="1"/>
  <c r="H184" i="5" s="1"/>
  <c r="U623" i="1"/>
  <c r="G245" i="5" s="1"/>
  <c r="V615" i="1"/>
  <c r="V623" i="1" s="1"/>
  <c r="Q553" i="1"/>
  <c r="V558" i="1"/>
  <c r="V583" i="1"/>
  <c r="R523" i="1"/>
  <c r="V528" i="1"/>
  <c r="T508" i="1"/>
  <c r="T478" i="1"/>
  <c r="V500" i="1"/>
  <c r="H182" i="5" s="1"/>
  <c r="T613" i="1"/>
  <c r="F245" i="5" s="1"/>
  <c r="V605" i="1"/>
  <c r="V613" i="1" s="1"/>
  <c r="V554" i="1"/>
  <c r="T553" i="1"/>
  <c r="T561" i="1" s="1"/>
  <c r="T523" i="1"/>
  <c r="V641" i="1"/>
  <c r="Q636" i="1"/>
  <c r="C248" i="5" s="1"/>
  <c r="H220" i="5" l="1"/>
  <c r="F215" i="5"/>
  <c r="T511" i="1"/>
  <c r="D215" i="5"/>
  <c r="R511" i="1"/>
  <c r="H245" i="5"/>
  <c r="V478" i="1"/>
  <c r="V636" i="1"/>
  <c r="V644" i="1" s="1"/>
  <c r="H256" i="5" s="1"/>
  <c r="H253" i="5"/>
  <c r="V508" i="1"/>
  <c r="H190" i="5" s="1"/>
  <c r="F190" i="5"/>
  <c r="H237" i="5"/>
  <c r="Q624" i="1"/>
  <c r="C246" i="5" s="1"/>
  <c r="F235" i="5"/>
  <c r="G235" i="5"/>
  <c r="V573" i="1"/>
  <c r="H27" i="3" s="1"/>
  <c r="U467" i="1"/>
  <c r="V467" i="1" s="1"/>
  <c r="V459" i="1"/>
  <c r="U469" i="1"/>
  <c r="V471" i="1"/>
  <c r="Q644" i="1"/>
  <c r="C256" i="5" s="1"/>
  <c r="R531" i="1"/>
  <c r="D223" i="5" s="1"/>
  <c r="T531" i="1"/>
  <c r="F223" i="5" s="1"/>
  <c r="V553" i="1"/>
  <c r="V561" i="1" s="1"/>
  <c r="Q561" i="1"/>
  <c r="C169" i="4"/>
  <c r="C168" i="4"/>
  <c r="C162" i="4"/>
  <c r="C161" i="4"/>
  <c r="C154" i="4"/>
  <c r="C153" i="4"/>
  <c r="V624" i="1" l="1"/>
  <c r="H248" i="5"/>
  <c r="C28" i="3"/>
  <c r="H235" i="5"/>
  <c r="U477" i="1"/>
  <c r="V477" i="1" s="1"/>
  <c r="U457" i="1"/>
  <c r="V469" i="1"/>
  <c r="V457" i="1" s="1"/>
  <c r="F2122" i="1"/>
  <c r="F2132" i="1"/>
  <c r="H1816" i="1" l="1"/>
  <c r="U1819" i="1" s="1"/>
  <c r="H1806" i="1"/>
  <c r="U1809" i="1" s="1"/>
  <c r="H1796" i="1"/>
  <c r="U1799" i="1" s="1"/>
  <c r="P1812" i="1"/>
  <c r="P1820" i="1" s="1"/>
  <c r="O1812" i="1"/>
  <c r="O1820" i="1" s="1"/>
  <c r="N1812" i="1"/>
  <c r="N1820" i="1" s="1"/>
  <c r="M1812" i="1"/>
  <c r="M1820" i="1" s="1"/>
  <c r="L1812" i="1"/>
  <c r="L1820" i="1" s="1"/>
  <c r="F1811" i="1"/>
  <c r="P1802" i="1"/>
  <c r="P1810" i="1" s="1"/>
  <c r="O1802" i="1"/>
  <c r="O1810" i="1" s="1"/>
  <c r="N1802" i="1"/>
  <c r="M1802" i="1"/>
  <c r="M1810" i="1" s="1"/>
  <c r="L1802" i="1"/>
  <c r="L1810" i="1" s="1"/>
  <c r="F1801" i="1"/>
  <c r="P1792" i="1"/>
  <c r="P1800" i="1" s="1"/>
  <c r="O1792" i="1"/>
  <c r="O1800" i="1" s="1"/>
  <c r="N1792" i="1"/>
  <c r="N1800" i="1" s="1"/>
  <c r="M1792" i="1"/>
  <c r="M1800" i="1" s="1"/>
  <c r="L1792" i="1"/>
  <c r="L1800" i="1" s="1"/>
  <c r="F1791" i="1"/>
  <c r="U1789" i="1"/>
  <c r="T1789" i="1"/>
  <c r="S1789" i="1"/>
  <c r="R1789" i="1"/>
  <c r="Q1789" i="1"/>
  <c r="U1788" i="1"/>
  <c r="T1788" i="1"/>
  <c r="S1788" i="1"/>
  <c r="R1788" i="1"/>
  <c r="Q1788" i="1"/>
  <c r="U1787" i="1"/>
  <c r="T1787" i="1"/>
  <c r="S1787" i="1"/>
  <c r="R1787" i="1"/>
  <c r="Q1787" i="1"/>
  <c r="U1786" i="1"/>
  <c r="T1786" i="1"/>
  <c r="S1786" i="1"/>
  <c r="R1786" i="1"/>
  <c r="Q1786" i="1"/>
  <c r="U1785" i="1"/>
  <c r="T1785" i="1"/>
  <c r="S1785" i="1"/>
  <c r="R1785" i="1"/>
  <c r="Q1785" i="1"/>
  <c r="U1784" i="1"/>
  <c r="T1784" i="1"/>
  <c r="S1784" i="1"/>
  <c r="R1784" i="1"/>
  <c r="Q1784" i="1"/>
  <c r="U1783" i="1"/>
  <c r="T1783" i="1"/>
  <c r="S1783" i="1"/>
  <c r="R1783" i="1"/>
  <c r="Q1783" i="1"/>
  <c r="P1782" i="1"/>
  <c r="P1790" i="1" s="1"/>
  <c r="O1782" i="1"/>
  <c r="O1790" i="1" s="1"/>
  <c r="N1782" i="1"/>
  <c r="N1790" i="1" s="1"/>
  <c r="M1782" i="1"/>
  <c r="M1790" i="1" s="1"/>
  <c r="L1782" i="1"/>
  <c r="L1790" i="1" s="1"/>
  <c r="U1781" i="1"/>
  <c r="T1781" i="1"/>
  <c r="S1781" i="1"/>
  <c r="R1781" i="1"/>
  <c r="Q1781" i="1"/>
  <c r="F1781" i="1"/>
  <c r="F1771" i="1"/>
  <c r="H1726" i="1"/>
  <c r="T1721" i="1" s="1"/>
  <c r="N1722" i="1"/>
  <c r="N1730" i="1" s="1"/>
  <c r="O1722" i="1"/>
  <c r="O1730" i="1" s="1"/>
  <c r="M1722" i="1"/>
  <c r="M1730" i="1" s="1"/>
  <c r="L1722" i="1"/>
  <c r="L1730" i="1" s="1"/>
  <c r="F1721" i="1"/>
  <c r="M1757" i="1"/>
  <c r="O1757" i="1"/>
  <c r="P1757" i="1"/>
  <c r="U1769" i="1"/>
  <c r="T1769" i="1"/>
  <c r="R1769" i="1"/>
  <c r="S1768" i="1"/>
  <c r="U1767" i="1"/>
  <c r="Q1767" i="1"/>
  <c r="T1767" i="1"/>
  <c r="R1767" i="1"/>
  <c r="R1766" i="1"/>
  <c r="U1766" i="1"/>
  <c r="T1766" i="1"/>
  <c r="N1762" i="1"/>
  <c r="N1770" i="1" s="1"/>
  <c r="Q1766" i="1"/>
  <c r="Q1769" i="1"/>
  <c r="S1765" i="1"/>
  <c r="R1765" i="1"/>
  <c r="U1764" i="1"/>
  <c r="T1764" i="1"/>
  <c r="S1764" i="1"/>
  <c r="R1764" i="1"/>
  <c r="Q1764" i="1"/>
  <c r="U1763" i="1"/>
  <c r="T1763" i="1"/>
  <c r="S1763" i="1"/>
  <c r="R1763" i="1"/>
  <c r="Q1763" i="1"/>
  <c r="P1762" i="1"/>
  <c r="P1770" i="1" s="1"/>
  <c r="O1762" i="1"/>
  <c r="O1770" i="1" s="1"/>
  <c r="L1762" i="1"/>
  <c r="L1770" i="1" s="1"/>
  <c r="U1761" i="1"/>
  <c r="T1761" i="1"/>
  <c r="S1761" i="1"/>
  <c r="R1761" i="1"/>
  <c r="Q1761" i="1"/>
  <c r="F1761" i="1"/>
  <c r="H70" i="4"/>
  <c r="P1509" i="1"/>
  <c r="P1517" i="1" s="1"/>
  <c r="O1509" i="1"/>
  <c r="O1517" i="1" s="1"/>
  <c r="N1509" i="1"/>
  <c r="N1517" i="1" s="1"/>
  <c r="M1509" i="1"/>
  <c r="M1517" i="1" s="1"/>
  <c r="L1509" i="1"/>
  <c r="L1517" i="1" s="1"/>
  <c r="F1508" i="1"/>
  <c r="F1518" i="1"/>
  <c r="L1519" i="1"/>
  <c r="L1527" i="1" s="1"/>
  <c r="M1519" i="1"/>
  <c r="M1527" i="1" s="1"/>
  <c r="N1519" i="1"/>
  <c r="N1527" i="1" s="1"/>
  <c r="O1519" i="1"/>
  <c r="O1527" i="1" s="1"/>
  <c r="P1519" i="1"/>
  <c r="P1527" i="1" s="1"/>
  <c r="P1489" i="1"/>
  <c r="P1497" i="1" s="1"/>
  <c r="O1489" i="1"/>
  <c r="O1497" i="1" s="1"/>
  <c r="L1489" i="1"/>
  <c r="L1497" i="1" s="1"/>
  <c r="N1489" i="1"/>
  <c r="N1497" i="1" s="1"/>
  <c r="M1489" i="1"/>
  <c r="M1497" i="1" s="1"/>
  <c r="F1488" i="1"/>
  <c r="R1541" i="1"/>
  <c r="S1541" i="1"/>
  <c r="T1541" i="1"/>
  <c r="U1541" i="1"/>
  <c r="R1542" i="1"/>
  <c r="S1542" i="1"/>
  <c r="T1542" i="1"/>
  <c r="U1542" i="1"/>
  <c r="R1543" i="1"/>
  <c r="S1543" i="1"/>
  <c r="T1543" i="1"/>
  <c r="U1543" i="1"/>
  <c r="R1544" i="1"/>
  <c r="S1544" i="1"/>
  <c r="T1544" i="1"/>
  <c r="U1544" i="1"/>
  <c r="R1545" i="1"/>
  <c r="S1545" i="1"/>
  <c r="T1545" i="1"/>
  <c r="U1545" i="1"/>
  <c r="R1546" i="1"/>
  <c r="S1546" i="1"/>
  <c r="T1546" i="1"/>
  <c r="U1546" i="1"/>
  <c r="R1547" i="1"/>
  <c r="S1547" i="1"/>
  <c r="T1547" i="1"/>
  <c r="U1547" i="1"/>
  <c r="Q1542" i="1"/>
  <c r="Q1543" i="1"/>
  <c r="Q1544" i="1"/>
  <c r="Q1545" i="1"/>
  <c r="Q1546" i="1"/>
  <c r="Q1547" i="1"/>
  <c r="Q1541" i="1"/>
  <c r="H1575" i="1"/>
  <c r="P1570" i="1"/>
  <c r="P1578" i="1" s="1"/>
  <c r="O1570" i="1"/>
  <c r="O1578" i="1" s="1"/>
  <c r="N1570" i="1"/>
  <c r="N1578" i="1" s="1"/>
  <c r="M1570" i="1"/>
  <c r="M1578" i="1" s="1"/>
  <c r="L1570" i="1"/>
  <c r="L1578" i="1" s="1"/>
  <c r="F1569" i="1"/>
  <c r="H1564" i="1"/>
  <c r="Q1561" i="1" s="1"/>
  <c r="H1565" i="1"/>
  <c r="P1560" i="1"/>
  <c r="P1568" i="1" s="1"/>
  <c r="O1560" i="1"/>
  <c r="O1568" i="1" s="1"/>
  <c r="N1560" i="1"/>
  <c r="N1568" i="1" s="1"/>
  <c r="M1560" i="1"/>
  <c r="M1568" i="1" s="1"/>
  <c r="L1560" i="1"/>
  <c r="L1568" i="1" s="1"/>
  <c r="F1559" i="1"/>
  <c r="M1550" i="1"/>
  <c r="M1558" i="1" s="1"/>
  <c r="N1550" i="1"/>
  <c r="N1558" i="1" s="1"/>
  <c r="L1550" i="1"/>
  <c r="L1558" i="1" s="1"/>
  <c r="H1545" i="1"/>
  <c r="P1540" i="1"/>
  <c r="P1548" i="1" s="1"/>
  <c r="O1540" i="1"/>
  <c r="O1548" i="1" s="1"/>
  <c r="N1540" i="1"/>
  <c r="N1548" i="1" s="1"/>
  <c r="M1540" i="1"/>
  <c r="M1548" i="1" s="1"/>
  <c r="L1540" i="1"/>
  <c r="L1548" i="1" s="1"/>
  <c r="U1539" i="1"/>
  <c r="T1539" i="1"/>
  <c r="S1539" i="1"/>
  <c r="R1539" i="1"/>
  <c r="Q1539" i="1"/>
  <c r="F1539" i="1"/>
  <c r="H1555" i="1"/>
  <c r="P1550" i="1"/>
  <c r="P1558" i="1" s="1"/>
  <c r="O1550" i="1"/>
  <c r="O1558" i="1" s="1"/>
  <c r="F1549" i="1"/>
  <c r="T1818" i="1" l="1"/>
  <c r="T1811" i="1"/>
  <c r="Q1782" i="1"/>
  <c r="Q1790" i="1" s="1"/>
  <c r="V1541" i="1"/>
  <c r="V1546" i="1"/>
  <c r="V1544" i="1"/>
  <c r="V1542" i="1"/>
  <c r="V1761" i="1"/>
  <c r="V1763" i="1"/>
  <c r="V1781" i="1"/>
  <c r="T1782" i="1"/>
  <c r="T1790" i="1" s="1"/>
  <c r="V1784" i="1"/>
  <c r="V1786" i="1"/>
  <c r="V1788" i="1"/>
  <c r="V1539" i="1"/>
  <c r="V1547" i="1"/>
  <c r="V1545" i="1"/>
  <c r="V1543" i="1"/>
  <c r="V1764" i="1"/>
  <c r="V1783" i="1"/>
  <c r="U1782" i="1"/>
  <c r="U1790" i="1" s="1"/>
  <c r="V1785" i="1"/>
  <c r="S1782" i="1"/>
  <c r="S1790" i="1" s="1"/>
  <c r="V1787" i="1"/>
  <c r="V1789" i="1"/>
  <c r="R1721" i="1"/>
  <c r="S1813" i="1"/>
  <c r="T1816" i="1"/>
  <c r="R1819" i="1"/>
  <c r="Q1811" i="1"/>
  <c r="U1811" i="1"/>
  <c r="T1813" i="1"/>
  <c r="R1814" i="1"/>
  <c r="T1815" i="1"/>
  <c r="Q1816" i="1"/>
  <c r="U1816" i="1"/>
  <c r="S1817" i="1"/>
  <c r="Q1818" i="1"/>
  <c r="U1818" i="1"/>
  <c r="S1819" i="1"/>
  <c r="Q1814" i="1"/>
  <c r="U1814" i="1"/>
  <c r="S1815" i="1"/>
  <c r="R1817" i="1"/>
  <c r="R1811" i="1"/>
  <c r="Q1813" i="1"/>
  <c r="U1813" i="1"/>
  <c r="S1814" i="1"/>
  <c r="Q1815" i="1"/>
  <c r="U1815" i="1"/>
  <c r="R1816" i="1"/>
  <c r="T1817" i="1"/>
  <c r="R1818" i="1"/>
  <c r="T1819" i="1"/>
  <c r="S1811" i="1"/>
  <c r="R1813" i="1"/>
  <c r="T1814" i="1"/>
  <c r="R1815" i="1"/>
  <c r="S1816" i="1"/>
  <c r="Q1817" i="1"/>
  <c r="U1817" i="1"/>
  <c r="S1818" i="1"/>
  <c r="Q1819" i="1"/>
  <c r="Q1801" i="1"/>
  <c r="U1801" i="1"/>
  <c r="T1803" i="1"/>
  <c r="R1804" i="1"/>
  <c r="T1805" i="1"/>
  <c r="Q1806" i="1"/>
  <c r="U1806" i="1"/>
  <c r="S1807" i="1"/>
  <c r="Q1808" i="1"/>
  <c r="U1808" i="1"/>
  <c r="S1809" i="1"/>
  <c r="Q1804" i="1"/>
  <c r="S1805" i="1"/>
  <c r="T1806" i="1"/>
  <c r="T1808" i="1"/>
  <c r="R1809" i="1"/>
  <c r="R1801" i="1"/>
  <c r="Q1803" i="1"/>
  <c r="U1803" i="1"/>
  <c r="S1804" i="1"/>
  <c r="Q1805" i="1"/>
  <c r="U1805" i="1"/>
  <c r="R1806" i="1"/>
  <c r="T1807" i="1"/>
  <c r="R1808" i="1"/>
  <c r="T1809" i="1"/>
  <c r="T1801" i="1"/>
  <c r="S1803" i="1"/>
  <c r="U1804" i="1"/>
  <c r="R1807" i="1"/>
  <c r="S1801" i="1"/>
  <c r="R1803" i="1"/>
  <c r="T1804" i="1"/>
  <c r="R1805" i="1"/>
  <c r="S1806" i="1"/>
  <c r="Q1807" i="1"/>
  <c r="U1807" i="1"/>
  <c r="S1808" i="1"/>
  <c r="Q1809" i="1"/>
  <c r="T1791" i="1"/>
  <c r="Q1794" i="1"/>
  <c r="Q1791" i="1"/>
  <c r="U1791" i="1"/>
  <c r="T1793" i="1"/>
  <c r="R1794" i="1"/>
  <c r="T1795" i="1"/>
  <c r="Q1796" i="1"/>
  <c r="U1796" i="1"/>
  <c r="S1797" i="1"/>
  <c r="Q1798" i="1"/>
  <c r="U1798" i="1"/>
  <c r="S1799" i="1"/>
  <c r="R1791" i="1"/>
  <c r="Q1793" i="1"/>
  <c r="U1793" i="1"/>
  <c r="S1794" i="1"/>
  <c r="Q1795" i="1"/>
  <c r="U1795" i="1"/>
  <c r="R1796" i="1"/>
  <c r="T1797" i="1"/>
  <c r="R1798" i="1"/>
  <c r="T1799" i="1"/>
  <c r="S1793" i="1"/>
  <c r="U1794" i="1"/>
  <c r="S1795" i="1"/>
  <c r="T1796" i="1"/>
  <c r="R1797" i="1"/>
  <c r="T1798" i="1"/>
  <c r="R1799" i="1"/>
  <c r="U1721" i="1"/>
  <c r="S1791" i="1"/>
  <c r="R1793" i="1"/>
  <c r="T1794" i="1"/>
  <c r="R1795" i="1"/>
  <c r="S1796" i="1"/>
  <c r="Q1797" i="1"/>
  <c r="U1797" i="1"/>
  <c r="S1798" i="1"/>
  <c r="Q1799" i="1"/>
  <c r="R1782" i="1"/>
  <c r="S1721" i="1"/>
  <c r="P1722" i="1"/>
  <c r="P1730" i="1" s="1"/>
  <c r="Q1721" i="1"/>
  <c r="M1762" i="1"/>
  <c r="M1770" i="1" s="1"/>
  <c r="S1766" i="1"/>
  <c r="V1766" i="1" s="1"/>
  <c r="T1768" i="1"/>
  <c r="S1769" i="1"/>
  <c r="V1769" i="1" s="1"/>
  <c r="T1765" i="1"/>
  <c r="S1767" i="1"/>
  <c r="V1767" i="1" s="1"/>
  <c r="Q1768" i="1"/>
  <c r="U1768" i="1"/>
  <c r="Q1765" i="1"/>
  <c r="U1765" i="1"/>
  <c r="R1768" i="1"/>
  <c r="R1762" i="1" s="1"/>
  <c r="R1770" i="1" s="1"/>
  <c r="R1566" i="1"/>
  <c r="Q1563" i="1"/>
  <c r="T1565" i="1"/>
  <c r="S1562" i="1"/>
  <c r="T1564" i="1"/>
  <c r="Q1559" i="1"/>
  <c r="S1565" i="1"/>
  <c r="R1562" i="1"/>
  <c r="U1567" i="1"/>
  <c r="S1561" i="1"/>
  <c r="R1567" i="1"/>
  <c r="Q1564" i="1"/>
  <c r="U1559" i="1"/>
  <c r="Q1567" i="1"/>
  <c r="U1563" i="1"/>
  <c r="R1559" i="1"/>
  <c r="S1566" i="1"/>
  <c r="U1564" i="1"/>
  <c r="R1563" i="1"/>
  <c r="T1561" i="1"/>
  <c r="T1559" i="1"/>
  <c r="T1567" i="1"/>
  <c r="U1566" i="1"/>
  <c r="Q1566" i="1"/>
  <c r="R1565" i="1"/>
  <c r="S1564" i="1"/>
  <c r="T1563" i="1"/>
  <c r="U1562" i="1"/>
  <c r="Q1562" i="1"/>
  <c r="R1561" i="1"/>
  <c r="S1559" i="1"/>
  <c r="S1567" i="1"/>
  <c r="T1566" i="1"/>
  <c r="U1565" i="1"/>
  <c r="Q1565" i="1"/>
  <c r="R1564" i="1"/>
  <c r="S1563" i="1"/>
  <c r="T1562" i="1"/>
  <c r="U1561" i="1"/>
  <c r="V1782" i="1" l="1"/>
  <c r="V1765" i="1"/>
  <c r="V1768" i="1"/>
  <c r="V1809" i="1"/>
  <c r="V1721" i="1"/>
  <c r="V1561" i="1"/>
  <c r="V1562" i="1"/>
  <c r="V1797" i="1"/>
  <c r="V1564" i="1"/>
  <c r="V1798" i="1"/>
  <c r="V1791" i="1"/>
  <c r="V1806" i="1"/>
  <c r="V1813" i="1"/>
  <c r="V1818" i="1"/>
  <c r="V1811" i="1"/>
  <c r="V1566" i="1"/>
  <c r="V1565" i="1"/>
  <c r="V1799" i="1"/>
  <c r="V1794" i="1"/>
  <c r="V1808" i="1"/>
  <c r="V1801" i="1"/>
  <c r="V1817" i="1"/>
  <c r="V1815" i="1"/>
  <c r="V1814" i="1"/>
  <c r="V1567" i="1"/>
  <c r="V1559" i="1"/>
  <c r="V1563" i="1"/>
  <c r="V1793" i="1"/>
  <c r="V1807" i="1"/>
  <c r="V1803" i="1"/>
  <c r="V1804" i="1"/>
  <c r="V1819" i="1"/>
  <c r="S1812" i="1"/>
  <c r="S1820" i="1" s="1"/>
  <c r="V1795" i="1"/>
  <c r="V1796" i="1"/>
  <c r="V1805" i="1"/>
  <c r="V1816" i="1"/>
  <c r="R1812" i="1"/>
  <c r="R1820" i="1" s="1"/>
  <c r="T1812" i="1"/>
  <c r="T1820" i="1" s="1"/>
  <c r="U1812" i="1"/>
  <c r="U1820" i="1" s="1"/>
  <c r="T1802" i="1"/>
  <c r="T1810" i="1" s="1"/>
  <c r="S1802" i="1"/>
  <c r="S1810" i="1" s="1"/>
  <c r="U1802" i="1"/>
  <c r="U1810" i="1" s="1"/>
  <c r="R1802" i="1"/>
  <c r="R1810" i="1" s="1"/>
  <c r="Q1812" i="1"/>
  <c r="U1792" i="1"/>
  <c r="U1800" i="1" s="1"/>
  <c r="Q1802" i="1"/>
  <c r="R1792" i="1"/>
  <c r="R1800" i="1" s="1"/>
  <c r="S1792" i="1"/>
  <c r="S1800" i="1" s="1"/>
  <c r="Q1792" i="1"/>
  <c r="T1792" i="1"/>
  <c r="T1800" i="1" s="1"/>
  <c r="R1790" i="1"/>
  <c r="V1790" i="1" s="1"/>
  <c r="U1762" i="1"/>
  <c r="U1770" i="1" s="1"/>
  <c r="Q1762" i="1"/>
  <c r="S1762" i="1"/>
  <c r="S1770" i="1" s="1"/>
  <c r="T1762" i="1"/>
  <c r="T1770" i="1" s="1"/>
  <c r="Q1560" i="1"/>
  <c r="S1560" i="1"/>
  <c r="S1568" i="1" s="1"/>
  <c r="T1560" i="1"/>
  <c r="T1568" i="1" s="1"/>
  <c r="U1560" i="1"/>
  <c r="U1568" i="1" s="1"/>
  <c r="R1560" i="1"/>
  <c r="R1568" i="1" s="1"/>
  <c r="V1762" i="1" l="1"/>
  <c r="V1812" i="1"/>
  <c r="V1560" i="1"/>
  <c r="V1802" i="1"/>
  <c r="V1792" i="1"/>
  <c r="Q1820" i="1"/>
  <c r="V1820" i="1" s="1"/>
  <c r="Q1810" i="1"/>
  <c r="V1810" i="1" s="1"/>
  <c r="Q1800" i="1"/>
  <c r="V1800" i="1" s="1"/>
  <c r="Q1770" i="1"/>
  <c r="V1770" i="1" s="1"/>
  <c r="Q1568" i="1"/>
  <c r="V1568" i="1" s="1"/>
  <c r="P1403" i="1" l="1"/>
  <c r="P1411" i="1" s="1"/>
  <c r="O1403" i="1"/>
  <c r="O1411" i="1" s="1"/>
  <c r="N1403" i="1"/>
  <c r="N1411" i="1" s="1"/>
  <c r="M1403" i="1"/>
  <c r="L1403" i="1"/>
  <c r="L1411" i="1" s="1"/>
  <c r="H1244" i="1"/>
  <c r="U1247" i="1" s="1"/>
  <c r="P1240" i="1"/>
  <c r="P1248" i="1" s="1"/>
  <c r="O1240" i="1"/>
  <c r="O1248" i="1" s="1"/>
  <c r="N1240" i="1"/>
  <c r="N1248" i="1" s="1"/>
  <c r="M1240" i="1"/>
  <c r="M1248" i="1" s="1"/>
  <c r="L1240" i="1"/>
  <c r="L1248" i="1" s="1"/>
  <c r="P1230" i="1"/>
  <c r="O1230" i="1"/>
  <c r="N1230" i="1"/>
  <c r="N1238" i="1" s="1"/>
  <c r="M1230" i="1"/>
  <c r="M1238" i="1" s="1"/>
  <c r="L1230" i="1"/>
  <c r="L1238" i="1" s="1"/>
  <c r="P1223" i="1"/>
  <c r="P1219" i="1" s="1"/>
  <c r="P1227" i="1" s="1"/>
  <c r="O1223" i="1"/>
  <c r="O1219" i="1" s="1"/>
  <c r="O1227" i="1" s="1"/>
  <c r="N1223" i="1"/>
  <c r="N1219" i="1" s="1"/>
  <c r="N1227" i="1" s="1"/>
  <c r="M1219" i="1"/>
  <c r="M1227" i="1" s="1"/>
  <c r="L1219" i="1"/>
  <c r="L1227" i="1" s="1"/>
  <c r="L1209" i="1"/>
  <c r="P1213" i="1"/>
  <c r="P1209" i="1" s="1"/>
  <c r="P1217" i="1" s="1"/>
  <c r="O1213" i="1"/>
  <c r="O1209" i="1" s="1"/>
  <c r="O1217" i="1" s="1"/>
  <c r="N1213" i="1"/>
  <c r="N1209" i="1" s="1"/>
  <c r="N1217" i="1" s="1"/>
  <c r="M1209" i="1"/>
  <c r="M1217" i="1" s="1"/>
  <c r="L1207" i="1"/>
  <c r="P1199" i="1"/>
  <c r="P1207" i="1" s="1"/>
  <c r="O1199" i="1"/>
  <c r="O1207" i="1" s="1"/>
  <c r="N1199" i="1"/>
  <c r="N1207" i="1" s="1"/>
  <c r="M1199" i="1"/>
  <c r="M1207" i="1" s="1"/>
  <c r="P1169" i="1"/>
  <c r="P1177" i="1" s="1"/>
  <c r="O1169" i="1"/>
  <c r="O1177" i="1" s="1"/>
  <c r="N1169" i="1"/>
  <c r="N1177" i="1" s="1"/>
  <c r="M1169" i="1"/>
  <c r="M1177" i="1" s="1"/>
  <c r="L1169" i="1"/>
  <c r="L1177" i="1" s="1"/>
  <c r="P1151" i="1"/>
  <c r="P1147" i="1" s="1"/>
  <c r="P1155" i="1" s="1"/>
  <c r="O1151" i="1"/>
  <c r="O1147" i="1" s="1"/>
  <c r="O1155" i="1" s="1"/>
  <c r="N1147" i="1"/>
  <c r="M1147" i="1"/>
  <c r="L1147" i="1"/>
  <c r="F1135" i="1"/>
  <c r="U1143" i="1"/>
  <c r="T1143" i="1"/>
  <c r="S1143" i="1"/>
  <c r="R1143" i="1"/>
  <c r="Q1143" i="1"/>
  <c r="U1142" i="1"/>
  <c r="T1142" i="1"/>
  <c r="S1142" i="1"/>
  <c r="R1142" i="1"/>
  <c r="Q1142" i="1"/>
  <c r="U1141" i="1"/>
  <c r="T1141" i="1"/>
  <c r="S1141" i="1"/>
  <c r="R1141" i="1"/>
  <c r="Q1141" i="1"/>
  <c r="H1141" i="1"/>
  <c r="U1140" i="1"/>
  <c r="T1140" i="1"/>
  <c r="S1140" i="1"/>
  <c r="R1140" i="1"/>
  <c r="Q1140" i="1"/>
  <c r="U1139" i="1"/>
  <c r="T1139" i="1"/>
  <c r="S1139" i="1"/>
  <c r="R1139" i="1"/>
  <c r="Q1139" i="1"/>
  <c r="U1138" i="1"/>
  <c r="T1138" i="1"/>
  <c r="S1138" i="1"/>
  <c r="R1138" i="1"/>
  <c r="Q1138" i="1"/>
  <c r="U1137" i="1"/>
  <c r="T1137" i="1"/>
  <c r="S1137" i="1"/>
  <c r="R1137" i="1"/>
  <c r="Q1137" i="1"/>
  <c r="P1136" i="1"/>
  <c r="P1144" i="1" s="1"/>
  <c r="O1136" i="1"/>
  <c r="O1144" i="1" s="1"/>
  <c r="N1136" i="1"/>
  <c r="N1144" i="1" s="1"/>
  <c r="M1136" i="1"/>
  <c r="M1144" i="1" s="1"/>
  <c r="L1136" i="1"/>
  <c r="L1144" i="1" s="1"/>
  <c r="U1135" i="1"/>
  <c r="T1135" i="1"/>
  <c r="S1135" i="1"/>
  <c r="R1135" i="1"/>
  <c r="Q1135" i="1"/>
  <c r="F973" i="1"/>
  <c r="F963" i="1"/>
  <c r="F953" i="1"/>
  <c r="U981" i="1"/>
  <c r="T981" i="1"/>
  <c r="S981" i="1"/>
  <c r="R981" i="1"/>
  <c r="Q981" i="1"/>
  <c r="U980" i="1"/>
  <c r="T980" i="1"/>
  <c r="U979" i="1"/>
  <c r="T979" i="1"/>
  <c r="H979" i="1"/>
  <c r="S978" i="1"/>
  <c r="R978" i="1"/>
  <c r="Q978" i="1"/>
  <c r="U977" i="1"/>
  <c r="T977" i="1"/>
  <c r="S977" i="1"/>
  <c r="R977" i="1"/>
  <c r="Q977" i="1"/>
  <c r="U976" i="1"/>
  <c r="T976" i="1"/>
  <c r="S976" i="1"/>
  <c r="R976" i="1"/>
  <c r="Q976" i="1"/>
  <c r="U975" i="1"/>
  <c r="T975" i="1"/>
  <c r="S975" i="1"/>
  <c r="R975" i="1"/>
  <c r="Q975" i="1"/>
  <c r="U971" i="1"/>
  <c r="T971" i="1"/>
  <c r="S971" i="1"/>
  <c r="R971" i="1"/>
  <c r="Q971" i="1"/>
  <c r="U970" i="1"/>
  <c r="T970" i="1"/>
  <c r="S970" i="1"/>
  <c r="R970" i="1"/>
  <c r="Q970" i="1"/>
  <c r="U969" i="1"/>
  <c r="T969" i="1"/>
  <c r="Q969" i="1"/>
  <c r="H969" i="1"/>
  <c r="P968" i="1"/>
  <c r="P999" i="1" s="1"/>
  <c r="P995" i="1" s="1"/>
  <c r="O968" i="1"/>
  <c r="O999" i="1" s="1"/>
  <c r="N968" i="1"/>
  <c r="S968" i="1" s="1"/>
  <c r="M968" i="1"/>
  <c r="R968" i="1" s="1"/>
  <c r="L968" i="1"/>
  <c r="Q968" i="1" s="1"/>
  <c r="U967" i="1"/>
  <c r="T967" i="1"/>
  <c r="S967" i="1"/>
  <c r="R967" i="1"/>
  <c r="Q967" i="1"/>
  <c r="U966" i="1"/>
  <c r="T966" i="1"/>
  <c r="S966" i="1"/>
  <c r="R966" i="1"/>
  <c r="Q966" i="1"/>
  <c r="U965" i="1"/>
  <c r="T965" i="1"/>
  <c r="S965" i="1"/>
  <c r="R965" i="1"/>
  <c r="Q965" i="1"/>
  <c r="P964" i="1"/>
  <c r="P972" i="1" s="1"/>
  <c r="U963" i="1"/>
  <c r="T963" i="1"/>
  <c r="S963" i="1"/>
  <c r="R963" i="1"/>
  <c r="Q963" i="1"/>
  <c r="H959" i="1"/>
  <c r="P958" i="1"/>
  <c r="O958" i="1"/>
  <c r="O989" i="1" s="1"/>
  <c r="T989" i="1" s="1"/>
  <c r="N958" i="1"/>
  <c r="N954" i="1" s="1"/>
  <c r="N962" i="1" s="1"/>
  <c r="M958" i="1"/>
  <c r="L958" i="1"/>
  <c r="L954" i="1" s="1"/>
  <c r="L962" i="1" s="1"/>
  <c r="P948" i="1"/>
  <c r="P944" i="1" s="1"/>
  <c r="P952" i="1" s="1"/>
  <c r="O948" i="1"/>
  <c r="N948" i="1"/>
  <c r="N944" i="1" s="1"/>
  <c r="N952" i="1" s="1"/>
  <c r="M948" i="1"/>
  <c r="M944" i="1" s="1"/>
  <c r="M952" i="1" s="1"/>
  <c r="L948" i="1"/>
  <c r="L944" i="1" s="1"/>
  <c r="L952" i="1" s="1"/>
  <c r="O944" i="1"/>
  <c r="O952" i="1" s="1"/>
  <c r="B257" i="5"/>
  <c r="B268" i="5"/>
  <c r="U664" i="1"/>
  <c r="T664" i="1"/>
  <c r="S664" i="1"/>
  <c r="R664" i="1"/>
  <c r="Q664" i="1"/>
  <c r="U663" i="1"/>
  <c r="T663" i="1"/>
  <c r="N663" i="1"/>
  <c r="S663" i="1" s="1"/>
  <c r="M663" i="1"/>
  <c r="R663" i="1" s="1"/>
  <c r="L663" i="1"/>
  <c r="Q663" i="1" s="1"/>
  <c r="U662" i="1"/>
  <c r="T662" i="1"/>
  <c r="N662" i="1"/>
  <c r="S662" i="1" s="1"/>
  <c r="M662" i="1"/>
  <c r="R662" i="1" s="1"/>
  <c r="L662" i="1"/>
  <c r="H662" i="1"/>
  <c r="S661" i="1"/>
  <c r="R661" i="1"/>
  <c r="Q661" i="1"/>
  <c r="P661" i="1"/>
  <c r="P657" i="1" s="1"/>
  <c r="P665" i="1" s="1"/>
  <c r="O661" i="1"/>
  <c r="O657" i="1" s="1"/>
  <c r="O665" i="1" s="1"/>
  <c r="U660" i="1"/>
  <c r="T660" i="1"/>
  <c r="S660" i="1"/>
  <c r="R660" i="1"/>
  <c r="Q660" i="1"/>
  <c r="U659" i="1"/>
  <c r="T659" i="1"/>
  <c r="S659" i="1"/>
  <c r="R659" i="1"/>
  <c r="Q659" i="1"/>
  <c r="U658" i="1"/>
  <c r="T658" i="1"/>
  <c r="S658" i="1"/>
  <c r="R658" i="1"/>
  <c r="Q658" i="1"/>
  <c r="U656" i="1"/>
  <c r="T656" i="1"/>
  <c r="S656" i="1"/>
  <c r="R656" i="1"/>
  <c r="Q656" i="1"/>
  <c r="U654" i="1"/>
  <c r="T654" i="1"/>
  <c r="S654" i="1"/>
  <c r="R654" i="1"/>
  <c r="Q654" i="1"/>
  <c r="U653" i="1"/>
  <c r="T653" i="1"/>
  <c r="N653" i="1"/>
  <c r="S653" i="1" s="1"/>
  <c r="M653" i="1"/>
  <c r="R653" i="1" s="1"/>
  <c r="L653" i="1"/>
  <c r="Q653" i="1" s="1"/>
  <c r="U652" i="1"/>
  <c r="T652" i="1"/>
  <c r="N652" i="1"/>
  <c r="S652" i="1" s="1"/>
  <c r="M652" i="1"/>
  <c r="R652" i="1" s="1"/>
  <c r="L652" i="1"/>
  <c r="H652" i="1"/>
  <c r="S651" i="1"/>
  <c r="R651" i="1"/>
  <c r="Q651" i="1"/>
  <c r="P651" i="1"/>
  <c r="U651" i="1" s="1"/>
  <c r="O651" i="1"/>
  <c r="O647" i="1" s="1"/>
  <c r="O655" i="1" s="1"/>
  <c r="U650" i="1"/>
  <c r="T650" i="1"/>
  <c r="S650" i="1"/>
  <c r="R650" i="1"/>
  <c r="Q650" i="1"/>
  <c r="U649" i="1"/>
  <c r="T649" i="1"/>
  <c r="S649" i="1"/>
  <c r="R649" i="1"/>
  <c r="Q649" i="1"/>
  <c r="U648" i="1"/>
  <c r="T648" i="1"/>
  <c r="S648" i="1"/>
  <c r="R648" i="1"/>
  <c r="Q648" i="1"/>
  <c r="U646" i="1"/>
  <c r="T646" i="1"/>
  <c r="S646" i="1"/>
  <c r="R646" i="1"/>
  <c r="Q646" i="1"/>
  <c r="P448" i="1"/>
  <c r="P456" i="1" s="1"/>
  <c r="O448" i="1"/>
  <c r="O456" i="1" s="1"/>
  <c r="N448" i="1"/>
  <c r="N456" i="1" s="1"/>
  <c r="M448" i="1"/>
  <c r="M456" i="1" s="1"/>
  <c r="L448" i="1"/>
  <c r="L456" i="1" s="1"/>
  <c r="L427" i="1"/>
  <c r="L429" i="1" s="1"/>
  <c r="M427" i="1"/>
  <c r="M429" i="1" s="1"/>
  <c r="N427" i="1"/>
  <c r="N429" i="1" s="1"/>
  <c r="O427" i="1"/>
  <c r="O429" i="1" s="1"/>
  <c r="P427" i="1"/>
  <c r="P429" i="1" s="1"/>
  <c r="P420" i="1"/>
  <c r="O420" i="1"/>
  <c r="N420" i="1"/>
  <c r="M420" i="1"/>
  <c r="L420" i="1"/>
  <c r="P419" i="1"/>
  <c r="O419" i="1"/>
  <c r="N419" i="1"/>
  <c r="M419" i="1"/>
  <c r="L419" i="1"/>
  <c r="P409" i="1"/>
  <c r="N409" i="1"/>
  <c r="M410" i="1"/>
  <c r="L409" i="1"/>
  <c r="P398" i="1"/>
  <c r="P406" i="1" s="1"/>
  <c r="O398" i="1"/>
  <c r="O406" i="1" s="1"/>
  <c r="N398" i="1"/>
  <c r="N406" i="1" s="1"/>
  <c r="M398" i="1"/>
  <c r="M406" i="1" s="1"/>
  <c r="L398" i="1"/>
  <c r="L406" i="1" s="1"/>
  <c r="P356" i="1"/>
  <c r="O356" i="1"/>
  <c r="N356" i="1"/>
  <c r="M356" i="1"/>
  <c r="L356" i="1"/>
  <c r="L364" i="1" s="1"/>
  <c r="P346" i="1"/>
  <c r="P354" i="1" s="1"/>
  <c r="O346" i="1"/>
  <c r="O354" i="1" s="1"/>
  <c r="N346" i="1"/>
  <c r="N354" i="1" s="1"/>
  <c r="M346" i="1"/>
  <c r="M354" i="1" s="1"/>
  <c r="L346" i="1"/>
  <c r="L354" i="1" s="1"/>
  <c r="P293" i="1"/>
  <c r="P301" i="1" s="1"/>
  <c r="O293" i="1"/>
  <c r="O301" i="1" s="1"/>
  <c r="N293" i="1"/>
  <c r="N301" i="1" s="1"/>
  <c r="M293" i="1"/>
  <c r="M301" i="1" s="1"/>
  <c r="L293" i="1"/>
  <c r="L301" i="1" s="1"/>
  <c r="F258" i="5" l="1"/>
  <c r="F203" i="5" s="1"/>
  <c r="E260" i="5"/>
  <c r="E205" i="5" s="1"/>
  <c r="D261" i="5"/>
  <c r="D206" i="5" s="1"/>
  <c r="C262" i="5"/>
  <c r="C207" i="5" s="1"/>
  <c r="G262" i="5"/>
  <c r="G207" i="5" s="1"/>
  <c r="D263" i="5"/>
  <c r="D208" i="5" s="1"/>
  <c r="D264" i="5"/>
  <c r="D209" i="5" s="1"/>
  <c r="C265" i="5"/>
  <c r="C210" i="5" s="1"/>
  <c r="G265" i="5"/>
  <c r="G210" i="5" s="1"/>
  <c r="F266" i="5"/>
  <c r="F211" i="5" s="1"/>
  <c r="G258" i="5"/>
  <c r="G203" i="5" s="1"/>
  <c r="F260" i="5"/>
  <c r="F205" i="5" s="1"/>
  <c r="E261" i="5"/>
  <c r="E206" i="5" s="1"/>
  <c r="D262" i="5"/>
  <c r="D207" i="5" s="1"/>
  <c r="E263" i="5"/>
  <c r="E208" i="5" s="1"/>
  <c r="E264" i="5"/>
  <c r="E209" i="5" s="1"/>
  <c r="D265" i="5"/>
  <c r="D210" i="5" s="1"/>
  <c r="C266" i="5"/>
  <c r="C211" i="5" s="1"/>
  <c r="G266" i="5"/>
  <c r="G211" i="5" s="1"/>
  <c r="E258" i="5"/>
  <c r="E203" i="5" s="1"/>
  <c r="D260" i="5"/>
  <c r="D205" i="5" s="1"/>
  <c r="C261" i="5"/>
  <c r="C206" i="5" s="1"/>
  <c r="G261" i="5"/>
  <c r="G206" i="5" s="1"/>
  <c r="F262" i="5"/>
  <c r="F207" i="5" s="1"/>
  <c r="C263" i="5"/>
  <c r="C208" i="5" s="1"/>
  <c r="G264" i="5"/>
  <c r="G209" i="5" s="1"/>
  <c r="F265" i="5"/>
  <c r="F210" i="5" s="1"/>
  <c r="E266" i="5"/>
  <c r="E211" i="5" s="1"/>
  <c r="D258" i="5"/>
  <c r="D203" i="5" s="1"/>
  <c r="C260" i="5"/>
  <c r="G260" i="5"/>
  <c r="G205" i="5" s="1"/>
  <c r="F261" i="5"/>
  <c r="F206" i="5" s="1"/>
  <c r="E262" i="5"/>
  <c r="E207" i="5" s="1"/>
  <c r="F264" i="5"/>
  <c r="F209" i="5" s="1"/>
  <c r="E265" i="5"/>
  <c r="E210" i="5" s="1"/>
  <c r="D266" i="5"/>
  <c r="D211" i="5" s="1"/>
  <c r="P978" i="1"/>
  <c r="U978" i="1" s="1"/>
  <c r="U974" i="1" s="1"/>
  <c r="P989" i="1"/>
  <c r="U989" i="1" s="1"/>
  <c r="T999" i="1"/>
  <c r="U968" i="1"/>
  <c r="U964" i="1" s="1"/>
  <c r="U972" i="1" s="1"/>
  <c r="P954" i="1"/>
  <c r="P962" i="1" s="1"/>
  <c r="C258" i="5"/>
  <c r="S1241" i="1"/>
  <c r="S1243" i="1"/>
  <c r="S1239" i="1"/>
  <c r="U1242" i="1"/>
  <c r="Q1239" i="1"/>
  <c r="Q1242" i="1"/>
  <c r="L1217" i="1"/>
  <c r="R1245" i="1"/>
  <c r="T1239" i="1"/>
  <c r="T1241" i="1"/>
  <c r="R1242" i="1"/>
  <c r="T1243" i="1"/>
  <c r="U1244" i="1"/>
  <c r="S1245" i="1"/>
  <c r="U1246" i="1"/>
  <c r="U1239" i="1"/>
  <c r="Q1241" i="1"/>
  <c r="U1241" i="1"/>
  <c r="S1242" i="1"/>
  <c r="Q1243" i="1"/>
  <c r="U1243" i="1"/>
  <c r="R1244" i="1"/>
  <c r="T1245" i="1"/>
  <c r="R1246" i="1"/>
  <c r="T1247" i="1"/>
  <c r="T1244" i="1"/>
  <c r="T1246" i="1"/>
  <c r="R1247" i="1"/>
  <c r="Q1244" i="1"/>
  <c r="Q1246" i="1"/>
  <c r="S1247" i="1"/>
  <c r="R1239" i="1"/>
  <c r="R1241" i="1"/>
  <c r="T1242" i="1"/>
  <c r="R1243" i="1"/>
  <c r="S1244" i="1"/>
  <c r="Q1245" i="1"/>
  <c r="U1245" i="1"/>
  <c r="S1246" i="1"/>
  <c r="Q1247" i="1"/>
  <c r="M964" i="1"/>
  <c r="M972" i="1" s="1"/>
  <c r="L964" i="1"/>
  <c r="L972" i="1" s="1"/>
  <c r="V981" i="1"/>
  <c r="N964" i="1"/>
  <c r="N972" i="1" s="1"/>
  <c r="V969" i="1"/>
  <c r="V1137" i="1"/>
  <c r="U1136" i="1"/>
  <c r="U1144" i="1" s="1"/>
  <c r="V1143" i="1"/>
  <c r="V1138" i="1"/>
  <c r="Q1136" i="1"/>
  <c r="Q1144" i="1" s="1"/>
  <c r="S1136" i="1"/>
  <c r="S1144" i="1" s="1"/>
  <c r="V1139" i="1"/>
  <c r="V1141" i="1"/>
  <c r="V1142" i="1"/>
  <c r="T1136" i="1"/>
  <c r="T1144" i="1" s="1"/>
  <c r="V1140" i="1"/>
  <c r="R1136" i="1"/>
  <c r="V1135" i="1"/>
  <c r="V965" i="1"/>
  <c r="S964" i="1"/>
  <c r="S972" i="1" s="1"/>
  <c r="V970" i="1"/>
  <c r="P430" i="1"/>
  <c r="P428" i="1" s="1"/>
  <c r="L647" i="1"/>
  <c r="L655" i="1" s="1"/>
  <c r="V967" i="1"/>
  <c r="V659" i="1"/>
  <c r="L657" i="1"/>
  <c r="L665" i="1" s="1"/>
  <c r="O954" i="1"/>
  <c r="O962" i="1" s="1"/>
  <c r="V971" i="1"/>
  <c r="V977" i="1"/>
  <c r="M954" i="1"/>
  <c r="M962" i="1" s="1"/>
  <c r="R964" i="1"/>
  <c r="R972" i="1" s="1"/>
  <c r="Q964" i="1"/>
  <c r="Q972" i="1" s="1"/>
  <c r="V975" i="1"/>
  <c r="V963" i="1"/>
  <c r="V966" i="1"/>
  <c r="V976" i="1"/>
  <c r="O964" i="1"/>
  <c r="O972" i="1" s="1"/>
  <c r="T968" i="1"/>
  <c r="T964" i="1" s="1"/>
  <c r="T972" i="1" s="1"/>
  <c r="O430" i="1"/>
  <c r="O428" i="1" s="1"/>
  <c r="O978" i="1"/>
  <c r="O1019" i="1" s="1"/>
  <c r="O410" i="1"/>
  <c r="O409" i="1"/>
  <c r="S657" i="1"/>
  <c r="S665" i="1" s="1"/>
  <c r="Q652" i="1"/>
  <c r="M657" i="1"/>
  <c r="M665" i="1" s="1"/>
  <c r="M364" i="1"/>
  <c r="V663" i="1"/>
  <c r="U647" i="1"/>
  <c r="R657" i="1"/>
  <c r="R665" i="1" s="1"/>
  <c r="R647" i="1"/>
  <c r="V660" i="1"/>
  <c r="N410" i="1"/>
  <c r="N408" i="1" s="1"/>
  <c r="N416" i="1" s="1"/>
  <c r="V649" i="1"/>
  <c r="P647" i="1"/>
  <c r="P655" i="1" s="1"/>
  <c r="V650" i="1"/>
  <c r="H262" i="5" s="1"/>
  <c r="H207" i="5" s="1"/>
  <c r="V654" i="1"/>
  <c r="V658" i="1"/>
  <c r="Q662" i="1"/>
  <c r="V662" i="1" s="1"/>
  <c r="S647" i="1"/>
  <c r="V653" i="1"/>
  <c r="V648" i="1"/>
  <c r="H260" i="5" s="1"/>
  <c r="V664" i="1"/>
  <c r="M647" i="1"/>
  <c r="M655" i="1" s="1"/>
  <c r="N657" i="1"/>
  <c r="N665" i="1" s="1"/>
  <c r="T661" i="1"/>
  <c r="T657" i="1" s="1"/>
  <c r="N430" i="1"/>
  <c r="N428" i="1" s="1"/>
  <c r="N647" i="1"/>
  <c r="N655" i="1" s="1"/>
  <c r="T651" i="1"/>
  <c r="V656" i="1"/>
  <c r="U661" i="1"/>
  <c r="U657" i="1" s="1"/>
  <c r="U665" i="1" s="1"/>
  <c r="L430" i="1"/>
  <c r="L428" i="1" s="1"/>
  <c r="V646" i="1"/>
  <c r="M430" i="1"/>
  <c r="M428" i="1" s="1"/>
  <c r="M409" i="1"/>
  <c r="M408" i="1" s="1"/>
  <c r="M416" i="1" s="1"/>
  <c r="L410" i="1"/>
  <c r="P410" i="1"/>
  <c r="P408" i="1" s="1"/>
  <c r="P416" i="1" s="1"/>
  <c r="N364" i="1"/>
  <c r="U645" i="1" l="1"/>
  <c r="E259" i="5"/>
  <c r="E204" i="5" s="1"/>
  <c r="S645" i="1"/>
  <c r="R645" i="1"/>
  <c r="H265" i="5"/>
  <c r="H210" i="5" s="1"/>
  <c r="D259" i="5"/>
  <c r="D204" i="5" s="1"/>
  <c r="H258" i="5"/>
  <c r="H203" i="5" s="1"/>
  <c r="F263" i="5"/>
  <c r="F208" i="5" s="1"/>
  <c r="H261" i="5"/>
  <c r="H206" i="5" s="1"/>
  <c r="H266" i="5"/>
  <c r="H211" i="5" s="1"/>
  <c r="G259" i="5"/>
  <c r="G204" i="5" s="1"/>
  <c r="C264" i="5"/>
  <c r="C209" i="5" s="1"/>
  <c r="G263" i="5"/>
  <c r="G208" i="5" s="1"/>
  <c r="T1019" i="1"/>
  <c r="U999" i="1"/>
  <c r="U995" i="1" s="1"/>
  <c r="U1003" i="1" s="1"/>
  <c r="P1003" i="1"/>
  <c r="P974" i="1"/>
  <c r="P1019" i="1"/>
  <c r="L408" i="1"/>
  <c r="L416" i="1" s="1"/>
  <c r="S1240" i="1"/>
  <c r="S1248" i="1" s="1"/>
  <c r="Q1240" i="1"/>
  <c r="Q1248" i="1" s="1"/>
  <c r="T1240" i="1"/>
  <c r="T1248" i="1" s="1"/>
  <c r="O408" i="1"/>
  <c r="O416" i="1" s="1"/>
  <c r="V1243" i="1"/>
  <c r="V1245" i="1"/>
  <c r="R1240" i="1"/>
  <c r="R1248" i="1" s="1"/>
  <c r="V1246" i="1"/>
  <c r="U1240" i="1"/>
  <c r="U1248" i="1" s="1"/>
  <c r="V1242" i="1"/>
  <c r="V1247" i="1"/>
  <c r="V1239" i="1"/>
  <c r="V1244" i="1"/>
  <c r="V1241" i="1"/>
  <c r="V1136" i="1"/>
  <c r="R1144" i="1"/>
  <c r="V1144" i="1" s="1"/>
  <c r="V968" i="1"/>
  <c r="T978" i="1"/>
  <c r="O974" i="1"/>
  <c r="V972" i="1"/>
  <c r="V964" i="1"/>
  <c r="S655" i="1"/>
  <c r="E267" i="5" s="1"/>
  <c r="E212" i="5" s="1"/>
  <c r="R655" i="1"/>
  <c r="D267" i="5" s="1"/>
  <c r="D212" i="5" s="1"/>
  <c r="T647" i="1"/>
  <c r="V652" i="1"/>
  <c r="H264" i="5" s="1"/>
  <c r="H209" i="5" s="1"/>
  <c r="Q647" i="1"/>
  <c r="U655" i="1"/>
  <c r="G267" i="5" s="1"/>
  <c r="G212" i="5" s="1"/>
  <c r="V661" i="1"/>
  <c r="Q657" i="1"/>
  <c r="Q665" i="1" s="1"/>
  <c r="T665" i="1"/>
  <c r="V651" i="1"/>
  <c r="P364" i="1"/>
  <c r="O364" i="1"/>
  <c r="F259" i="5" l="1"/>
  <c r="F204" i="5" s="1"/>
  <c r="T645" i="1"/>
  <c r="Q645" i="1"/>
  <c r="H263" i="5"/>
  <c r="H208" i="5" s="1"/>
  <c r="C259" i="5"/>
  <c r="V999" i="1"/>
  <c r="C257" i="5"/>
  <c r="Q655" i="1"/>
  <c r="C267" i="5" s="1"/>
  <c r="U1019" i="1"/>
  <c r="V989" i="1"/>
  <c r="E257" i="5"/>
  <c r="E29" i="3"/>
  <c r="D257" i="5"/>
  <c r="D29" i="3"/>
  <c r="G257" i="5"/>
  <c r="G29" i="3"/>
  <c r="V647" i="1"/>
  <c r="V1248" i="1"/>
  <c r="V1240" i="1"/>
  <c r="T974" i="1"/>
  <c r="V978" i="1"/>
  <c r="T655" i="1"/>
  <c r="F267" i="5" s="1"/>
  <c r="F212" i="5" s="1"/>
  <c r="V657" i="1"/>
  <c r="V665" i="1"/>
  <c r="H259" i="5" l="1"/>
  <c r="V1019" i="1"/>
  <c r="F257" i="5"/>
  <c r="F29" i="3"/>
  <c r="C29" i="3"/>
  <c r="V655" i="1"/>
  <c r="H267" i="5" s="1"/>
  <c r="L266" i="1" l="1"/>
  <c r="Q266" i="1" s="1"/>
  <c r="M264" i="1"/>
  <c r="O266" i="1"/>
  <c r="T266" i="1" s="1"/>
  <c r="K261" i="1"/>
  <c r="U269" i="1"/>
  <c r="T269" i="1"/>
  <c r="S269" i="1"/>
  <c r="R269" i="1"/>
  <c r="Q269" i="1"/>
  <c r="U268" i="1"/>
  <c r="T268" i="1"/>
  <c r="S268" i="1"/>
  <c r="R268" i="1"/>
  <c r="Q268" i="1"/>
  <c r="U267" i="1"/>
  <c r="T267" i="1"/>
  <c r="S267" i="1"/>
  <c r="R267" i="1"/>
  <c r="Q267" i="1"/>
  <c r="H267" i="1"/>
  <c r="U265" i="1"/>
  <c r="T265" i="1"/>
  <c r="S265" i="1"/>
  <c r="R265" i="1"/>
  <c r="Q265" i="1"/>
  <c r="U263" i="1"/>
  <c r="T263" i="1"/>
  <c r="S263" i="1"/>
  <c r="R263" i="1"/>
  <c r="Q263" i="1"/>
  <c r="P266" i="1"/>
  <c r="U266" i="1" s="1"/>
  <c r="L251" i="1"/>
  <c r="L254" i="1" s="1"/>
  <c r="M251" i="1"/>
  <c r="M254" i="1" s="1"/>
  <c r="N251" i="1"/>
  <c r="O251" i="1"/>
  <c r="O254" i="1" s="1"/>
  <c r="P251" i="1"/>
  <c r="P254" i="1" s="1"/>
  <c r="K251" i="1"/>
  <c r="K221" i="1"/>
  <c r="P256" i="1"/>
  <c r="O256" i="1"/>
  <c r="P242" i="1"/>
  <c r="P250" i="1" s="1"/>
  <c r="O242" i="1"/>
  <c r="O250" i="1" s="1"/>
  <c r="N242" i="1"/>
  <c r="N250" i="1" s="1"/>
  <c r="M242" i="1"/>
  <c r="M250" i="1" s="1"/>
  <c r="L242" i="1"/>
  <c r="L250" i="1" s="1"/>
  <c r="P236" i="1"/>
  <c r="P232" i="1" s="1"/>
  <c r="P240" i="1" s="1"/>
  <c r="O236" i="1"/>
  <c r="O232" i="1" s="1"/>
  <c r="O240" i="1" s="1"/>
  <c r="N232" i="1"/>
  <c r="N240" i="1" s="1"/>
  <c r="M232" i="1"/>
  <c r="M240" i="1" s="1"/>
  <c r="L232" i="1"/>
  <c r="L240" i="1" s="1"/>
  <c r="P222" i="1"/>
  <c r="P230" i="1" s="1"/>
  <c r="O222" i="1"/>
  <c r="O230" i="1" s="1"/>
  <c r="H205" i="1"/>
  <c r="P210" i="1"/>
  <c r="P218" i="1" s="1"/>
  <c r="O210" i="1"/>
  <c r="O218" i="1" s="1"/>
  <c r="N210" i="1"/>
  <c r="N218" i="1" s="1"/>
  <c r="M210" i="1"/>
  <c r="M218" i="1" s="1"/>
  <c r="L210" i="1"/>
  <c r="L218" i="1" s="1"/>
  <c r="P199" i="1"/>
  <c r="P203" i="1" s="1"/>
  <c r="P200" i="1" s="1"/>
  <c r="O199" i="1"/>
  <c r="O203" i="1" s="1"/>
  <c r="O200" i="1" s="1"/>
  <c r="N199" i="1"/>
  <c r="N205" i="1" s="1"/>
  <c r="M199" i="1"/>
  <c r="M206" i="1" s="1"/>
  <c r="L199" i="1"/>
  <c r="L206" i="1" s="1"/>
  <c r="N196" i="1"/>
  <c r="M196" i="1"/>
  <c r="L196" i="1"/>
  <c r="L195" i="1"/>
  <c r="P193" i="1"/>
  <c r="P190" i="1" s="1"/>
  <c r="P198" i="1" s="1"/>
  <c r="O193" i="1"/>
  <c r="O190" i="1" s="1"/>
  <c r="O198" i="1" s="1"/>
  <c r="U186" i="1"/>
  <c r="T186" i="1"/>
  <c r="S186" i="1"/>
  <c r="R186" i="1"/>
  <c r="Q186" i="1"/>
  <c r="U185" i="1"/>
  <c r="T185" i="1"/>
  <c r="Q185" i="1"/>
  <c r="U184" i="1"/>
  <c r="T184" i="1"/>
  <c r="U183" i="1"/>
  <c r="T183" i="1"/>
  <c r="S183" i="1"/>
  <c r="R183" i="1"/>
  <c r="Q183" i="1"/>
  <c r="U182" i="1"/>
  <c r="T182" i="1"/>
  <c r="S182" i="1"/>
  <c r="R182" i="1"/>
  <c r="Q182" i="1"/>
  <c r="U181" i="1"/>
  <c r="T181" i="1"/>
  <c r="S181" i="1"/>
  <c r="R181" i="1"/>
  <c r="Q181" i="1"/>
  <c r="U180" i="1"/>
  <c r="T180" i="1"/>
  <c r="S180" i="1"/>
  <c r="R180" i="1"/>
  <c r="Q180" i="1"/>
  <c r="P138" i="1"/>
  <c r="O138" i="1"/>
  <c r="O112" i="1"/>
  <c r="O108" i="1" s="1"/>
  <c r="M112" i="1"/>
  <c r="M108" i="1" s="1"/>
  <c r="N144" i="1"/>
  <c r="M144" i="1"/>
  <c r="P96" i="1"/>
  <c r="O96" i="1"/>
  <c r="N88" i="1"/>
  <c r="N96" i="1" s="1"/>
  <c r="M88" i="1"/>
  <c r="M96" i="1" s="1"/>
  <c r="L88" i="1"/>
  <c r="L96" i="1" s="1"/>
  <c r="P76" i="1"/>
  <c r="O76" i="1"/>
  <c r="N76" i="1"/>
  <c r="M76" i="1"/>
  <c r="L76" i="1"/>
  <c r="C456" i="4"/>
  <c r="C455" i="4"/>
  <c r="C454" i="4"/>
  <c r="C453" i="4"/>
  <c r="C452" i="4"/>
  <c r="C149" i="4"/>
  <c r="H55" i="4"/>
  <c r="D54" i="4"/>
  <c r="H54" i="4" s="1"/>
  <c r="H53" i="4"/>
  <c r="H52" i="4"/>
  <c r="D51" i="4"/>
  <c r="H51" i="4" s="1"/>
  <c r="H50" i="4"/>
  <c r="D49" i="4"/>
  <c r="H49" i="4" s="1"/>
  <c r="G48" i="4"/>
  <c r="H48" i="4" s="1"/>
  <c r="H40" i="4"/>
  <c r="D39" i="4"/>
  <c r="H39" i="4" s="1"/>
  <c r="H38" i="4"/>
  <c r="H37" i="4"/>
  <c r="D36" i="4"/>
  <c r="H36" i="4" s="1"/>
  <c r="H35" i="4"/>
  <c r="D34" i="4"/>
  <c r="H34" i="4" s="1"/>
  <c r="G33" i="4"/>
  <c r="H33" i="4" s="1"/>
  <c r="H25" i="4"/>
  <c r="D24" i="4"/>
  <c r="H24" i="4" s="1"/>
  <c r="D23" i="4"/>
  <c r="H23" i="4" s="1"/>
  <c r="H22" i="4"/>
  <c r="D21" i="4"/>
  <c r="H21" i="4" s="1"/>
  <c r="G20" i="4"/>
  <c r="H20" i="4" s="1"/>
  <c r="K46" i="1"/>
  <c r="P46" i="1" s="1"/>
  <c r="U46" i="1" s="1"/>
  <c r="K53" i="1"/>
  <c r="L53" i="1" s="1"/>
  <c r="P57" i="1"/>
  <c r="O57" i="1"/>
  <c r="N57" i="1"/>
  <c r="M57" i="1"/>
  <c r="L57" i="1"/>
  <c r="U43" i="1"/>
  <c r="T43" i="1"/>
  <c r="S43" i="1"/>
  <c r="R43" i="1"/>
  <c r="Q43" i="1"/>
  <c r="U42" i="1"/>
  <c r="T42" i="1"/>
  <c r="Q42" i="1"/>
  <c r="Q41" i="1"/>
  <c r="P41" i="1"/>
  <c r="U41" i="1" s="1"/>
  <c r="O41" i="1"/>
  <c r="T41" i="1" s="1"/>
  <c r="S40" i="1"/>
  <c r="R40" i="1"/>
  <c r="Q40" i="1"/>
  <c r="U39" i="1"/>
  <c r="T39" i="1"/>
  <c r="S39" i="1"/>
  <c r="R39" i="1"/>
  <c r="Q39" i="1"/>
  <c r="U38" i="1"/>
  <c r="T38" i="1"/>
  <c r="S38" i="1"/>
  <c r="R38" i="1"/>
  <c r="Q38" i="1"/>
  <c r="U37" i="1"/>
  <c r="T37" i="1"/>
  <c r="S37" i="1"/>
  <c r="R37" i="1"/>
  <c r="Q37" i="1"/>
  <c r="L36" i="1"/>
  <c r="Q35" i="1"/>
  <c r="F35" i="1"/>
  <c r="P40" i="1"/>
  <c r="O40" i="1"/>
  <c r="N30" i="1"/>
  <c r="N26" i="1" s="1"/>
  <c r="N34" i="1" s="1"/>
  <c r="M30" i="1"/>
  <c r="M26" i="1" s="1"/>
  <c r="M34" i="1" s="1"/>
  <c r="L30" i="1"/>
  <c r="L26" i="1" s="1"/>
  <c r="L34" i="1" s="1"/>
  <c r="N193" i="1" l="1"/>
  <c r="N195" i="1"/>
  <c r="M193" i="1"/>
  <c r="M195" i="1"/>
  <c r="L228" i="1"/>
  <c r="N227" i="1"/>
  <c r="N228" i="1"/>
  <c r="M228" i="1"/>
  <c r="M227" i="1"/>
  <c r="H948" i="1"/>
  <c r="L190" i="1"/>
  <c r="L198" i="1" s="1"/>
  <c r="O46" i="1"/>
  <c r="T46" i="1" s="1"/>
  <c r="E458" i="4"/>
  <c r="C459" i="4"/>
  <c r="H958" i="1" s="1"/>
  <c r="R261" i="1"/>
  <c r="P51" i="1"/>
  <c r="L51" i="1"/>
  <c r="Q51" i="1" s="1"/>
  <c r="T179" i="1"/>
  <c r="V269" i="1"/>
  <c r="L46" i="1"/>
  <c r="Q46" i="1" s="1"/>
  <c r="V43" i="1"/>
  <c r="Q36" i="1"/>
  <c r="Q44" i="1" s="1"/>
  <c r="M46" i="1"/>
  <c r="R46" i="1" s="1"/>
  <c r="L77" i="1"/>
  <c r="L85" i="1" s="1"/>
  <c r="V265" i="1"/>
  <c r="V267" i="1"/>
  <c r="V268" i="1"/>
  <c r="L203" i="1"/>
  <c r="M266" i="1"/>
  <c r="R266" i="1" s="1"/>
  <c r="V39" i="1"/>
  <c r="U179" i="1"/>
  <c r="R264" i="1"/>
  <c r="N264" i="1"/>
  <c r="M253" i="1"/>
  <c r="M252" i="1" s="1"/>
  <c r="M260" i="1" s="1"/>
  <c r="S261" i="1"/>
  <c r="V263" i="1"/>
  <c r="O264" i="1"/>
  <c r="N266" i="1"/>
  <c r="S266" i="1" s="1"/>
  <c r="T261" i="1"/>
  <c r="L264" i="1"/>
  <c r="P264" i="1"/>
  <c r="U261" i="1"/>
  <c r="U40" i="1"/>
  <c r="U36" i="1" s="1"/>
  <c r="O26" i="1"/>
  <c r="O34" i="1" s="1"/>
  <c r="V182" i="1"/>
  <c r="V183" i="1"/>
  <c r="V186" i="1"/>
  <c r="V181" i="1"/>
  <c r="M205" i="1"/>
  <c r="P26" i="1"/>
  <c r="P34" i="1" s="1"/>
  <c r="V38" i="1"/>
  <c r="N46" i="1"/>
  <c r="S46" i="1" s="1"/>
  <c r="N52" i="1"/>
  <c r="P208" i="1"/>
  <c r="N253" i="1"/>
  <c r="N254" i="1"/>
  <c r="O253" i="1"/>
  <c r="O252" i="1" s="1"/>
  <c r="O260" i="1" s="1"/>
  <c r="L253" i="1"/>
  <c r="L252" i="1" s="1"/>
  <c r="L260" i="1" s="1"/>
  <c r="P253" i="1"/>
  <c r="P252" i="1" s="1"/>
  <c r="P260" i="1" s="1"/>
  <c r="M203" i="1"/>
  <c r="L205" i="1"/>
  <c r="N203" i="1"/>
  <c r="N206" i="1"/>
  <c r="O208" i="1"/>
  <c r="V180" i="1"/>
  <c r="O116" i="1"/>
  <c r="P116" i="1"/>
  <c r="M77" i="1"/>
  <c r="M85" i="1" s="1"/>
  <c r="O77" i="1"/>
  <c r="N77" i="1"/>
  <c r="N85" i="1" s="1"/>
  <c r="M51" i="1"/>
  <c r="R51" i="1" s="1"/>
  <c r="L52" i="1"/>
  <c r="M53" i="1"/>
  <c r="N51" i="1"/>
  <c r="S51" i="1" s="1"/>
  <c r="M52" i="1"/>
  <c r="N53" i="1"/>
  <c r="O51" i="1"/>
  <c r="V37" i="1"/>
  <c r="T40" i="1"/>
  <c r="T36" i="1" s="1"/>
  <c r="L1436" i="1"/>
  <c r="D319" i="4"/>
  <c r="D318" i="4"/>
  <c r="D317" i="4"/>
  <c r="D316" i="4"/>
  <c r="P47" i="1" l="1"/>
  <c r="U51" i="1"/>
  <c r="O47" i="1"/>
  <c r="T51" i="1"/>
  <c r="M56" i="1"/>
  <c r="M65" i="1" s="1"/>
  <c r="N56" i="1"/>
  <c r="N65" i="1" s="1"/>
  <c r="L56" i="1"/>
  <c r="L65" i="1" s="1"/>
  <c r="M222" i="1"/>
  <c r="M230" i="1" s="1"/>
  <c r="L222" i="1"/>
  <c r="L230" i="1" s="1"/>
  <c r="N190" i="1"/>
  <c r="N198" i="1" s="1"/>
  <c r="M190" i="1"/>
  <c r="M198" i="1" s="1"/>
  <c r="Q959" i="1"/>
  <c r="T959" i="1"/>
  <c r="S959" i="1"/>
  <c r="U959" i="1"/>
  <c r="R959" i="1"/>
  <c r="O85" i="1"/>
  <c r="P77" i="1"/>
  <c r="P85" i="1" s="1"/>
  <c r="N222" i="1"/>
  <c r="N230" i="1" s="1"/>
  <c r="M262" i="1"/>
  <c r="M270" i="1" s="1"/>
  <c r="L200" i="1"/>
  <c r="L208" i="1" s="1"/>
  <c r="R960" i="1"/>
  <c r="Q956" i="1"/>
  <c r="S961" i="1"/>
  <c r="U961" i="1"/>
  <c r="U956" i="1"/>
  <c r="U953" i="1"/>
  <c r="Q953" i="1"/>
  <c r="U955" i="1"/>
  <c r="S956" i="1"/>
  <c r="Q958" i="1"/>
  <c r="R961" i="1"/>
  <c r="T957" i="1"/>
  <c r="Q955" i="1"/>
  <c r="U957" i="1"/>
  <c r="R957" i="1"/>
  <c r="S955" i="1"/>
  <c r="R958" i="1"/>
  <c r="Q957" i="1"/>
  <c r="T958" i="1"/>
  <c r="R953" i="1"/>
  <c r="T956" i="1"/>
  <c r="T961" i="1"/>
  <c r="S958" i="1"/>
  <c r="T955" i="1"/>
  <c r="Q960" i="1"/>
  <c r="T953" i="1"/>
  <c r="U958" i="1"/>
  <c r="S960" i="1"/>
  <c r="Q961" i="1"/>
  <c r="S953" i="1"/>
  <c r="S957" i="1"/>
  <c r="R956" i="1"/>
  <c r="R955" i="1"/>
  <c r="T960" i="1"/>
  <c r="U960" i="1"/>
  <c r="R262" i="1"/>
  <c r="R270" i="1" s="1"/>
  <c r="V266" i="1"/>
  <c r="P55" i="1"/>
  <c r="U55" i="1" s="1"/>
  <c r="M200" i="1"/>
  <c r="M208" i="1" s="1"/>
  <c r="V261" i="1"/>
  <c r="U264" i="1"/>
  <c r="U262" i="1" s="1"/>
  <c r="U270" i="1" s="1"/>
  <c r="P262" i="1"/>
  <c r="P270" i="1" s="1"/>
  <c r="T264" i="1"/>
  <c r="T262" i="1" s="1"/>
  <c r="T270" i="1" s="1"/>
  <c r="O262" i="1"/>
  <c r="O270" i="1" s="1"/>
  <c r="N262" i="1"/>
  <c r="N270" i="1" s="1"/>
  <c r="S264" i="1"/>
  <c r="S262" i="1" s="1"/>
  <c r="S270" i="1" s="1"/>
  <c r="Q264" i="1"/>
  <c r="L262" i="1"/>
  <c r="L270" i="1" s="1"/>
  <c r="M116" i="1"/>
  <c r="N116" i="1"/>
  <c r="N252" i="1"/>
  <c r="N260" i="1" s="1"/>
  <c r="N200" i="1"/>
  <c r="N208" i="1" s="1"/>
  <c r="D320" i="4"/>
  <c r="E319" i="4" s="1"/>
  <c r="M47" i="1"/>
  <c r="N47" i="1"/>
  <c r="L47" i="1"/>
  <c r="V40" i="1"/>
  <c r="H2087" i="1"/>
  <c r="T2082" i="1" s="1"/>
  <c r="H2138" i="1"/>
  <c r="P2133" i="1"/>
  <c r="P2141" i="1" s="1"/>
  <c r="O2133" i="1"/>
  <c r="O2141" i="1" s="1"/>
  <c r="N2133" i="1"/>
  <c r="M2133" i="1"/>
  <c r="M2141" i="1" s="1"/>
  <c r="L2133" i="1"/>
  <c r="L2141" i="1" s="1"/>
  <c r="N2123" i="1"/>
  <c r="H2128" i="1"/>
  <c r="H2127" i="1"/>
  <c r="H2117" i="1"/>
  <c r="L2083" i="1"/>
  <c r="D438" i="4"/>
  <c r="F438" i="4" s="1"/>
  <c r="C445" i="4"/>
  <c r="F445" i="4" s="1"/>
  <c r="F446" i="4" s="1"/>
  <c r="F437" i="4"/>
  <c r="F439" i="4"/>
  <c r="D436" i="4"/>
  <c r="F436" i="4" s="1"/>
  <c r="F430" i="4"/>
  <c r="G430" i="4" s="1"/>
  <c r="G429" i="4"/>
  <c r="G428" i="4"/>
  <c r="F427" i="4"/>
  <c r="G427" i="4" s="1"/>
  <c r="G426" i="4"/>
  <c r="G425" i="4"/>
  <c r="G424" i="4"/>
  <c r="P2051" i="1"/>
  <c r="P2059" i="1" s="1"/>
  <c r="O2051" i="1"/>
  <c r="O2059" i="1" s="1"/>
  <c r="N2051" i="1"/>
  <c r="N2059" i="1" s="1"/>
  <c r="M2051" i="1"/>
  <c r="M2059" i="1" s="1"/>
  <c r="L2051" i="1"/>
  <c r="L2059" i="1" s="1"/>
  <c r="F414" i="4"/>
  <c r="H2055" i="1" s="1"/>
  <c r="F410" i="4"/>
  <c r="F409" i="4"/>
  <c r="C408" i="4"/>
  <c r="F408" i="4" s="1"/>
  <c r="C403" i="4"/>
  <c r="F403" i="4" s="1"/>
  <c r="C402" i="4"/>
  <c r="F402" i="4" s="1"/>
  <c r="F401" i="4"/>
  <c r="F400" i="4"/>
  <c r="C399" i="4"/>
  <c r="F399" i="4" s="1"/>
  <c r="F395" i="4"/>
  <c r="C394" i="4"/>
  <c r="F394" i="4" s="1"/>
  <c r="C388" i="4"/>
  <c r="F388" i="4" s="1"/>
  <c r="H76" i="4"/>
  <c r="F379" i="4"/>
  <c r="F378" i="4"/>
  <c r="E373" i="4"/>
  <c r="H1513" i="1" s="1"/>
  <c r="Q1508" i="1" s="1"/>
  <c r="E358" i="4"/>
  <c r="E357" i="4"/>
  <c r="E359" i="4"/>
  <c r="F347" i="4"/>
  <c r="F346" i="4"/>
  <c r="F345" i="4"/>
  <c r="D344" i="4"/>
  <c r="F344" i="4" s="1"/>
  <c r="P1372" i="1"/>
  <c r="P1380" i="1" s="1"/>
  <c r="O1372" i="1"/>
  <c r="O1380" i="1" s="1"/>
  <c r="N1372" i="1"/>
  <c r="N1380" i="1" s="1"/>
  <c r="L1372" i="1"/>
  <c r="L1380" i="1" s="1"/>
  <c r="F1371" i="1"/>
  <c r="H1366" i="1"/>
  <c r="C336" i="4"/>
  <c r="F336" i="4" s="1"/>
  <c r="F337" i="4" s="1"/>
  <c r="D327" i="4"/>
  <c r="F327" i="4" s="1"/>
  <c r="F329" i="4"/>
  <c r="F330" i="4"/>
  <c r="F328" i="4"/>
  <c r="L55" i="1" l="1"/>
  <c r="Q55" i="1" s="1"/>
  <c r="Q47" i="1"/>
  <c r="E374" i="4"/>
  <c r="M55" i="1"/>
  <c r="R55" i="1" s="1"/>
  <c r="R47" i="1"/>
  <c r="N55" i="1"/>
  <c r="S55" i="1" s="1"/>
  <c r="S47" i="1"/>
  <c r="O56" i="1"/>
  <c r="O65" i="1" s="1"/>
  <c r="T47" i="1"/>
  <c r="O55" i="1"/>
  <c r="T55" i="1" s="1"/>
  <c r="P56" i="1"/>
  <c r="P65" i="1" s="1"/>
  <c r="U47" i="1"/>
  <c r="V959" i="1"/>
  <c r="R1511" i="1"/>
  <c r="R954" i="1"/>
  <c r="R962" i="1" s="1"/>
  <c r="V961" i="1"/>
  <c r="V960" i="1"/>
  <c r="V957" i="1"/>
  <c r="S954" i="1"/>
  <c r="S962" i="1" s="1"/>
  <c r="U954" i="1"/>
  <c r="U962" i="1" s="1"/>
  <c r="E316" i="4"/>
  <c r="T954" i="1"/>
  <c r="T962" i="1" s="1"/>
  <c r="V953" i="1"/>
  <c r="V958" i="1"/>
  <c r="V956" i="1"/>
  <c r="Q954" i="1"/>
  <c r="V955" i="1"/>
  <c r="V264" i="1"/>
  <c r="Q262" i="1"/>
  <c r="H1440" i="1"/>
  <c r="E318" i="4"/>
  <c r="F440" i="4"/>
  <c r="G431" i="4"/>
  <c r="H2065" i="1" s="1"/>
  <c r="F396" i="4"/>
  <c r="H1594" i="1" s="1"/>
  <c r="F411" i="4"/>
  <c r="S2019" i="1" s="1"/>
  <c r="F404" i="4"/>
  <c r="H1696" i="1" s="1"/>
  <c r="F348" i="4"/>
  <c r="F349" i="4" s="1"/>
  <c r="F350" i="4" s="1"/>
  <c r="H1461" i="1" s="1"/>
  <c r="F380" i="4"/>
  <c r="H1503" i="1" s="1"/>
  <c r="F331" i="4"/>
  <c r="F332" i="4" s="1"/>
  <c r="F333" i="4" s="1"/>
  <c r="F338" i="4" s="1"/>
  <c r="U1511" i="1" l="1"/>
  <c r="R1515" i="1"/>
  <c r="T1515" i="1"/>
  <c r="Q1516" i="1"/>
  <c r="T1516" i="1"/>
  <c r="U1514" i="1"/>
  <c r="Q1513" i="1"/>
  <c r="U1510" i="1"/>
  <c r="S1512" i="1"/>
  <c r="R1516" i="1"/>
  <c r="S1513" i="1"/>
  <c r="R1512" i="1"/>
  <c r="U1508" i="1"/>
  <c r="S1511" i="1"/>
  <c r="U1516" i="1"/>
  <c r="Q1514" i="1"/>
  <c r="U1512" i="1"/>
  <c r="U1515" i="1"/>
  <c r="T1511" i="1"/>
  <c r="Q1515" i="1"/>
  <c r="T1510" i="1"/>
  <c r="T1513" i="1"/>
  <c r="Q1510" i="1"/>
  <c r="Q1511" i="1"/>
  <c r="U1513" i="1"/>
  <c r="R1508" i="1"/>
  <c r="R1513" i="1"/>
  <c r="T1508" i="1"/>
  <c r="S1516" i="1"/>
  <c r="Q1512" i="1"/>
  <c r="S1510" i="1"/>
  <c r="T1514" i="1"/>
  <c r="T1512" i="1"/>
  <c r="S1508" i="1"/>
  <c r="S1515" i="1"/>
  <c r="R1510" i="1"/>
  <c r="R1514" i="1"/>
  <c r="S1514" i="1"/>
  <c r="H1493" i="1"/>
  <c r="Q1488" i="1" s="1"/>
  <c r="H1173" i="1"/>
  <c r="T1435" i="1"/>
  <c r="U1435" i="1"/>
  <c r="S1435" i="1"/>
  <c r="Q1435" i="1"/>
  <c r="R1435" i="1"/>
  <c r="V954" i="1"/>
  <c r="Q962" i="1"/>
  <c r="V962" i="1" s="1"/>
  <c r="V262" i="1"/>
  <c r="Q270" i="1"/>
  <c r="V270" i="1" s="1"/>
  <c r="F441" i="4"/>
  <c r="F442" i="4" s="1"/>
  <c r="F447" i="4" s="1"/>
  <c r="H2077" i="1" s="1"/>
  <c r="U1488" i="1" l="1"/>
  <c r="T1488" i="1"/>
  <c r="R1494" i="1"/>
  <c r="Q1494" i="1"/>
  <c r="S1494" i="1"/>
  <c r="V1515" i="1"/>
  <c r="U1495" i="1"/>
  <c r="S1495" i="1"/>
  <c r="Q1496" i="1"/>
  <c r="R1491" i="1"/>
  <c r="S1509" i="1"/>
  <c r="S1517" i="1" s="1"/>
  <c r="Q1509" i="1"/>
  <c r="Q1517" i="1" s="1"/>
  <c r="V1513" i="1"/>
  <c r="V1511" i="1"/>
  <c r="V1516" i="1"/>
  <c r="S1496" i="1"/>
  <c r="Q1491" i="1"/>
  <c r="T1496" i="1"/>
  <c r="R1495" i="1"/>
  <c r="S1488" i="1"/>
  <c r="U1509" i="1"/>
  <c r="U1517" i="1" s="1"/>
  <c r="Q1493" i="1"/>
  <c r="Q1492" i="1"/>
  <c r="U1493" i="1"/>
  <c r="V1512" i="1"/>
  <c r="R1509" i="1"/>
  <c r="R1517" i="1" s="1"/>
  <c r="T1509" i="1"/>
  <c r="T1517" i="1" s="1"/>
  <c r="V1514" i="1"/>
  <c r="V1508" i="1"/>
  <c r="V1510" i="1"/>
  <c r="S1493" i="1"/>
  <c r="T1491" i="1"/>
  <c r="Q1490" i="1"/>
  <c r="R1496" i="1"/>
  <c r="R1493" i="1"/>
  <c r="R1492" i="1"/>
  <c r="R1490" i="1"/>
  <c r="T1492" i="1"/>
  <c r="U1496" i="1"/>
  <c r="T1493" i="1"/>
  <c r="S1492" i="1"/>
  <c r="T1494" i="1"/>
  <c r="U1492" i="1"/>
  <c r="Q1495" i="1"/>
  <c r="U1490" i="1"/>
  <c r="U1494" i="1"/>
  <c r="S1491" i="1"/>
  <c r="S1490" i="1"/>
  <c r="R1488" i="1"/>
  <c r="T1495" i="1"/>
  <c r="U1491" i="1"/>
  <c r="T1490" i="1"/>
  <c r="V1493" i="1" l="1"/>
  <c r="Q1489" i="1"/>
  <c r="R1489" i="1"/>
  <c r="V1509" i="1"/>
  <c r="V1496" i="1"/>
  <c r="V1488" i="1"/>
  <c r="V1517" i="1"/>
  <c r="V1491" i="1"/>
  <c r="V1494" i="1"/>
  <c r="T1489" i="1"/>
  <c r="T1497" i="1" s="1"/>
  <c r="V1490" i="1"/>
  <c r="V1492" i="1"/>
  <c r="S1489" i="1"/>
  <c r="U1489" i="1"/>
  <c r="V1495" i="1"/>
  <c r="B246" i="5"/>
  <c r="F645" i="1"/>
  <c r="H110" i="4"/>
  <c r="F110" i="4"/>
  <c r="G110" i="4"/>
  <c r="I110" i="4"/>
  <c r="E110" i="4"/>
  <c r="U1497" i="1" l="1"/>
  <c r="Q1497" i="1"/>
  <c r="R1497" i="1"/>
  <c r="S1497" i="1"/>
  <c r="V1489" i="1"/>
  <c r="A257" i="5"/>
  <c r="A29" i="3"/>
  <c r="V1497" i="1" l="1"/>
  <c r="V645" i="1"/>
  <c r="H257" i="5" l="1"/>
  <c r="H29" i="3"/>
  <c r="H360" i="1" l="1"/>
  <c r="H329" i="1"/>
  <c r="G208" i="4"/>
  <c r="G207" i="4"/>
  <c r="G206" i="4"/>
  <c r="G202" i="4"/>
  <c r="F202" i="4"/>
  <c r="E202" i="4"/>
  <c r="D202" i="4"/>
  <c r="F191" i="4"/>
  <c r="F193" i="4" s="1"/>
  <c r="F181" i="4"/>
  <c r="F180" i="4"/>
  <c r="F177" i="4"/>
  <c r="F176" i="4"/>
  <c r="F175" i="4"/>
  <c r="F174" i="4"/>
  <c r="E169" i="4"/>
  <c r="E168" i="4"/>
  <c r="E162" i="4"/>
  <c r="E161" i="4"/>
  <c r="E155" i="4"/>
  <c r="E154" i="4"/>
  <c r="E153" i="4"/>
  <c r="G149" i="4"/>
  <c r="F149" i="4"/>
  <c r="E149" i="4"/>
  <c r="D149" i="4"/>
  <c r="F182" i="4" l="1"/>
  <c r="E170" i="4"/>
  <c r="F178" i="4"/>
  <c r="H149" i="4"/>
  <c r="F183" i="4" l="1"/>
  <c r="F194" i="4" s="1"/>
  <c r="H2294" i="1"/>
  <c r="M2274" i="1"/>
  <c r="N2274" i="1"/>
  <c r="M2275" i="1"/>
  <c r="N2275" i="1"/>
  <c r="L2275" i="1"/>
  <c r="L2274" i="1"/>
  <c r="H2273" i="1"/>
  <c r="M2244" i="1"/>
  <c r="N2244" i="1"/>
  <c r="M2245" i="1"/>
  <c r="N2245" i="1"/>
  <c r="L2245" i="1"/>
  <c r="L2244" i="1"/>
  <c r="H2243" i="1"/>
  <c r="N2205" i="1"/>
  <c r="O2205" i="1"/>
  <c r="P2205" i="1"/>
  <c r="N2211" i="1"/>
  <c r="M2211" i="1"/>
  <c r="L2211" i="1"/>
  <c r="M2205" i="1"/>
  <c r="L2205" i="1"/>
  <c r="N2144" i="1" l="1"/>
  <c r="L2144" i="1"/>
  <c r="P314" i="1"/>
  <c r="P322" i="1" s="1"/>
  <c r="R510" i="1" s="1"/>
  <c r="N314" i="1"/>
  <c r="N322" i="1" s="1"/>
  <c r="L314" i="1"/>
  <c r="L322" i="1" s="1"/>
  <c r="O314" i="1"/>
  <c r="O322" i="1" s="1"/>
  <c r="M314" i="1"/>
  <c r="M322" i="1" s="1"/>
  <c r="H195" i="1"/>
  <c r="N165" i="1"/>
  <c r="M165" i="1"/>
  <c r="L165" i="1"/>
  <c r="N164" i="1"/>
  <c r="M164" i="1"/>
  <c r="L164" i="1"/>
  <c r="P163" i="1"/>
  <c r="O163" i="1"/>
  <c r="N163" i="1"/>
  <c r="M163" i="1"/>
  <c r="L163" i="1"/>
  <c r="P128" i="1"/>
  <c r="P136" i="1" s="1"/>
  <c r="N128" i="1"/>
  <c r="N136" i="1" s="1"/>
  <c r="M128" i="1"/>
  <c r="M136" i="1" s="1"/>
  <c r="O128" i="1"/>
  <c r="O136" i="1" s="1"/>
  <c r="F141" i="4"/>
  <c r="G141" i="4" s="1"/>
  <c r="E140" i="4"/>
  <c r="F140" i="4" s="1"/>
  <c r="G140" i="4" s="1"/>
  <c r="F139" i="4"/>
  <c r="G139" i="4" s="1"/>
  <c r="F138" i="4"/>
  <c r="G138" i="4" s="1"/>
  <c r="D129" i="4"/>
  <c r="C129" i="4"/>
  <c r="I118" i="4"/>
  <c r="H118" i="4"/>
  <c r="G118" i="4"/>
  <c r="F118" i="4"/>
  <c r="E118" i="4"/>
  <c r="E125" i="4" s="1"/>
  <c r="L119" i="1" s="1"/>
  <c r="L118" i="1" s="1"/>
  <c r="I117" i="4"/>
  <c r="H117" i="4"/>
  <c r="G117" i="4"/>
  <c r="F117" i="4"/>
  <c r="I116" i="4"/>
  <c r="H116" i="4"/>
  <c r="G116" i="4"/>
  <c r="F116" i="4"/>
  <c r="I115" i="4"/>
  <c r="I124" i="4" s="1"/>
  <c r="P117" i="1" s="1"/>
  <c r="H115" i="4"/>
  <c r="G115" i="4"/>
  <c r="F115" i="4"/>
  <c r="E115" i="4"/>
  <c r="I113" i="4"/>
  <c r="H113" i="4"/>
  <c r="G113" i="4"/>
  <c r="F113" i="4"/>
  <c r="E113" i="4"/>
  <c r="L137" i="1" s="1"/>
  <c r="I107" i="4"/>
  <c r="H107" i="4"/>
  <c r="G107" i="4"/>
  <c r="F107" i="4"/>
  <c r="E107" i="4"/>
  <c r="I106" i="4"/>
  <c r="H106" i="4"/>
  <c r="G106" i="4"/>
  <c r="F106" i="4"/>
  <c r="E106" i="4"/>
  <c r="I105" i="4"/>
  <c r="H105" i="4"/>
  <c r="G105" i="4"/>
  <c r="F105" i="4"/>
  <c r="E105" i="4"/>
  <c r="I104" i="4"/>
  <c r="H104" i="4"/>
  <c r="G104" i="4"/>
  <c r="F104" i="4"/>
  <c r="E104" i="4"/>
  <c r="I101" i="4"/>
  <c r="G101" i="4"/>
  <c r="F101" i="4"/>
  <c r="E101" i="4"/>
  <c r="I100" i="4"/>
  <c r="H100" i="4"/>
  <c r="G100" i="4"/>
  <c r="F100" i="4"/>
  <c r="E100" i="4"/>
  <c r="I99" i="4"/>
  <c r="H99" i="4"/>
  <c r="G99" i="4"/>
  <c r="F99" i="4"/>
  <c r="E99" i="4"/>
  <c r="E96" i="4"/>
  <c r="I95" i="4"/>
  <c r="H95" i="4"/>
  <c r="G95" i="4"/>
  <c r="F95" i="4"/>
  <c r="I94" i="4"/>
  <c r="H94" i="4"/>
  <c r="G94" i="4"/>
  <c r="F94" i="4"/>
  <c r="E94" i="4"/>
  <c r="I93" i="4"/>
  <c r="H93" i="4"/>
  <c r="G93" i="4"/>
  <c r="F93" i="4"/>
  <c r="E93" i="4"/>
  <c r="I92" i="4"/>
  <c r="H92" i="4"/>
  <c r="G92" i="4"/>
  <c r="F92" i="4"/>
  <c r="E92" i="4"/>
  <c r="N12" i="1"/>
  <c r="M12" i="1"/>
  <c r="L12" i="1"/>
  <c r="M11" i="1"/>
  <c r="L11" i="1"/>
  <c r="N10" i="1"/>
  <c r="M10" i="1"/>
  <c r="L10" i="1"/>
  <c r="C5" i="6"/>
  <c r="C6" i="6"/>
  <c r="C7" i="6"/>
  <c r="B741" i="5"/>
  <c r="B730" i="5"/>
  <c r="B719" i="5"/>
  <c r="B708" i="5"/>
  <c r="B697" i="5"/>
  <c r="B686" i="5"/>
  <c r="B675" i="5"/>
  <c r="B664" i="5"/>
  <c r="B653" i="5"/>
  <c r="B642" i="5"/>
  <c r="B631" i="5"/>
  <c r="B620" i="5"/>
  <c r="B609" i="5"/>
  <c r="B598" i="5"/>
  <c r="B587" i="5"/>
  <c r="B576" i="5"/>
  <c r="B565" i="5"/>
  <c r="B554" i="5"/>
  <c r="B543" i="5"/>
  <c r="B532" i="5"/>
  <c r="B521" i="5"/>
  <c r="B510" i="5"/>
  <c r="B499" i="5"/>
  <c r="B488" i="5"/>
  <c r="H477" i="5"/>
  <c r="G477" i="5"/>
  <c r="F477" i="5"/>
  <c r="D477" i="5"/>
  <c r="B477" i="5"/>
  <c r="B466" i="5"/>
  <c r="B455" i="5"/>
  <c r="B444" i="5"/>
  <c r="B433" i="5"/>
  <c r="B422" i="5"/>
  <c r="B411" i="5"/>
  <c r="B400" i="5"/>
  <c r="B389" i="5"/>
  <c r="B378" i="5"/>
  <c r="B367" i="5"/>
  <c r="B356" i="5"/>
  <c r="B345" i="5"/>
  <c r="B334" i="5"/>
  <c r="B323" i="5"/>
  <c r="B312" i="5"/>
  <c r="B301" i="5"/>
  <c r="B290" i="5"/>
  <c r="B279" i="5"/>
  <c r="B224" i="5"/>
  <c r="B213" i="5"/>
  <c r="B202" i="5"/>
  <c r="B191" i="5"/>
  <c r="B180" i="5"/>
  <c r="B169" i="5"/>
  <c r="B158" i="5"/>
  <c r="B147" i="5"/>
  <c r="B136" i="5"/>
  <c r="B125" i="5"/>
  <c r="B114" i="5"/>
  <c r="B103" i="5"/>
  <c r="B92" i="5"/>
  <c r="B81" i="5"/>
  <c r="B70" i="5"/>
  <c r="B59" i="5"/>
  <c r="B48" i="5"/>
  <c r="B37" i="5"/>
  <c r="B26" i="5"/>
  <c r="B15" i="5"/>
  <c r="B4" i="5"/>
  <c r="H1827" i="1"/>
  <c r="H1756" i="1"/>
  <c r="H1746" i="1"/>
  <c r="N1739" i="1"/>
  <c r="H1736" i="1"/>
  <c r="H1716" i="1"/>
  <c r="S1717" i="1" s="1"/>
  <c r="H64" i="4"/>
  <c r="H63" i="4"/>
  <c r="P1665" i="1"/>
  <c r="P1661" i="1" s="1"/>
  <c r="P1669" i="1" s="1"/>
  <c r="O1665" i="1"/>
  <c r="O1661" i="1" s="1"/>
  <c r="O1669" i="1" s="1"/>
  <c r="N1661" i="1"/>
  <c r="N1669" i="1" s="1"/>
  <c r="M1661" i="1"/>
  <c r="M1669" i="1" s="1"/>
  <c r="F1660" i="1"/>
  <c r="P1655" i="1"/>
  <c r="O1655" i="1"/>
  <c r="O1651" i="1" s="1"/>
  <c r="O1659" i="1" s="1"/>
  <c r="N1655" i="1"/>
  <c r="N1651" i="1" s="1"/>
  <c r="N1659" i="1" s="1"/>
  <c r="M1655" i="1"/>
  <c r="M1651" i="1" s="1"/>
  <c r="M1659" i="1" s="1"/>
  <c r="L1655" i="1"/>
  <c r="F1650" i="1"/>
  <c r="F1670" i="1"/>
  <c r="A532" i="5" s="1"/>
  <c r="F1671" i="1"/>
  <c r="D130" i="4" l="1"/>
  <c r="D133" i="4" s="1"/>
  <c r="M137" i="1"/>
  <c r="E130" i="4"/>
  <c r="E133" i="4" s="1"/>
  <c r="N137" i="1"/>
  <c r="M143" i="1"/>
  <c r="M138" i="1" s="1"/>
  <c r="F124" i="4"/>
  <c r="M117" i="1" s="1"/>
  <c r="L143" i="1"/>
  <c r="L138" i="1" s="1"/>
  <c r="E124" i="4"/>
  <c r="L117" i="1" s="1"/>
  <c r="L126" i="1" s="1"/>
  <c r="O137" i="1"/>
  <c r="O146" i="1"/>
  <c r="F130" i="4"/>
  <c r="F133" i="4" s="1"/>
  <c r="G125" i="4"/>
  <c r="N119" i="1" s="1"/>
  <c r="N118" i="1" s="1"/>
  <c r="G124" i="4"/>
  <c r="N117" i="1" s="1"/>
  <c r="N143" i="1"/>
  <c r="N138" i="1" s="1"/>
  <c r="P146" i="1"/>
  <c r="P137" i="1"/>
  <c r="G130" i="4"/>
  <c r="G133" i="4" s="1"/>
  <c r="H125" i="4"/>
  <c r="O119" i="1" s="1"/>
  <c r="O118" i="1" s="1"/>
  <c r="H124" i="4"/>
  <c r="O117" i="1" s="1"/>
  <c r="L116" i="1"/>
  <c r="F98" i="4"/>
  <c r="R1734" i="1"/>
  <c r="U1729" i="1"/>
  <c r="R1729" i="1"/>
  <c r="S1729" i="1"/>
  <c r="T1728" i="1"/>
  <c r="R1728" i="1"/>
  <c r="U1727" i="1"/>
  <c r="S1727" i="1"/>
  <c r="Q1727" i="1"/>
  <c r="R1726" i="1"/>
  <c r="U1725" i="1"/>
  <c r="S1725" i="1"/>
  <c r="Q1725" i="1"/>
  <c r="T1724" i="1"/>
  <c r="R1724" i="1"/>
  <c r="U1723" i="1"/>
  <c r="S1723" i="1"/>
  <c r="Q1723" i="1"/>
  <c r="T1729" i="1"/>
  <c r="Q1729" i="1"/>
  <c r="U1728" i="1"/>
  <c r="S1728" i="1"/>
  <c r="Q1728" i="1"/>
  <c r="T1727" i="1"/>
  <c r="R1727" i="1"/>
  <c r="T1726" i="1"/>
  <c r="U1726" i="1"/>
  <c r="Q1726" i="1"/>
  <c r="T1725" i="1"/>
  <c r="R1725" i="1"/>
  <c r="U1724" i="1"/>
  <c r="S1724" i="1"/>
  <c r="Q1724" i="1"/>
  <c r="T1723" i="1"/>
  <c r="R1723" i="1"/>
  <c r="S1726" i="1"/>
  <c r="E98" i="4"/>
  <c r="S1739" i="1"/>
  <c r="Q1733" i="1"/>
  <c r="S1735" i="1"/>
  <c r="T1738" i="1"/>
  <c r="S1738" i="1"/>
  <c r="I98" i="4"/>
  <c r="H98" i="4"/>
  <c r="G98" i="4"/>
  <c r="R1733" i="1"/>
  <c r="T1737" i="1"/>
  <c r="T1734" i="1"/>
  <c r="T1739" i="1"/>
  <c r="R1737" i="1"/>
  <c r="S1734" i="1"/>
  <c r="T1735" i="1"/>
  <c r="G142" i="4"/>
  <c r="H318" i="1" s="1"/>
  <c r="T1733" i="1"/>
  <c r="R1739" i="1"/>
  <c r="Q1738" i="1"/>
  <c r="Q1737" i="1"/>
  <c r="R1735" i="1"/>
  <c r="Q1734" i="1"/>
  <c r="S1737" i="1"/>
  <c r="S1733" i="1"/>
  <c r="U1738" i="1"/>
  <c r="U1737" i="1"/>
  <c r="R1736" i="1"/>
  <c r="U1734" i="1"/>
  <c r="F142" i="4"/>
  <c r="O159" i="1"/>
  <c r="P159" i="1"/>
  <c r="Q1713" i="1"/>
  <c r="T1715" i="1"/>
  <c r="T1714" i="1"/>
  <c r="T1713" i="1"/>
  <c r="T1719" i="1"/>
  <c r="U1718" i="1"/>
  <c r="Q1718" i="1"/>
  <c r="R1717" i="1"/>
  <c r="Q1714" i="1"/>
  <c r="S1715" i="1"/>
  <c r="S1714" i="1"/>
  <c r="S1713" i="1"/>
  <c r="S1719" i="1"/>
  <c r="T1718" i="1"/>
  <c r="U1717" i="1"/>
  <c r="Q1717" i="1"/>
  <c r="Q1715" i="1"/>
  <c r="R1715" i="1"/>
  <c r="R1714" i="1"/>
  <c r="R1713" i="1"/>
  <c r="R1719" i="1"/>
  <c r="S1718" i="1"/>
  <c r="T1717" i="1"/>
  <c r="U1733" i="1"/>
  <c r="U1739" i="1"/>
  <c r="Q1739" i="1"/>
  <c r="R1738" i="1"/>
  <c r="U1735" i="1"/>
  <c r="Q1735" i="1"/>
  <c r="U1715" i="1"/>
  <c r="U1714" i="1"/>
  <c r="U1713" i="1"/>
  <c r="U1719" i="1"/>
  <c r="Q1719" i="1"/>
  <c r="R1718" i="1"/>
  <c r="N159" i="1"/>
  <c r="M159" i="1"/>
  <c r="L159" i="1"/>
  <c r="I125" i="4"/>
  <c r="P119" i="1" s="1"/>
  <c r="P118" i="1" s="1"/>
  <c r="P126" i="1" s="1"/>
  <c r="C130" i="4"/>
  <c r="C133" i="4" s="1"/>
  <c r="F125" i="4"/>
  <c r="M119" i="1" s="1"/>
  <c r="M118" i="1" s="1"/>
  <c r="L1651" i="1"/>
  <c r="L1659" i="1" s="1"/>
  <c r="P1651" i="1"/>
  <c r="P1659" i="1" s="1"/>
  <c r="L1661" i="1"/>
  <c r="L1669" i="1" s="1"/>
  <c r="U1618" i="1"/>
  <c r="T1618" i="1"/>
  <c r="S1618" i="1"/>
  <c r="R1618" i="1"/>
  <c r="Q1618" i="1"/>
  <c r="U1617" i="1"/>
  <c r="T1617" i="1"/>
  <c r="S1617" i="1"/>
  <c r="R1617" i="1"/>
  <c r="Q1617" i="1"/>
  <c r="U1616" i="1"/>
  <c r="T1616" i="1"/>
  <c r="S1616" i="1"/>
  <c r="R1616" i="1"/>
  <c r="Q1616" i="1"/>
  <c r="P1615" i="1"/>
  <c r="P1611" i="1" s="1"/>
  <c r="P1619" i="1" s="1"/>
  <c r="O1615" i="1"/>
  <c r="T1615" i="1" s="1"/>
  <c r="N1615" i="1"/>
  <c r="S1615" i="1" s="1"/>
  <c r="M1615" i="1"/>
  <c r="R1615" i="1" s="1"/>
  <c r="L1615" i="1"/>
  <c r="L1611" i="1" s="1"/>
  <c r="L1619" i="1" s="1"/>
  <c r="U1614" i="1"/>
  <c r="T1614" i="1"/>
  <c r="S1614" i="1"/>
  <c r="R1614" i="1"/>
  <c r="Q1614" i="1"/>
  <c r="U1613" i="1"/>
  <c r="T1613" i="1"/>
  <c r="S1613" i="1"/>
  <c r="R1613" i="1"/>
  <c r="Q1613" i="1"/>
  <c r="U1612" i="1"/>
  <c r="T1612" i="1"/>
  <c r="S1612" i="1"/>
  <c r="R1612" i="1"/>
  <c r="Q1612" i="1"/>
  <c r="U1610" i="1"/>
  <c r="T1610" i="1"/>
  <c r="S1610" i="1"/>
  <c r="R1610" i="1"/>
  <c r="Q1610" i="1"/>
  <c r="F1610" i="1"/>
  <c r="N126" i="1" l="1"/>
  <c r="O126" i="1"/>
  <c r="S1722" i="1"/>
  <c r="S1730" i="1" s="1"/>
  <c r="V1610" i="1"/>
  <c r="T1722" i="1"/>
  <c r="T1730" i="1" s="1"/>
  <c r="V1613" i="1"/>
  <c r="V1729" i="1"/>
  <c r="R1722" i="1"/>
  <c r="R1730" i="1" s="1"/>
  <c r="V1726" i="1"/>
  <c r="V1723" i="1"/>
  <c r="Q1722" i="1"/>
  <c r="U1722" i="1"/>
  <c r="U1730" i="1" s="1"/>
  <c r="V1724" i="1"/>
  <c r="V1728" i="1"/>
  <c r="V1725" i="1"/>
  <c r="V1727" i="1"/>
  <c r="V1616" i="1"/>
  <c r="V1618" i="1"/>
  <c r="V1719" i="1"/>
  <c r="V1739" i="1"/>
  <c r="V1717" i="1"/>
  <c r="V1612" i="1"/>
  <c r="V1614" i="1"/>
  <c r="V1738" i="1"/>
  <c r="V1733" i="1"/>
  <c r="V1617" i="1"/>
  <c r="V1735" i="1"/>
  <c r="V1715" i="1"/>
  <c r="V1714" i="1"/>
  <c r="V1718" i="1"/>
  <c r="V1713" i="1"/>
  <c r="V1734" i="1"/>
  <c r="V1737" i="1"/>
  <c r="O1611" i="1"/>
  <c r="O1619" i="1" s="1"/>
  <c r="E134" i="4"/>
  <c r="D134" i="4"/>
  <c r="N1611" i="1"/>
  <c r="N1619" i="1" s="1"/>
  <c r="M1611" i="1"/>
  <c r="M1619" i="1" s="1"/>
  <c r="T1611" i="1"/>
  <c r="T1619" i="1" s="1"/>
  <c r="R1611" i="1"/>
  <c r="R1619" i="1" s="1"/>
  <c r="S1611" i="1"/>
  <c r="S1619" i="1" s="1"/>
  <c r="Q1615" i="1"/>
  <c r="U1615" i="1"/>
  <c r="U1611" i="1" s="1"/>
  <c r="U1619" i="1" s="1"/>
  <c r="V1615" i="1" l="1"/>
  <c r="Q1730" i="1"/>
  <c r="V1730" i="1" s="1"/>
  <c r="V1722" i="1"/>
  <c r="Q1611" i="1"/>
  <c r="V1611" i="1" s="1"/>
  <c r="Q1619" i="1" l="1"/>
  <c r="V1619" i="1" s="1"/>
  <c r="P285" i="1" l="1"/>
  <c r="O285" i="1"/>
  <c r="N285" i="1"/>
  <c r="M285" i="1"/>
  <c r="L285" i="1"/>
  <c r="P284" i="1"/>
  <c r="O284" i="1"/>
  <c r="N284" i="1"/>
  <c r="M284" i="1"/>
  <c r="L284" i="1"/>
  <c r="H288" i="1"/>
  <c r="H276" i="1"/>
  <c r="H256" i="1"/>
  <c r="F241" i="1"/>
  <c r="C228" i="4"/>
  <c r="H422" i="1" s="1"/>
  <c r="H413" i="1"/>
  <c r="H423" i="1"/>
  <c r="P847" i="1"/>
  <c r="O847" i="1"/>
  <c r="N847" i="1"/>
  <c r="M847" i="1"/>
  <c r="L847" i="1"/>
  <c r="P863" i="1"/>
  <c r="O863" i="1"/>
  <c r="N863" i="1"/>
  <c r="M863" i="1"/>
  <c r="L863" i="1"/>
  <c r="P862" i="1"/>
  <c r="O862" i="1"/>
  <c r="N862" i="1"/>
  <c r="M862" i="1"/>
  <c r="L862" i="1"/>
  <c r="P857" i="1"/>
  <c r="O857" i="1"/>
  <c r="N857" i="1"/>
  <c r="M857" i="1"/>
  <c r="L857" i="1"/>
  <c r="H906" i="1"/>
  <c r="H905" i="1"/>
  <c r="U908" i="1" s="1"/>
  <c r="H885" i="1"/>
  <c r="Q884" i="1" s="1"/>
  <c r="P900" i="1"/>
  <c r="P905" i="1" s="1"/>
  <c r="O900" i="1"/>
  <c r="O905" i="1" s="1"/>
  <c r="N900" i="1"/>
  <c r="N905" i="1" s="1"/>
  <c r="M900" i="1"/>
  <c r="L900" i="1"/>
  <c r="L905" i="1" s="1"/>
  <c r="F900" i="1"/>
  <c r="T898" i="1"/>
  <c r="R897" i="1"/>
  <c r="T896" i="1"/>
  <c r="R896" i="1"/>
  <c r="H896" i="1"/>
  <c r="U895" i="1"/>
  <c r="S895" i="1"/>
  <c r="Q895" i="1"/>
  <c r="U898" i="1"/>
  <c r="T894" i="1"/>
  <c r="S894" i="1"/>
  <c r="R894" i="1"/>
  <c r="P890" i="1"/>
  <c r="P892" i="1" s="1"/>
  <c r="U892" i="1" s="1"/>
  <c r="O890" i="1"/>
  <c r="O893" i="1" s="1"/>
  <c r="T893" i="1" s="1"/>
  <c r="N890" i="1"/>
  <c r="M890" i="1"/>
  <c r="L890" i="1"/>
  <c r="L893" i="1" s="1"/>
  <c r="F890" i="1"/>
  <c r="P880" i="1"/>
  <c r="P885" i="1" s="1"/>
  <c r="O880" i="1"/>
  <c r="O885" i="1" s="1"/>
  <c r="N880" i="1"/>
  <c r="N883" i="1" s="1"/>
  <c r="M880" i="1"/>
  <c r="L880" i="1"/>
  <c r="L885" i="1" s="1"/>
  <c r="M870" i="1"/>
  <c r="M873" i="1" s="1"/>
  <c r="N870" i="1"/>
  <c r="N873" i="1" s="1"/>
  <c r="O870" i="1"/>
  <c r="P870" i="1"/>
  <c r="P873" i="1" s="1"/>
  <c r="L870" i="1"/>
  <c r="L873" i="1" s="1"/>
  <c r="H886" i="1"/>
  <c r="F880" i="1"/>
  <c r="P1048" i="1"/>
  <c r="O1048" i="1"/>
  <c r="N1048" i="1"/>
  <c r="M1048" i="1"/>
  <c r="L1048" i="1"/>
  <c r="P1047" i="1"/>
  <c r="O1047" i="1"/>
  <c r="N1047" i="1"/>
  <c r="M1047" i="1"/>
  <c r="L1047" i="1"/>
  <c r="P1072" i="1"/>
  <c r="O1072" i="1"/>
  <c r="P1068" i="1"/>
  <c r="O1068" i="1"/>
  <c r="N1068" i="1"/>
  <c r="M1068" i="1"/>
  <c r="L1068" i="1"/>
  <c r="P1067" i="1"/>
  <c r="O1067" i="1"/>
  <c r="N1067" i="1"/>
  <c r="M1067" i="1"/>
  <c r="L1067" i="1"/>
  <c r="P1078" i="1"/>
  <c r="O1078" i="1"/>
  <c r="N1078" i="1"/>
  <c r="M1078" i="1"/>
  <c r="L1078" i="1"/>
  <c r="P1077" i="1"/>
  <c r="O1077" i="1"/>
  <c r="N1077" i="1"/>
  <c r="M1077" i="1"/>
  <c r="L1077" i="1"/>
  <c r="Q1100" i="1"/>
  <c r="C309" i="4"/>
  <c r="E309" i="4" s="1"/>
  <c r="P1105" i="1"/>
  <c r="P1110" i="1" s="1"/>
  <c r="H1110" i="1"/>
  <c r="T1109" i="1" s="1"/>
  <c r="R888" i="1" l="1"/>
  <c r="Q885" i="1"/>
  <c r="N872" i="1"/>
  <c r="S886" i="1"/>
  <c r="R882" i="1"/>
  <c r="Q905" i="1"/>
  <c r="U905" i="1"/>
  <c r="U1110" i="1"/>
  <c r="T1107" i="1"/>
  <c r="T1113" i="1"/>
  <c r="U1112" i="1"/>
  <c r="Q1112" i="1"/>
  <c r="R1111" i="1"/>
  <c r="S1109" i="1"/>
  <c r="Q1111" i="1"/>
  <c r="R1109" i="1"/>
  <c r="S1107" i="1"/>
  <c r="S1113" i="1"/>
  <c r="T1112" i="1"/>
  <c r="U1111" i="1"/>
  <c r="Q1107" i="1"/>
  <c r="R1107" i="1"/>
  <c r="R1113" i="1"/>
  <c r="S1112" i="1"/>
  <c r="T1111" i="1"/>
  <c r="U1109" i="1"/>
  <c r="Q1109" i="1"/>
  <c r="T902" i="1"/>
  <c r="U1107" i="1"/>
  <c r="U1113" i="1"/>
  <c r="Q1113" i="1"/>
  <c r="R1112" i="1"/>
  <c r="S1111" i="1"/>
  <c r="S905" i="1"/>
  <c r="T905" i="1"/>
  <c r="U900" i="1"/>
  <c r="U890" i="1"/>
  <c r="L892" i="1"/>
  <c r="Q892" i="1" s="1"/>
  <c r="P893" i="1"/>
  <c r="U893" i="1" s="1"/>
  <c r="Q890" i="1"/>
  <c r="Q900" i="1"/>
  <c r="P872" i="1"/>
  <c r="M872" i="1"/>
  <c r="O892" i="1"/>
  <c r="T892" i="1" s="1"/>
  <c r="L872" i="1"/>
  <c r="U888" i="1"/>
  <c r="U887" i="1"/>
  <c r="R886" i="1"/>
  <c r="U884" i="1"/>
  <c r="S882" i="1"/>
  <c r="T887" i="1"/>
  <c r="T884" i="1"/>
  <c r="S888" i="1"/>
  <c r="Q887" i="1"/>
  <c r="S884" i="1"/>
  <c r="M893" i="1"/>
  <c r="R893" i="1" s="1"/>
  <c r="R890" i="1"/>
  <c r="M892" i="1"/>
  <c r="O872" i="1"/>
  <c r="O873" i="1"/>
  <c r="R900" i="1"/>
  <c r="M905" i="1"/>
  <c r="R905" i="1" s="1"/>
  <c r="M885" i="1"/>
  <c r="R885" i="1" s="1"/>
  <c r="Q893" i="1"/>
  <c r="M903" i="1"/>
  <c r="S900" i="1"/>
  <c r="R902" i="1"/>
  <c r="O903" i="1"/>
  <c r="Q904" i="1"/>
  <c r="U904" i="1"/>
  <c r="R906" i="1"/>
  <c r="T907" i="1"/>
  <c r="R908" i="1"/>
  <c r="S904" i="1"/>
  <c r="S883" i="1"/>
  <c r="U885" i="1"/>
  <c r="S890" i="1"/>
  <c r="N893" i="1"/>
  <c r="S893" i="1" s="1"/>
  <c r="T897" i="1"/>
  <c r="R898" i="1"/>
  <c r="N885" i="1"/>
  <c r="N881" i="1" s="1"/>
  <c r="N889" i="1" s="1"/>
  <c r="T890" i="1"/>
  <c r="N892" i="1"/>
  <c r="Q894" i="1"/>
  <c r="U894" i="1"/>
  <c r="R895" i="1"/>
  <c r="S896" i="1"/>
  <c r="Q897" i="1"/>
  <c r="U897" i="1"/>
  <c r="S898" i="1"/>
  <c r="T900" i="1"/>
  <c r="S902" i="1"/>
  <c r="L903" i="1"/>
  <c r="P903" i="1"/>
  <c r="R904" i="1"/>
  <c r="S906" i="1"/>
  <c r="Q907" i="1"/>
  <c r="U907" i="1"/>
  <c r="S908" i="1"/>
  <c r="T906" i="1"/>
  <c r="R907" i="1"/>
  <c r="T908" i="1"/>
  <c r="T895" i="1"/>
  <c r="Q896" i="1"/>
  <c r="U896" i="1"/>
  <c r="S897" i="1"/>
  <c r="Q898" i="1"/>
  <c r="Q902" i="1"/>
  <c r="U902" i="1"/>
  <c r="N903" i="1"/>
  <c r="T904" i="1"/>
  <c r="Q906" i="1"/>
  <c r="U906" i="1"/>
  <c r="S907" i="1"/>
  <c r="Q908" i="1"/>
  <c r="S880" i="1"/>
  <c r="M883" i="1"/>
  <c r="R883" i="1" s="1"/>
  <c r="T882" i="1"/>
  <c r="Q882" i="1"/>
  <c r="U882" i="1"/>
  <c r="O883" i="1"/>
  <c r="T883" i="1" s="1"/>
  <c r="T880" i="1"/>
  <c r="Q880" i="1"/>
  <c r="U880" i="1"/>
  <c r="L883" i="1"/>
  <c r="Q883" i="1" s="1"/>
  <c r="P883" i="1"/>
  <c r="U883" i="1" s="1"/>
  <c r="R884" i="1"/>
  <c r="T886" i="1"/>
  <c r="R887" i="1"/>
  <c r="T888" i="1"/>
  <c r="R880" i="1"/>
  <c r="T885" i="1"/>
  <c r="Q886" i="1"/>
  <c r="U886" i="1"/>
  <c r="S887" i="1"/>
  <c r="Q888" i="1"/>
  <c r="U1105" i="1"/>
  <c r="P1108" i="1"/>
  <c r="V905" i="1" l="1"/>
  <c r="V907" i="1"/>
  <c r="V888" i="1"/>
  <c r="U891" i="1"/>
  <c r="U899" i="1" s="1"/>
  <c r="P891" i="1"/>
  <c r="P899" i="1" s="1"/>
  <c r="V883" i="1"/>
  <c r="M881" i="1"/>
  <c r="M889" i="1" s="1"/>
  <c r="L891" i="1"/>
  <c r="L899" i="1" s="1"/>
  <c r="V890" i="1"/>
  <c r="S885" i="1"/>
  <c r="V885" i="1" s="1"/>
  <c r="O891" i="1"/>
  <c r="O899" i="1" s="1"/>
  <c r="V900" i="1"/>
  <c r="V896" i="1"/>
  <c r="V894" i="1"/>
  <c r="V898" i="1"/>
  <c r="V895" i="1"/>
  <c r="V893" i="1"/>
  <c r="V906" i="1"/>
  <c r="V904" i="1"/>
  <c r="V908" i="1"/>
  <c r="V897" i="1"/>
  <c r="L901" i="1"/>
  <c r="L909" i="1" s="1"/>
  <c r="Q903" i="1"/>
  <c r="V884" i="1"/>
  <c r="S892" i="1"/>
  <c r="S891" i="1" s="1"/>
  <c r="S899" i="1" s="1"/>
  <c r="N891" i="1"/>
  <c r="N899" i="1" s="1"/>
  <c r="R903" i="1"/>
  <c r="R901" i="1" s="1"/>
  <c r="R909" i="1" s="1"/>
  <c r="M901" i="1"/>
  <c r="M909" i="1" s="1"/>
  <c r="Q891" i="1"/>
  <c r="S903" i="1"/>
  <c r="S901" i="1" s="1"/>
  <c r="S909" i="1" s="1"/>
  <c r="N901" i="1"/>
  <c r="N909" i="1" s="1"/>
  <c r="V887" i="1"/>
  <c r="V902" i="1"/>
  <c r="U903" i="1"/>
  <c r="U901" i="1" s="1"/>
  <c r="U909" i="1" s="1"/>
  <c r="P901" i="1"/>
  <c r="P909" i="1" s="1"/>
  <c r="O901" i="1"/>
  <c r="O909" i="1" s="1"/>
  <c r="T903" i="1"/>
  <c r="T901" i="1" s="1"/>
  <c r="T909" i="1" s="1"/>
  <c r="R892" i="1"/>
  <c r="M891" i="1"/>
  <c r="M899" i="1" s="1"/>
  <c r="T891" i="1"/>
  <c r="T899" i="1" s="1"/>
  <c r="O881" i="1"/>
  <c r="O889" i="1" s="1"/>
  <c r="L881" i="1"/>
  <c r="L889" i="1" s="1"/>
  <c r="V886" i="1"/>
  <c r="V882" i="1"/>
  <c r="Q881" i="1"/>
  <c r="R881" i="1"/>
  <c r="R889" i="1" s="1"/>
  <c r="V880" i="1"/>
  <c r="P881" i="1"/>
  <c r="P889" i="1" s="1"/>
  <c r="U881" i="1"/>
  <c r="U889" i="1" s="1"/>
  <c r="T881" i="1"/>
  <c r="T889" i="1" s="1"/>
  <c r="P1106" i="1"/>
  <c r="U1108" i="1"/>
  <c r="S881" i="1" l="1"/>
  <c r="S889" i="1" s="1"/>
  <c r="V903" i="1"/>
  <c r="Q901" i="1"/>
  <c r="V901" i="1" s="1"/>
  <c r="R891" i="1"/>
  <c r="R899" i="1" s="1"/>
  <c r="V892" i="1"/>
  <c r="Q899" i="1"/>
  <c r="Q889" i="1"/>
  <c r="V889" i="1" l="1"/>
  <c r="V881" i="1"/>
  <c r="V899" i="1"/>
  <c r="Q909" i="1"/>
  <c r="V909" i="1" s="1"/>
  <c r="V891" i="1"/>
  <c r="F1146" i="1" l="1"/>
  <c r="D279" i="4"/>
  <c r="H1080" i="1" s="1"/>
  <c r="D274" i="4"/>
  <c r="E274" i="4" s="1"/>
  <c r="D273" i="4"/>
  <c r="E273" i="4" s="1"/>
  <c r="C268" i="4"/>
  <c r="C304" i="4"/>
  <c r="C303" i="4"/>
  <c r="C302" i="4"/>
  <c r="C301" i="4"/>
  <c r="C300" i="4"/>
  <c r="H938" i="1"/>
  <c r="S941" i="1" s="1"/>
  <c r="H939" i="1"/>
  <c r="P938" i="1"/>
  <c r="P934" i="1" s="1"/>
  <c r="P942" i="1" s="1"/>
  <c r="O938" i="1"/>
  <c r="O934" i="1" s="1"/>
  <c r="O942" i="1" s="1"/>
  <c r="N938" i="1"/>
  <c r="N934" i="1" s="1"/>
  <c r="N942" i="1" s="1"/>
  <c r="M938" i="1"/>
  <c r="M934" i="1" s="1"/>
  <c r="M942" i="1" s="1"/>
  <c r="L938" i="1"/>
  <c r="F933" i="1"/>
  <c r="H949" i="1"/>
  <c r="F943" i="1"/>
  <c r="P1427" i="1"/>
  <c r="P1423" i="1" s="1"/>
  <c r="P1431" i="1" s="1"/>
  <c r="O1427" i="1"/>
  <c r="O1423" i="1" s="1"/>
  <c r="O1431" i="1" s="1"/>
  <c r="N1423" i="1"/>
  <c r="N1431" i="1" s="1"/>
  <c r="M1423" i="1"/>
  <c r="M1431" i="1" s="1"/>
  <c r="L1423" i="1"/>
  <c r="L1431" i="1" s="1"/>
  <c r="F1422" i="1"/>
  <c r="M1347" i="1"/>
  <c r="P1331" i="1"/>
  <c r="P1339" i="1" s="1"/>
  <c r="O1331" i="1"/>
  <c r="O1339" i="1" s="1"/>
  <c r="L1331" i="1"/>
  <c r="L1339" i="1" s="1"/>
  <c r="M1331" i="1"/>
  <c r="M1339" i="1" s="1"/>
  <c r="F1330" i="1"/>
  <c r="P1290" i="1"/>
  <c r="P1298" i="1" s="1"/>
  <c r="O1290" i="1"/>
  <c r="O1298" i="1" s="1"/>
  <c r="M1290" i="1"/>
  <c r="M1298" i="1" s="1"/>
  <c r="L1290" i="1"/>
  <c r="L1298" i="1" s="1"/>
  <c r="N1290" i="1"/>
  <c r="N1298" i="1" s="1"/>
  <c r="F1289" i="1"/>
  <c r="E294" i="4"/>
  <c r="E295" i="4" s="1"/>
  <c r="H1274" i="1"/>
  <c r="E289" i="4"/>
  <c r="E288" i="4"/>
  <c r="E287" i="4"/>
  <c r="E286" i="4"/>
  <c r="F1218" i="1"/>
  <c r="B72" i="3"/>
  <c r="B73" i="3"/>
  <c r="B71" i="3"/>
  <c r="B69" i="3"/>
  <c r="B70" i="3"/>
  <c r="B68" i="3"/>
  <c r="B66" i="3"/>
  <c r="B67" i="3"/>
  <c r="B64" i="3"/>
  <c r="B65" i="3"/>
  <c r="B63" i="3"/>
  <c r="B61" i="3"/>
  <c r="B62" i="3"/>
  <c r="B60" i="3"/>
  <c r="B59" i="3"/>
  <c r="B58" i="3"/>
  <c r="B56" i="3"/>
  <c r="B57" i="3"/>
  <c r="B54" i="3"/>
  <c r="B55" i="3"/>
  <c r="B52" i="3"/>
  <c r="B53" i="3"/>
  <c r="B50" i="3"/>
  <c r="B51" i="3"/>
  <c r="B49" i="3"/>
  <c r="B46" i="3"/>
  <c r="B47" i="3"/>
  <c r="B48" i="3"/>
  <c r="B43" i="3"/>
  <c r="B41" i="3"/>
  <c r="B39" i="3"/>
  <c r="B36" i="3"/>
  <c r="B28" i="3"/>
  <c r="B21" i="3"/>
  <c r="B22" i="3"/>
  <c r="B20" i="3"/>
  <c r="B19" i="3"/>
  <c r="H1284" i="1" l="1"/>
  <c r="L934" i="1"/>
  <c r="L942" i="1" s="1"/>
  <c r="C305" i="4"/>
  <c r="U951" i="1" s="1"/>
  <c r="U941" i="1"/>
  <c r="E275" i="4"/>
  <c r="H1070" i="1" s="1"/>
  <c r="C269" i="4"/>
  <c r="H1050" i="1" s="1"/>
  <c r="S937" i="1"/>
  <c r="T933" i="1"/>
  <c r="U935" i="1"/>
  <c r="S938" i="1"/>
  <c r="R940" i="1"/>
  <c r="Q933" i="1"/>
  <c r="S936" i="1"/>
  <c r="R939" i="1"/>
  <c r="R933" i="1"/>
  <c r="R935" i="1"/>
  <c r="T936" i="1"/>
  <c r="T939" i="1"/>
  <c r="Q941" i="1"/>
  <c r="U933" i="1"/>
  <c r="T937" i="1"/>
  <c r="U940" i="1"/>
  <c r="S933" i="1"/>
  <c r="T935" i="1"/>
  <c r="U936" i="1"/>
  <c r="U938" i="1"/>
  <c r="Q940" i="1"/>
  <c r="R941" i="1"/>
  <c r="Q935" i="1"/>
  <c r="Q936" i="1"/>
  <c r="R937" i="1"/>
  <c r="Q938" i="1"/>
  <c r="S939" i="1"/>
  <c r="S940" i="1"/>
  <c r="T941" i="1"/>
  <c r="S935" i="1"/>
  <c r="R936" i="1"/>
  <c r="Q937" i="1"/>
  <c r="U937" i="1"/>
  <c r="T938" i="1"/>
  <c r="U939" i="1"/>
  <c r="T940" i="1"/>
  <c r="Q939" i="1"/>
  <c r="R938" i="1"/>
  <c r="E290" i="4"/>
  <c r="H1234" i="1" s="1"/>
  <c r="R1235" i="1" s="1"/>
  <c r="R948" i="1" l="1"/>
  <c r="S949" i="1"/>
  <c r="T945" i="1"/>
  <c r="Q945" i="1"/>
  <c r="U949" i="1"/>
  <c r="S945" i="1"/>
  <c r="U945" i="1"/>
  <c r="Q950" i="1"/>
  <c r="U947" i="1"/>
  <c r="U950" i="1"/>
  <c r="U948" i="1"/>
  <c r="Q949" i="1"/>
  <c r="T947" i="1"/>
  <c r="Q951" i="1"/>
  <c r="S947" i="1"/>
  <c r="U943" i="1"/>
  <c r="S943" i="1"/>
  <c r="R949" i="1"/>
  <c r="R945" i="1"/>
  <c r="R950" i="1"/>
  <c r="T946" i="1"/>
  <c r="Q943" i="1"/>
  <c r="S951" i="1"/>
  <c r="R947" i="1"/>
  <c r="U946" i="1"/>
  <c r="S946" i="1"/>
  <c r="T948" i="1"/>
  <c r="Q946" i="1"/>
  <c r="R943" i="1"/>
  <c r="T949" i="1"/>
  <c r="R951" i="1"/>
  <c r="R946" i="1"/>
  <c r="T951" i="1"/>
  <c r="Q948" i="1"/>
  <c r="T943" i="1"/>
  <c r="T950" i="1"/>
  <c r="Q947" i="1"/>
  <c r="S950" i="1"/>
  <c r="S948" i="1"/>
  <c r="V940" i="1"/>
  <c r="V933" i="1"/>
  <c r="V935" i="1"/>
  <c r="V939" i="1"/>
  <c r="S934" i="1"/>
  <c r="V936" i="1"/>
  <c r="V941" i="1"/>
  <c r="U934" i="1"/>
  <c r="V937" i="1"/>
  <c r="R934" i="1"/>
  <c r="T934" i="1"/>
  <c r="V938" i="1"/>
  <c r="Q934" i="1"/>
  <c r="U1287" i="1"/>
  <c r="T1287" i="1"/>
  <c r="S1287" i="1"/>
  <c r="R1287" i="1"/>
  <c r="Q1287" i="1"/>
  <c r="U1286" i="1"/>
  <c r="T1286" i="1"/>
  <c r="S1286" i="1"/>
  <c r="R1286" i="1"/>
  <c r="Q1286" i="1"/>
  <c r="U1285" i="1"/>
  <c r="T1285" i="1"/>
  <c r="S1285" i="1"/>
  <c r="R1285" i="1"/>
  <c r="Q1285" i="1"/>
  <c r="P1280" i="1"/>
  <c r="P1288" i="1" s="1"/>
  <c r="O1280" i="1"/>
  <c r="O1288" i="1" s="1"/>
  <c r="N1280" i="1"/>
  <c r="N1288" i="1" s="1"/>
  <c r="R1284" i="1"/>
  <c r="L1280" i="1"/>
  <c r="L1288" i="1" s="1"/>
  <c r="U1283" i="1"/>
  <c r="T1283" i="1"/>
  <c r="S1283" i="1"/>
  <c r="R1283" i="1"/>
  <c r="Q1283" i="1"/>
  <c r="U1282" i="1"/>
  <c r="T1282" i="1"/>
  <c r="S1282" i="1"/>
  <c r="R1282" i="1"/>
  <c r="Q1282" i="1"/>
  <c r="U1281" i="1"/>
  <c r="T1281" i="1"/>
  <c r="S1281" i="1"/>
  <c r="R1281" i="1"/>
  <c r="Q1281" i="1"/>
  <c r="U1279" i="1"/>
  <c r="T1279" i="1"/>
  <c r="S1279" i="1"/>
  <c r="R1279" i="1"/>
  <c r="Q1279" i="1"/>
  <c r="F1279" i="1"/>
  <c r="U1277" i="1"/>
  <c r="T1277" i="1"/>
  <c r="S1277" i="1"/>
  <c r="R1277" i="1"/>
  <c r="Q1277" i="1"/>
  <c r="U1276" i="1"/>
  <c r="T1276" i="1"/>
  <c r="S1276" i="1"/>
  <c r="R1276" i="1"/>
  <c r="Q1276" i="1"/>
  <c r="U1275" i="1"/>
  <c r="T1275" i="1"/>
  <c r="S1275" i="1"/>
  <c r="R1275" i="1"/>
  <c r="Q1275" i="1"/>
  <c r="U1274" i="1"/>
  <c r="O1270" i="1"/>
  <c r="O1278" i="1" s="1"/>
  <c r="S1274" i="1"/>
  <c r="R1274" i="1"/>
  <c r="Q1274" i="1"/>
  <c r="U1273" i="1"/>
  <c r="T1273" i="1"/>
  <c r="S1273" i="1"/>
  <c r="R1273" i="1"/>
  <c r="Q1273" i="1"/>
  <c r="U1272" i="1"/>
  <c r="T1272" i="1"/>
  <c r="S1272" i="1"/>
  <c r="R1272" i="1"/>
  <c r="Q1272" i="1"/>
  <c r="U1271" i="1"/>
  <c r="T1271" i="1"/>
  <c r="S1271" i="1"/>
  <c r="R1271" i="1"/>
  <c r="Q1271" i="1"/>
  <c r="P1270" i="1"/>
  <c r="P1278" i="1" s="1"/>
  <c r="U1269" i="1"/>
  <c r="T1269" i="1"/>
  <c r="S1269" i="1"/>
  <c r="R1269" i="1"/>
  <c r="Q1269" i="1"/>
  <c r="F1269" i="1"/>
  <c r="F624" i="1"/>
  <c r="A246" i="5" s="1"/>
  <c r="V945" i="1" l="1"/>
  <c r="U944" i="1"/>
  <c r="U952" i="1" s="1"/>
  <c r="V949" i="1"/>
  <c r="S942" i="1"/>
  <c r="V951" i="1"/>
  <c r="V947" i="1"/>
  <c r="V950" i="1"/>
  <c r="V948" i="1"/>
  <c r="V946" i="1"/>
  <c r="R944" i="1"/>
  <c r="R952" i="1" s="1"/>
  <c r="T944" i="1"/>
  <c r="T952" i="1" s="1"/>
  <c r="V943" i="1"/>
  <c r="S944" i="1"/>
  <c r="S952" i="1" s="1"/>
  <c r="A28" i="3"/>
  <c r="Q944" i="1"/>
  <c r="Q952" i="1" s="1"/>
  <c r="T1284" i="1"/>
  <c r="T1280" i="1" s="1"/>
  <c r="T1288" i="1" s="1"/>
  <c r="N1270" i="1"/>
  <c r="N1278" i="1" s="1"/>
  <c r="S1284" i="1"/>
  <c r="S1280" i="1" s="1"/>
  <c r="S1288" i="1" s="1"/>
  <c r="T1274" i="1"/>
  <c r="Q942" i="1"/>
  <c r="U942" i="1"/>
  <c r="T942" i="1"/>
  <c r="R942" i="1"/>
  <c r="V934" i="1"/>
  <c r="R1280" i="1"/>
  <c r="R1288" i="1" s="1"/>
  <c r="V1285" i="1"/>
  <c r="V1286" i="1"/>
  <c r="V1283" i="1"/>
  <c r="V1281" i="1"/>
  <c r="V1282" i="1"/>
  <c r="V1287" i="1"/>
  <c r="V1275" i="1"/>
  <c r="M1288" i="1"/>
  <c r="V1277" i="1"/>
  <c r="V1276" i="1"/>
  <c r="V1273" i="1"/>
  <c r="U1270" i="1"/>
  <c r="V1271" i="1"/>
  <c r="V1272" i="1"/>
  <c r="S1270" i="1"/>
  <c r="M1270" i="1"/>
  <c r="M1278" i="1" s="1"/>
  <c r="L1270" i="1"/>
  <c r="L1278" i="1" s="1"/>
  <c r="Q1284" i="1"/>
  <c r="U1284" i="1"/>
  <c r="U1280" i="1" s="1"/>
  <c r="U1288" i="1" s="1"/>
  <c r="V1279" i="1"/>
  <c r="Q1270" i="1"/>
  <c r="R1270" i="1"/>
  <c r="V1269" i="1"/>
  <c r="P1301" i="1"/>
  <c r="P1309" i="1" s="1"/>
  <c r="O1301" i="1"/>
  <c r="O1309" i="1" s="1"/>
  <c r="N1301" i="1"/>
  <c r="N1309" i="1" s="1"/>
  <c r="M1301" i="1"/>
  <c r="M1309" i="1" s="1"/>
  <c r="L1301" i="1"/>
  <c r="L1309" i="1" s="1"/>
  <c r="H1305" i="1"/>
  <c r="U1308" i="1" s="1"/>
  <c r="F1300" i="1"/>
  <c r="P1321" i="1"/>
  <c r="P1329" i="1" s="1"/>
  <c r="O1321" i="1"/>
  <c r="O1329" i="1" s="1"/>
  <c r="L1321" i="1"/>
  <c r="L1329" i="1" s="1"/>
  <c r="H1325" i="1"/>
  <c r="U1328" i="1" s="1"/>
  <c r="N1321" i="1"/>
  <c r="N1329" i="1" s="1"/>
  <c r="F1320" i="1"/>
  <c r="F1299" i="1"/>
  <c r="H1193" i="1"/>
  <c r="U1196" i="1" s="1"/>
  <c r="F1188" i="1"/>
  <c r="F1167" i="1"/>
  <c r="F1145" i="1"/>
  <c r="F932" i="1"/>
  <c r="F395" i="1"/>
  <c r="B37" i="3"/>
  <c r="B35" i="3"/>
  <c r="B34" i="3"/>
  <c r="B44" i="3"/>
  <c r="B45" i="3"/>
  <c r="B38" i="3"/>
  <c r="B42" i="3"/>
  <c r="B40" i="3"/>
  <c r="B33" i="3"/>
  <c r="B32" i="3"/>
  <c r="B31" i="3"/>
  <c r="B23" i="3"/>
  <c r="B30" i="3"/>
  <c r="B26" i="3"/>
  <c r="B25" i="3"/>
  <c r="B24" i="3"/>
  <c r="B18" i="3"/>
  <c r="B17" i="3"/>
  <c r="B16" i="3"/>
  <c r="B15" i="3"/>
  <c r="B13" i="3"/>
  <c r="B14" i="3"/>
  <c r="B12" i="3"/>
  <c r="B11" i="3"/>
  <c r="B10" i="3"/>
  <c r="B9" i="3"/>
  <c r="B8" i="3"/>
  <c r="B7" i="3"/>
  <c r="B6" i="3"/>
  <c r="F9" i="4"/>
  <c r="G9" i="4" s="1"/>
  <c r="H1605" i="1"/>
  <c r="H2253" i="1"/>
  <c r="U2256" i="1" s="1"/>
  <c r="H2210" i="1"/>
  <c r="H2200" i="1"/>
  <c r="H2170" i="1"/>
  <c r="H2149" i="1"/>
  <c r="H2045" i="1"/>
  <c r="H2014" i="1"/>
  <c r="H1535" i="1"/>
  <c r="H1482" i="1"/>
  <c r="H1472" i="1"/>
  <c r="H1471" i="1"/>
  <c r="H1462" i="1"/>
  <c r="H1213" i="1"/>
  <c r="H1203" i="1"/>
  <c r="H1315" i="1"/>
  <c r="H1417" i="1"/>
  <c r="H1346" i="1"/>
  <c r="H1254" i="1"/>
  <c r="H297" i="1"/>
  <c r="H236" i="1"/>
  <c r="H102" i="1"/>
  <c r="D79" i="4"/>
  <c r="H79" i="4" s="1"/>
  <c r="D78" i="4"/>
  <c r="H78" i="4" s="1"/>
  <c r="D77" i="4"/>
  <c r="H77" i="4" s="1"/>
  <c r="G13" i="4"/>
  <c r="G26" i="4" s="1"/>
  <c r="G12" i="4"/>
  <c r="D11" i="4"/>
  <c r="G11" i="4" s="1"/>
  <c r="D10" i="4"/>
  <c r="G10" i="4" s="1"/>
  <c r="H2326" i="1"/>
  <c r="O2321" i="1"/>
  <c r="O2329" i="1" s="1"/>
  <c r="N2321" i="1"/>
  <c r="N2329" i="1" s="1"/>
  <c r="M2321" i="1"/>
  <c r="M2329" i="1" s="1"/>
  <c r="L2321" i="1"/>
  <c r="L2329" i="1" s="1"/>
  <c r="F2320" i="1"/>
  <c r="U2318" i="1"/>
  <c r="T2318" i="1"/>
  <c r="S2318" i="1"/>
  <c r="R2318" i="1"/>
  <c r="Q2318" i="1"/>
  <c r="U2317" i="1"/>
  <c r="T2317" i="1"/>
  <c r="S2317" i="1"/>
  <c r="R2317" i="1"/>
  <c r="Q2317" i="1"/>
  <c r="U2316" i="1"/>
  <c r="T2316" i="1"/>
  <c r="S2316" i="1"/>
  <c r="R2316" i="1"/>
  <c r="Q2316" i="1"/>
  <c r="U2315" i="1"/>
  <c r="T2315" i="1"/>
  <c r="S2315" i="1"/>
  <c r="R2315" i="1"/>
  <c r="Q2315" i="1"/>
  <c r="U2314" i="1"/>
  <c r="T2314" i="1"/>
  <c r="S2314" i="1"/>
  <c r="R2314" i="1"/>
  <c r="Q2314" i="1"/>
  <c r="U2313" i="1"/>
  <c r="T2313" i="1"/>
  <c r="S2313" i="1"/>
  <c r="R2313" i="1"/>
  <c r="Q2313" i="1"/>
  <c r="U2312" i="1"/>
  <c r="T2312" i="1"/>
  <c r="S2312" i="1"/>
  <c r="R2312" i="1"/>
  <c r="Q2312" i="1"/>
  <c r="P2311" i="1"/>
  <c r="P2319" i="1" s="1"/>
  <c r="O2311" i="1"/>
  <c r="O2319" i="1" s="1"/>
  <c r="N2311" i="1"/>
  <c r="N2319" i="1" s="1"/>
  <c r="M2311" i="1"/>
  <c r="M2319" i="1" s="1"/>
  <c r="L2311" i="1"/>
  <c r="L2319" i="1" s="1"/>
  <c r="U2310" i="1"/>
  <c r="T2310" i="1"/>
  <c r="S2310" i="1"/>
  <c r="R2310" i="1"/>
  <c r="Q2310" i="1"/>
  <c r="F2310" i="1"/>
  <c r="F2309" i="1"/>
  <c r="U2307" i="1"/>
  <c r="T2307" i="1"/>
  <c r="S2307" i="1"/>
  <c r="R2307" i="1"/>
  <c r="Q2307" i="1"/>
  <c r="U2306" i="1"/>
  <c r="T2306" i="1"/>
  <c r="S2306" i="1"/>
  <c r="R2306" i="1"/>
  <c r="Q2306" i="1"/>
  <c r="U2305" i="1"/>
  <c r="T2305" i="1"/>
  <c r="S2305" i="1"/>
  <c r="R2305" i="1"/>
  <c r="Q2305" i="1"/>
  <c r="U2304" i="1"/>
  <c r="T2304" i="1"/>
  <c r="S2304" i="1"/>
  <c r="R2304" i="1"/>
  <c r="Q2304" i="1"/>
  <c r="U2303" i="1"/>
  <c r="T2303" i="1"/>
  <c r="S2303" i="1"/>
  <c r="R2303" i="1"/>
  <c r="Q2303" i="1"/>
  <c r="U2302" i="1"/>
  <c r="T2302" i="1"/>
  <c r="S2302" i="1"/>
  <c r="R2302" i="1"/>
  <c r="Q2302" i="1"/>
  <c r="U2301" i="1"/>
  <c r="T2301" i="1"/>
  <c r="S2301" i="1"/>
  <c r="R2301" i="1"/>
  <c r="Q2301" i="1"/>
  <c r="P2300" i="1"/>
  <c r="P2308" i="1" s="1"/>
  <c r="O2300" i="1"/>
  <c r="O2308" i="1" s="1"/>
  <c r="N2300" i="1"/>
  <c r="N2308" i="1" s="1"/>
  <c r="M2300" i="1"/>
  <c r="M2308" i="1" s="1"/>
  <c r="L2308" i="1"/>
  <c r="U2299" i="1"/>
  <c r="T2299" i="1"/>
  <c r="S2299" i="1"/>
  <c r="R2299" i="1"/>
  <c r="Q2299" i="1"/>
  <c r="F2299" i="1"/>
  <c r="U2297" i="1"/>
  <c r="T2297" i="1"/>
  <c r="S2297" i="1"/>
  <c r="R2297" i="1"/>
  <c r="Q2297" i="1"/>
  <c r="U2296" i="1"/>
  <c r="T2296" i="1"/>
  <c r="S2296" i="1"/>
  <c r="R2296" i="1"/>
  <c r="Q2296" i="1"/>
  <c r="U2295" i="1"/>
  <c r="T2295" i="1"/>
  <c r="S2295" i="1"/>
  <c r="R2295" i="1"/>
  <c r="Q2295" i="1"/>
  <c r="U2294" i="1"/>
  <c r="T2294" i="1"/>
  <c r="S2294" i="1"/>
  <c r="R2294" i="1"/>
  <c r="Q2294" i="1"/>
  <c r="U2293" i="1"/>
  <c r="T2293" i="1"/>
  <c r="S2293" i="1"/>
  <c r="R2293" i="1"/>
  <c r="Q2293" i="1"/>
  <c r="U2292" i="1"/>
  <c r="T2292" i="1"/>
  <c r="S2292" i="1"/>
  <c r="R2292" i="1"/>
  <c r="Q2292" i="1"/>
  <c r="U2291" i="1"/>
  <c r="T2291" i="1"/>
  <c r="S2291" i="1"/>
  <c r="R2291" i="1"/>
  <c r="Q2291" i="1"/>
  <c r="P2290" i="1"/>
  <c r="P2298" i="1" s="1"/>
  <c r="N2290" i="1"/>
  <c r="N2298" i="1" s="1"/>
  <c r="M2290" i="1"/>
  <c r="M2298" i="1" s="1"/>
  <c r="L2290" i="1"/>
  <c r="L2298" i="1" s="1"/>
  <c r="U2289" i="1"/>
  <c r="T2289" i="1"/>
  <c r="S2289" i="1"/>
  <c r="R2289" i="1"/>
  <c r="Q2289" i="1"/>
  <c r="F2289" i="1"/>
  <c r="U2287" i="1"/>
  <c r="T2287" i="1"/>
  <c r="S2287" i="1"/>
  <c r="R2287" i="1"/>
  <c r="Q2287" i="1"/>
  <c r="U2286" i="1"/>
  <c r="T2286" i="1"/>
  <c r="S2286" i="1"/>
  <c r="R2286" i="1"/>
  <c r="Q2286" i="1"/>
  <c r="U2285" i="1"/>
  <c r="T2285" i="1"/>
  <c r="S2285" i="1"/>
  <c r="R2285" i="1"/>
  <c r="Q2285" i="1"/>
  <c r="U2284" i="1"/>
  <c r="T2284" i="1"/>
  <c r="S2284" i="1"/>
  <c r="R2284" i="1"/>
  <c r="Q2284" i="1"/>
  <c r="U2283" i="1"/>
  <c r="T2283" i="1"/>
  <c r="S2283" i="1"/>
  <c r="R2283" i="1"/>
  <c r="Q2283" i="1"/>
  <c r="U2282" i="1"/>
  <c r="T2282" i="1"/>
  <c r="S2282" i="1"/>
  <c r="R2282" i="1"/>
  <c r="Q2282" i="1"/>
  <c r="U2281" i="1"/>
  <c r="T2281" i="1"/>
  <c r="S2281" i="1"/>
  <c r="R2281" i="1"/>
  <c r="Q2281" i="1"/>
  <c r="P2280" i="1"/>
  <c r="P2288" i="1" s="1"/>
  <c r="O2280" i="1"/>
  <c r="N2280" i="1"/>
  <c r="N2288" i="1" s="1"/>
  <c r="M2280" i="1"/>
  <c r="M2288" i="1" s="1"/>
  <c r="L2280" i="1"/>
  <c r="L2288" i="1" s="1"/>
  <c r="U2279" i="1"/>
  <c r="T2279" i="1"/>
  <c r="S2279" i="1"/>
  <c r="R2279" i="1"/>
  <c r="Q2279" i="1"/>
  <c r="F2279" i="1"/>
  <c r="F2278" i="1"/>
  <c r="U2276" i="1"/>
  <c r="T2276" i="1"/>
  <c r="S2276" i="1"/>
  <c r="R2276" i="1"/>
  <c r="Q2276" i="1"/>
  <c r="U2275" i="1"/>
  <c r="T2275" i="1"/>
  <c r="S2275" i="1"/>
  <c r="R2275" i="1"/>
  <c r="Q2275" i="1"/>
  <c r="U2274" i="1"/>
  <c r="T2274" i="1"/>
  <c r="S2274" i="1"/>
  <c r="R2274" i="1"/>
  <c r="Q2274" i="1"/>
  <c r="U2273" i="1"/>
  <c r="T2273" i="1"/>
  <c r="S2273" i="1"/>
  <c r="R2273" i="1"/>
  <c r="Q2273" i="1"/>
  <c r="U2272" i="1"/>
  <c r="T2272" i="1"/>
  <c r="S2272" i="1"/>
  <c r="R2272" i="1"/>
  <c r="Q2272" i="1"/>
  <c r="U2271" i="1"/>
  <c r="T2271" i="1"/>
  <c r="S2271" i="1"/>
  <c r="R2271" i="1"/>
  <c r="Q2271" i="1"/>
  <c r="U2270" i="1"/>
  <c r="T2270" i="1"/>
  <c r="S2270" i="1"/>
  <c r="R2270" i="1"/>
  <c r="Q2270" i="1"/>
  <c r="P2269" i="1"/>
  <c r="P2277" i="1" s="1"/>
  <c r="O2269" i="1"/>
  <c r="O2277" i="1" s="1"/>
  <c r="N2269" i="1"/>
  <c r="N2277" i="1" s="1"/>
  <c r="M2269" i="1"/>
  <c r="M2277" i="1" s="1"/>
  <c r="L2269" i="1"/>
  <c r="L2277" i="1" s="1"/>
  <c r="U2268" i="1"/>
  <c r="T2268" i="1"/>
  <c r="S2268" i="1"/>
  <c r="R2268" i="1"/>
  <c r="Q2268" i="1"/>
  <c r="F2268" i="1"/>
  <c r="P2259" i="1"/>
  <c r="P2267" i="1" s="1"/>
  <c r="O2259" i="1"/>
  <c r="O2267" i="1" s="1"/>
  <c r="N2259" i="1"/>
  <c r="N2267" i="1" s="1"/>
  <c r="M2259" i="1"/>
  <c r="M2267" i="1" s="1"/>
  <c r="L2259" i="1"/>
  <c r="L2267" i="1" s="1"/>
  <c r="F2258" i="1"/>
  <c r="P2249" i="1"/>
  <c r="P2257" i="1" s="1"/>
  <c r="O2249" i="1"/>
  <c r="O2257" i="1" s="1"/>
  <c r="F2248" i="1"/>
  <c r="U2246" i="1"/>
  <c r="T2246" i="1"/>
  <c r="S2246" i="1"/>
  <c r="R2246" i="1"/>
  <c r="Q2246" i="1"/>
  <c r="U2245" i="1"/>
  <c r="T2245" i="1"/>
  <c r="S2245" i="1"/>
  <c r="R2245" i="1"/>
  <c r="Q2245" i="1"/>
  <c r="U2244" i="1"/>
  <c r="T2244" i="1"/>
  <c r="S2244" i="1"/>
  <c r="R2244" i="1"/>
  <c r="Q2244" i="1"/>
  <c r="U2243" i="1"/>
  <c r="T2243" i="1"/>
  <c r="S2243" i="1"/>
  <c r="R2243" i="1"/>
  <c r="Q2243" i="1"/>
  <c r="U2242" i="1"/>
  <c r="T2242" i="1"/>
  <c r="S2242" i="1"/>
  <c r="R2242" i="1"/>
  <c r="Q2242" i="1"/>
  <c r="U2241" i="1"/>
  <c r="T2241" i="1"/>
  <c r="S2241" i="1"/>
  <c r="R2241" i="1"/>
  <c r="Q2241" i="1"/>
  <c r="U2240" i="1"/>
  <c r="T2240" i="1"/>
  <c r="S2240" i="1"/>
  <c r="R2240" i="1"/>
  <c r="Q2240" i="1"/>
  <c r="P2239" i="1"/>
  <c r="P2247" i="1" s="1"/>
  <c r="O2239" i="1"/>
  <c r="O2247" i="1" s="1"/>
  <c r="N2239" i="1"/>
  <c r="N2247" i="1" s="1"/>
  <c r="M2239" i="1"/>
  <c r="M2247" i="1" s="1"/>
  <c r="L2239" i="1"/>
  <c r="L2247" i="1" s="1"/>
  <c r="U2238" i="1"/>
  <c r="T2238" i="1"/>
  <c r="S2238" i="1"/>
  <c r="R2238" i="1"/>
  <c r="Q2238" i="1"/>
  <c r="F2238" i="1"/>
  <c r="F2237" i="1"/>
  <c r="G41" i="4" l="1"/>
  <c r="H26" i="4"/>
  <c r="G27" i="4" s="1"/>
  <c r="H27" i="4" s="1"/>
  <c r="H28" i="4" s="1"/>
  <c r="C731" i="5"/>
  <c r="G731" i="5"/>
  <c r="E733" i="5"/>
  <c r="D734" i="5"/>
  <c r="C735" i="5"/>
  <c r="G735" i="5"/>
  <c r="F731" i="5"/>
  <c r="D733" i="5"/>
  <c r="C734" i="5"/>
  <c r="G734" i="5"/>
  <c r="F735" i="5"/>
  <c r="E736" i="5"/>
  <c r="D737" i="5"/>
  <c r="C738" i="5"/>
  <c r="F736" i="5"/>
  <c r="E737" i="5"/>
  <c r="D738" i="5"/>
  <c r="C739" i="5"/>
  <c r="G739" i="5"/>
  <c r="D731" i="5"/>
  <c r="F733" i="5"/>
  <c r="E734" i="5"/>
  <c r="D735" i="5"/>
  <c r="C736" i="5"/>
  <c r="G736" i="5"/>
  <c r="F737" i="5"/>
  <c r="E738" i="5"/>
  <c r="D739" i="5"/>
  <c r="E731" i="5"/>
  <c r="C733" i="5"/>
  <c r="G733" i="5"/>
  <c r="F734" i="5"/>
  <c r="E735" i="5"/>
  <c r="D736" i="5"/>
  <c r="G737" i="5"/>
  <c r="F738" i="5"/>
  <c r="E739" i="5"/>
  <c r="G738" i="5"/>
  <c r="F739" i="5"/>
  <c r="C737" i="5"/>
  <c r="U1278" i="1"/>
  <c r="R1278" i="1"/>
  <c r="S1278" i="1"/>
  <c r="T1270" i="1"/>
  <c r="V1270" i="1" s="1"/>
  <c r="U2269" i="1"/>
  <c r="U2277" i="1" s="1"/>
  <c r="R2280" i="1"/>
  <c r="R2288" i="1" s="1"/>
  <c r="V952" i="1"/>
  <c r="V2271" i="1"/>
  <c r="A71" i="3"/>
  <c r="A719" i="5"/>
  <c r="T2269" i="1"/>
  <c r="T2277" i="1" s="1"/>
  <c r="A72" i="3"/>
  <c r="A730" i="5"/>
  <c r="V2281" i="1"/>
  <c r="U2280" i="1"/>
  <c r="V2289" i="1"/>
  <c r="V2297" i="1"/>
  <c r="A19" i="3"/>
  <c r="A147" i="5"/>
  <c r="V2270" i="1"/>
  <c r="A36" i="3"/>
  <c r="A334" i="5"/>
  <c r="V944" i="1"/>
  <c r="S2280" i="1"/>
  <c r="V2283" i="1"/>
  <c r="V2287" i="1"/>
  <c r="A39" i="3"/>
  <c r="A367" i="5"/>
  <c r="R2269" i="1"/>
  <c r="R2277" i="1" s="1"/>
  <c r="V2268" i="1"/>
  <c r="S2269" i="1"/>
  <c r="S2277" i="1" s="1"/>
  <c r="V2272" i="1"/>
  <c r="V2276" i="1"/>
  <c r="T2280" i="1"/>
  <c r="R2290" i="1"/>
  <c r="V2292" i="1"/>
  <c r="V2304" i="1"/>
  <c r="A73" i="3"/>
  <c r="A741" i="5"/>
  <c r="A41" i="3"/>
  <c r="A389" i="5"/>
  <c r="A43" i="3"/>
  <c r="A411" i="5"/>
  <c r="V2273" i="1"/>
  <c r="V2274" i="1"/>
  <c r="V2275" i="1"/>
  <c r="V2284" i="1"/>
  <c r="V2285" i="1"/>
  <c r="V2282" i="1"/>
  <c r="V2286" i="1"/>
  <c r="V2296" i="1"/>
  <c r="S2290" i="1"/>
  <c r="V2293" i="1"/>
  <c r="T2290" i="1"/>
  <c r="V2294" i="1"/>
  <c r="V2291" i="1"/>
  <c r="U2290" i="1"/>
  <c r="U2298" i="1" s="1"/>
  <c r="V2295" i="1"/>
  <c r="U2300" i="1"/>
  <c r="U2308" i="1" s="1"/>
  <c r="V2305" i="1"/>
  <c r="T2300" i="1"/>
  <c r="T2308" i="1" s="1"/>
  <c r="V2301" i="1"/>
  <c r="R2300" i="1"/>
  <c r="R2308" i="1" s="1"/>
  <c r="V2302" i="1"/>
  <c r="V2306" i="1"/>
  <c r="S2300" i="1"/>
  <c r="S2308" i="1" s="1"/>
  <c r="V2303" i="1"/>
  <c r="V2307" i="1"/>
  <c r="V1274" i="1"/>
  <c r="V942" i="1"/>
  <c r="V1284" i="1"/>
  <c r="Q1280" i="1"/>
  <c r="Q1278" i="1"/>
  <c r="T1300" i="1"/>
  <c r="S1302" i="1"/>
  <c r="S1304" i="1"/>
  <c r="Q1303" i="1"/>
  <c r="R1325" i="1"/>
  <c r="U1303" i="1"/>
  <c r="R1305" i="1"/>
  <c r="Q1300" i="1"/>
  <c r="U1300" i="1"/>
  <c r="T1302" i="1"/>
  <c r="R1303" i="1"/>
  <c r="T1304" i="1"/>
  <c r="T1305" i="1"/>
  <c r="R1306" i="1"/>
  <c r="T1307" i="1"/>
  <c r="R1308" i="1"/>
  <c r="R1300" i="1"/>
  <c r="Q1302" i="1"/>
  <c r="U1302" i="1"/>
  <c r="S1303" i="1"/>
  <c r="Q1304" i="1"/>
  <c r="U1304" i="1"/>
  <c r="Q1305" i="1"/>
  <c r="U1305" i="1"/>
  <c r="S1306" i="1"/>
  <c r="Q1307" i="1"/>
  <c r="U1307" i="1"/>
  <c r="S1308" i="1"/>
  <c r="S1300" i="1"/>
  <c r="R1302" i="1"/>
  <c r="T1303" i="1"/>
  <c r="R1304" i="1"/>
  <c r="T1306" i="1"/>
  <c r="R1307" i="1"/>
  <c r="T1308" i="1"/>
  <c r="S1305" i="1"/>
  <c r="Q1306" i="1"/>
  <c r="U1306" i="1"/>
  <c r="S1307" i="1"/>
  <c r="Q1308" i="1"/>
  <c r="U1188" i="1"/>
  <c r="M1321" i="1"/>
  <c r="M1329" i="1" s="1"/>
  <c r="T1320" i="1"/>
  <c r="S1322" i="1"/>
  <c r="S1324" i="1"/>
  <c r="Q1320" i="1"/>
  <c r="U1320" i="1"/>
  <c r="T1322" i="1"/>
  <c r="R1323" i="1"/>
  <c r="T1324" i="1"/>
  <c r="T1325" i="1"/>
  <c r="R1326" i="1"/>
  <c r="T1327" i="1"/>
  <c r="R1328" i="1"/>
  <c r="Q1323" i="1"/>
  <c r="U1323" i="1"/>
  <c r="R1320" i="1"/>
  <c r="Q1322" i="1"/>
  <c r="U1322" i="1"/>
  <c r="S1323" i="1"/>
  <c r="Q1324" i="1"/>
  <c r="U1324" i="1"/>
  <c r="Q1325" i="1"/>
  <c r="U1325" i="1"/>
  <c r="S1326" i="1"/>
  <c r="Q1327" i="1"/>
  <c r="U1327" i="1"/>
  <c r="S1328" i="1"/>
  <c r="S1320" i="1"/>
  <c r="R1322" i="1"/>
  <c r="T1323" i="1"/>
  <c r="R1324" i="1"/>
  <c r="T1326" i="1"/>
  <c r="R1327" i="1"/>
  <c r="T1328" i="1"/>
  <c r="S1325" i="1"/>
  <c r="Q1326" i="1"/>
  <c r="U1326" i="1"/>
  <c r="S1327" i="1"/>
  <c r="Q1328" i="1"/>
  <c r="Q1191" i="1"/>
  <c r="Q1188" i="1"/>
  <c r="Q1192" i="1"/>
  <c r="Q1190" i="1"/>
  <c r="S1188" i="1"/>
  <c r="S1190" i="1"/>
  <c r="T1191" i="1"/>
  <c r="S1192" i="1"/>
  <c r="T1188" i="1"/>
  <c r="U1190" i="1"/>
  <c r="U1191" i="1"/>
  <c r="U1192" i="1"/>
  <c r="R1188" i="1"/>
  <c r="R1190" i="1"/>
  <c r="S1191" i="1"/>
  <c r="R1192" i="1"/>
  <c r="T1190" i="1"/>
  <c r="R1191" i="1"/>
  <c r="T1192" i="1"/>
  <c r="R1194" i="1"/>
  <c r="T1195" i="1"/>
  <c r="R1196" i="1"/>
  <c r="S1194" i="1"/>
  <c r="Q1195" i="1"/>
  <c r="U1195" i="1"/>
  <c r="S1196" i="1"/>
  <c r="T1194" i="1"/>
  <c r="R1195" i="1"/>
  <c r="T1196" i="1"/>
  <c r="Q1194" i="1"/>
  <c r="U1194" i="1"/>
  <c r="S1195" i="1"/>
  <c r="Q1196" i="1"/>
  <c r="S2251" i="1"/>
  <c r="S2248" i="1"/>
  <c r="R2252" i="1"/>
  <c r="Q2253" i="1"/>
  <c r="S2255" i="1"/>
  <c r="T2250" i="1"/>
  <c r="U2253" i="1"/>
  <c r="T2254" i="1"/>
  <c r="R2256" i="1"/>
  <c r="T2248" i="1"/>
  <c r="Q2250" i="1"/>
  <c r="U2250" i="1"/>
  <c r="T2251" i="1"/>
  <c r="S2252" i="1"/>
  <c r="R2253" i="1"/>
  <c r="Q2254" i="1"/>
  <c r="U2254" i="1"/>
  <c r="T2255" i="1"/>
  <c r="S2256" i="1"/>
  <c r="U2248" i="1"/>
  <c r="T2252" i="1"/>
  <c r="Q2248" i="1"/>
  <c r="R2250" i="1"/>
  <c r="Q2251" i="1"/>
  <c r="U2251" i="1"/>
  <c r="S2253" i="1"/>
  <c r="Q2255" i="1"/>
  <c r="U2255" i="1"/>
  <c r="T2256" i="1"/>
  <c r="R2248" i="1"/>
  <c r="S2250" i="1"/>
  <c r="R2251" i="1"/>
  <c r="Q2252" i="1"/>
  <c r="U2252" i="1"/>
  <c r="T2253" i="1"/>
  <c r="S2254" i="1"/>
  <c r="R2255" i="1"/>
  <c r="Q2256" i="1"/>
  <c r="L2249" i="1"/>
  <c r="L2257" i="1" s="1"/>
  <c r="M2249" i="1"/>
  <c r="M2257" i="1" s="1"/>
  <c r="R2254" i="1"/>
  <c r="T2311" i="1"/>
  <c r="T2319" i="1" s="1"/>
  <c r="V2318" i="1"/>
  <c r="U2239" i="1"/>
  <c r="Q2280" i="1"/>
  <c r="V2245" i="1"/>
  <c r="G80" i="4"/>
  <c r="H80" i="4" s="1"/>
  <c r="H81" i="4" s="1"/>
  <c r="H82" i="4" s="1"/>
  <c r="F14" i="4"/>
  <c r="G14" i="4" s="1"/>
  <c r="G15" i="4" s="1"/>
  <c r="V2316" i="1"/>
  <c r="V2241" i="1"/>
  <c r="V2312" i="1"/>
  <c r="S2239" i="1"/>
  <c r="R2239" i="1"/>
  <c r="V2279" i="1"/>
  <c r="V2243" i="1"/>
  <c r="Q2269" i="1"/>
  <c r="Q2290" i="1"/>
  <c r="Q2300" i="1"/>
  <c r="S2311" i="1"/>
  <c r="S2319" i="1" s="1"/>
  <c r="V2314" i="1"/>
  <c r="V2310" i="1"/>
  <c r="V2313" i="1"/>
  <c r="Q2311" i="1"/>
  <c r="U2311" i="1"/>
  <c r="V2240" i="1"/>
  <c r="Q2239" i="1"/>
  <c r="V2238" i="1"/>
  <c r="V2244" i="1"/>
  <c r="V2299" i="1"/>
  <c r="V2317" i="1"/>
  <c r="P2321" i="1"/>
  <c r="P2329" i="1" s="1"/>
  <c r="V2246" i="1"/>
  <c r="T2239" i="1"/>
  <c r="V2242" i="1"/>
  <c r="N2249" i="1"/>
  <c r="N2257" i="1" s="1"/>
  <c r="R2311" i="1"/>
  <c r="V2315" i="1"/>
  <c r="U2235" i="1"/>
  <c r="T2235" i="1"/>
  <c r="S2235" i="1"/>
  <c r="R2235" i="1"/>
  <c r="Q2235" i="1"/>
  <c r="U2234" i="1"/>
  <c r="T2234" i="1"/>
  <c r="S2234" i="1"/>
  <c r="R2234" i="1"/>
  <c r="Q2234" i="1"/>
  <c r="U2233" i="1"/>
  <c r="T2233" i="1"/>
  <c r="S2233" i="1"/>
  <c r="R2233" i="1"/>
  <c r="Q2233" i="1"/>
  <c r="U2232" i="1"/>
  <c r="T2232" i="1"/>
  <c r="S2232" i="1"/>
  <c r="R2232" i="1"/>
  <c r="Q2232" i="1"/>
  <c r="U2231" i="1"/>
  <c r="T2231" i="1"/>
  <c r="S2231" i="1"/>
  <c r="R2231" i="1"/>
  <c r="Q2231" i="1"/>
  <c r="U2230" i="1"/>
  <c r="T2230" i="1"/>
  <c r="S2230" i="1"/>
  <c r="R2230" i="1"/>
  <c r="Q2230" i="1"/>
  <c r="U2229" i="1"/>
  <c r="T2229" i="1"/>
  <c r="S2229" i="1"/>
  <c r="R2229" i="1"/>
  <c r="Q2229" i="1"/>
  <c r="P2228" i="1"/>
  <c r="P2236" i="1" s="1"/>
  <c r="O2228" i="1"/>
  <c r="O2236" i="1" s="1"/>
  <c r="N2228" i="1"/>
  <c r="N2236" i="1" s="1"/>
  <c r="M2228" i="1"/>
  <c r="M2236" i="1" s="1"/>
  <c r="L2228" i="1"/>
  <c r="L2236" i="1" s="1"/>
  <c r="U2227" i="1"/>
  <c r="T2227" i="1"/>
  <c r="S2227" i="1"/>
  <c r="R2227" i="1"/>
  <c r="Q2227" i="1"/>
  <c r="F2227" i="1"/>
  <c r="U2225" i="1"/>
  <c r="T2225" i="1"/>
  <c r="S2225" i="1"/>
  <c r="R2225" i="1"/>
  <c r="Q2225" i="1"/>
  <c r="U2224" i="1"/>
  <c r="T2224" i="1"/>
  <c r="S2224" i="1"/>
  <c r="R2224" i="1"/>
  <c r="Q2224" i="1"/>
  <c r="U2223" i="1"/>
  <c r="T2223" i="1"/>
  <c r="S2223" i="1"/>
  <c r="R2223" i="1"/>
  <c r="Q2223" i="1"/>
  <c r="S2222" i="1"/>
  <c r="E714" i="5" s="1"/>
  <c r="R2222" i="1"/>
  <c r="D714" i="5" s="1"/>
  <c r="Q2222" i="1"/>
  <c r="C714" i="5" s="1"/>
  <c r="P2218" i="1"/>
  <c r="P2226" i="1" s="1"/>
  <c r="O2218" i="1"/>
  <c r="O2226" i="1" s="1"/>
  <c r="U2221" i="1"/>
  <c r="T2221" i="1"/>
  <c r="S2221" i="1"/>
  <c r="R2221" i="1"/>
  <c r="Q2221" i="1"/>
  <c r="U2220" i="1"/>
  <c r="T2220" i="1"/>
  <c r="S2220" i="1"/>
  <c r="R2220" i="1"/>
  <c r="Q2220" i="1"/>
  <c r="U2219" i="1"/>
  <c r="T2219" i="1"/>
  <c r="S2219" i="1"/>
  <c r="R2219" i="1"/>
  <c r="Q2219" i="1"/>
  <c r="N2218" i="1"/>
  <c r="N2226" i="1" s="1"/>
  <c r="M2218" i="1"/>
  <c r="M2226" i="1" s="1"/>
  <c r="L2218" i="1"/>
  <c r="L2226" i="1" s="1"/>
  <c r="U2217" i="1"/>
  <c r="G709" i="5" s="1"/>
  <c r="T2217" i="1"/>
  <c r="F709" i="5" s="1"/>
  <c r="S2217" i="1"/>
  <c r="E709" i="5" s="1"/>
  <c r="R2217" i="1"/>
  <c r="D709" i="5" s="1"/>
  <c r="Q2217" i="1"/>
  <c r="C709" i="5" s="1"/>
  <c r="F2217" i="1"/>
  <c r="U2213" i="1"/>
  <c r="T2213" i="1"/>
  <c r="S2213" i="1"/>
  <c r="R2213" i="1"/>
  <c r="Q2213" i="1"/>
  <c r="U2212" i="1"/>
  <c r="T2212" i="1"/>
  <c r="S2212" i="1"/>
  <c r="R2212" i="1"/>
  <c r="Q2212" i="1"/>
  <c r="U2211" i="1"/>
  <c r="T2211" i="1"/>
  <c r="S2211" i="1"/>
  <c r="R2211" i="1"/>
  <c r="Q2211" i="1"/>
  <c r="R2210" i="1"/>
  <c r="Q2210" i="1"/>
  <c r="P2210" i="1"/>
  <c r="U2210" i="1" s="1"/>
  <c r="O2210" i="1"/>
  <c r="T2210" i="1" s="1"/>
  <c r="N2210" i="1"/>
  <c r="N2206" i="1" s="1"/>
  <c r="N2214" i="1" s="1"/>
  <c r="U2209" i="1"/>
  <c r="T2209" i="1"/>
  <c r="S2209" i="1"/>
  <c r="R2209" i="1"/>
  <c r="Q2209" i="1"/>
  <c r="U2208" i="1"/>
  <c r="T2208" i="1"/>
  <c r="S2208" i="1"/>
  <c r="R2208" i="1"/>
  <c r="Q2208" i="1"/>
  <c r="U2207" i="1"/>
  <c r="T2207" i="1"/>
  <c r="S2207" i="1"/>
  <c r="R2207" i="1"/>
  <c r="Q2207" i="1"/>
  <c r="M2206" i="1"/>
  <c r="M2214" i="1" s="1"/>
  <c r="L2206" i="1"/>
  <c r="L2214" i="1" s="1"/>
  <c r="U2205" i="1"/>
  <c r="T2205" i="1"/>
  <c r="S2205" i="1"/>
  <c r="R2205" i="1"/>
  <c r="Q2205" i="1"/>
  <c r="F2205" i="1"/>
  <c r="U2203" i="1"/>
  <c r="T2203" i="1"/>
  <c r="S2203" i="1"/>
  <c r="R2203" i="1"/>
  <c r="Q2203" i="1"/>
  <c r="U2202" i="1"/>
  <c r="T2202" i="1"/>
  <c r="S2202" i="1"/>
  <c r="R2202" i="1"/>
  <c r="Q2202" i="1"/>
  <c r="U2201" i="1"/>
  <c r="T2201" i="1"/>
  <c r="S2201" i="1"/>
  <c r="R2201" i="1"/>
  <c r="Q2201" i="1"/>
  <c r="U2200" i="1"/>
  <c r="T2200" i="1"/>
  <c r="S2200" i="1"/>
  <c r="R2200" i="1"/>
  <c r="Q2200" i="1"/>
  <c r="U2199" i="1"/>
  <c r="T2199" i="1"/>
  <c r="S2199" i="1"/>
  <c r="R2199" i="1"/>
  <c r="Q2199" i="1"/>
  <c r="U2198" i="1"/>
  <c r="T2198" i="1"/>
  <c r="S2198" i="1"/>
  <c r="R2198" i="1"/>
  <c r="Q2198" i="1"/>
  <c r="U2197" i="1"/>
  <c r="T2197" i="1"/>
  <c r="S2197" i="1"/>
  <c r="R2197" i="1"/>
  <c r="Q2197" i="1"/>
  <c r="P2196" i="1"/>
  <c r="P2204" i="1" s="1"/>
  <c r="O2196" i="1"/>
  <c r="O2204" i="1" s="1"/>
  <c r="N2196" i="1"/>
  <c r="N2204" i="1" s="1"/>
  <c r="M2204" i="1"/>
  <c r="L2196" i="1"/>
  <c r="L2204" i="1" s="1"/>
  <c r="U2195" i="1"/>
  <c r="T2195" i="1"/>
  <c r="S2195" i="1"/>
  <c r="R2195" i="1"/>
  <c r="Q2195" i="1"/>
  <c r="F2195" i="1"/>
  <c r="P2186" i="1"/>
  <c r="P2194" i="1" s="1"/>
  <c r="O2186" i="1"/>
  <c r="O2194" i="1" s="1"/>
  <c r="N2186" i="1"/>
  <c r="N2194" i="1" s="1"/>
  <c r="M2186" i="1"/>
  <c r="M2194" i="1" s="1"/>
  <c r="L2186" i="1"/>
  <c r="L2194" i="1" s="1"/>
  <c r="F2185" i="1"/>
  <c r="P2176" i="1"/>
  <c r="P2184" i="1" s="1"/>
  <c r="O2176" i="1"/>
  <c r="O2184" i="1" s="1"/>
  <c r="N2176" i="1"/>
  <c r="N2184" i="1" s="1"/>
  <c r="M2176" i="1"/>
  <c r="M2184" i="1" s="1"/>
  <c r="L2176" i="1"/>
  <c r="L2184" i="1" s="1"/>
  <c r="F2175" i="1"/>
  <c r="U2173" i="1"/>
  <c r="T2173" i="1"/>
  <c r="S2173" i="1"/>
  <c r="R2173" i="1"/>
  <c r="Q2173" i="1"/>
  <c r="U2172" i="1"/>
  <c r="T2172" i="1"/>
  <c r="S2172" i="1"/>
  <c r="R2172" i="1"/>
  <c r="Q2172" i="1"/>
  <c r="U2171" i="1"/>
  <c r="T2171" i="1"/>
  <c r="S2171" i="1"/>
  <c r="R2171" i="1"/>
  <c r="L2166" i="1"/>
  <c r="L2174" i="1" s="1"/>
  <c r="U2170" i="1"/>
  <c r="T2170" i="1"/>
  <c r="S2170" i="1"/>
  <c r="R2170" i="1"/>
  <c r="Q2170" i="1"/>
  <c r="U2169" i="1"/>
  <c r="T2169" i="1"/>
  <c r="S2169" i="1"/>
  <c r="R2169" i="1"/>
  <c r="Q2169" i="1"/>
  <c r="U2168" i="1"/>
  <c r="T2168" i="1"/>
  <c r="S2168" i="1"/>
  <c r="R2168" i="1"/>
  <c r="Q2168" i="1"/>
  <c r="U2167" i="1"/>
  <c r="T2167" i="1"/>
  <c r="S2167" i="1"/>
  <c r="R2167" i="1"/>
  <c r="Q2167" i="1"/>
  <c r="P2166" i="1"/>
  <c r="P2174" i="1" s="1"/>
  <c r="O2166" i="1"/>
  <c r="O2174" i="1" s="1"/>
  <c r="U2165" i="1"/>
  <c r="T2165" i="1"/>
  <c r="S2165" i="1"/>
  <c r="R2165" i="1"/>
  <c r="Q2165" i="1"/>
  <c r="F2165" i="1"/>
  <c r="U2162" i="1"/>
  <c r="T2162" i="1"/>
  <c r="S2162" i="1"/>
  <c r="R2162" i="1"/>
  <c r="Q2162" i="1"/>
  <c r="U2161" i="1"/>
  <c r="T2161" i="1"/>
  <c r="S2161" i="1"/>
  <c r="R2161" i="1"/>
  <c r="Q2161" i="1"/>
  <c r="U2160" i="1"/>
  <c r="T2160" i="1"/>
  <c r="S2160" i="1"/>
  <c r="R2160" i="1"/>
  <c r="Q2160" i="1"/>
  <c r="U2159" i="1"/>
  <c r="T2159" i="1"/>
  <c r="S2159" i="1"/>
  <c r="R2159" i="1"/>
  <c r="Q2159" i="1"/>
  <c r="U2158" i="1"/>
  <c r="T2158" i="1"/>
  <c r="S2158" i="1"/>
  <c r="R2158" i="1"/>
  <c r="Q2158" i="1"/>
  <c r="U2157" i="1"/>
  <c r="T2157" i="1"/>
  <c r="S2157" i="1"/>
  <c r="R2157" i="1"/>
  <c r="Q2157" i="1"/>
  <c r="U2156" i="1"/>
  <c r="T2156" i="1"/>
  <c r="S2156" i="1"/>
  <c r="R2156" i="1"/>
  <c r="Q2156" i="1"/>
  <c r="P2155" i="1"/>
  <c r="P2163" i="1" s="1"/>
  <c r="O2155" i="1"/>
  <c r="O2163" i="1" s="1"/>
  <c r="N2155" i="1"/>
  <c r="N2163" i="1" s="1"/>
  <c r="M2155" i="1"/>
  <c r="M2163" i="1" s="1"/>
  <c r="L2155" i="1"/>
  <c r="L2163" i="1" s="1"/>
  <c r="U2154" i="1"/>
  <c r="T2154" i="1"/>
  <c r="S2154" i="1"/>
  <c r="R2154" i="1"/>
  <c r="Q2154" i="1"/>
  <c r="F2154" i="1"/>
  <c r="U2152" i="1"/>
  <c r="G684" i="5" s="1"/>
  <c r="T2152" i="1"/>
  <c r="S2152" i="1"/>
  <c r="R2152" i="1"/>
  <c r="D684" i="5" s="1"/>
  <c r="Q2152" i="1"/>
  <c r="C684" i="5" s="1"/>
  <c r="U2151" i="1"/>
  <c r="T2151" i="1"/>
  <c r="S2151" i="1"/>
  <c r="E683" i="5" s="1"/>
  <c r="R2151" i="1"/>
  <c r="D683" i="5" s="1"/>
  <c r="Q2151" i="1"/>
  <c r="U2150" i="1"/>
  <c r="T2150" i="1"/>
  <c r="F682" i="5" s="1"/>
  <c r="N2150" i="1"/>
  <c r="N2145" i="1" s="1"/>
  <c r="N2153" i="1" s="1"/>
  <c r="R2150" i="1"/>
  <c r="L2150" i="1"/>
  <c r="Q2150" i="1" s="1"/>
  <c r="U2149" i="1"/>
  <c r="G681" i="5" s="1"/>
  <c r="T2149" i="1"/>
  <c r="F681" i="5" s="1"/>
  <c r="S2149" i="1"/>
  <c r="R2149" i="1"/>
  <c r="Q2149" i="1"/>
  <c r="C681" i="5" s="1"/>
  <c r="U2148" i="1"/>
  <c r="G680" i="5" s="1"/>
  <c r="T2148" i="1"/>
  <c r="S2148" i="1"/>
  <c r="R2148" i="1"/>
  <c r="D680" i="5" s="1"/>
  <c r="Q2148" i="1"/>
  <c r="C680" i="5" s="1"/>
  <c r="U2147" i="1"/>
  <c r="T2147" i="1"/>
  <c r="S2147" i="1"/>
  <c r="E679" i="5" s="1"/>
  <c r="R2147" i="1"/>
  <c r="D679" i="5" s="1"/>
  <c r="Q2147" i="1"/>
  <c r="U2146" i="1"/>
  <c r="T2146" i="1"/>
  <c r="F678" i="5" s="1"/>
  <c r="S2146" i="1"/>
  <c r="E678" i="5" s="1"/>
  <c r="R2146" i="1"/>
  <c r="Q2146" i="1"/>
  <c r="P2145" i="1"/>
  <c r="P2153" i="1" s="1"/>
  <c r="O2145" i="1"/>
  <c r="O2153" i="1" s="1"/>
  <c r="M2145" i="1"/>
  <c r="M2153" i="1" s="1"/>
  <c r="U2144" i="1"/>
  <c r="G676" i="5" s="1"/>
  <c r="T2144" i="1"/>
  <c r="F676" i="5" s="1"/>
  <c r="S2144" i="1"/>
  <c r="E676" i="5" s="1"/>
  <c r="R2144" i="1"/>
  <c r="D676" i="5" s="1"/>
  <c r="Q2144" i="1"/>
  <c r="C676" i="5" s="1"/>
  <c r="F2144" i="1"/>
  <c r="F2143" i="1"/>
  <c r="F683" i="5" l="1"/>
  <c r="C678" i="5"/>
  <c r="G678" i="5"/>
  <c r="F679" i="5"/>
  <c r="E680" i="5"/>
  <c r="D681" i="5"/>
  <c r="C682" i="5"/>
  <c r="G682" i="5"/>
  <c r="E684" i="5"/>
  <c r="D678" i="5"/>
  <c r="C679" i="5"/>
  <c r="G679" i="5"/>
  <c r="F680" i="5"/>
  <c r="E681" i="5"/>
  <c r="D682" i="5"/>
  <c r="C683" i="5"/>
  <c r="G683" i="5"/>
  <c r="F684" i="5"/>
  <c r="H1223" i="1"/>
  <c r="G56" i="4"/>
  <c r="H41" i="4"/>
  <c r="G42" i="4" s="1"/>
  <c r="H42" i="4" s="1"/>
  <c r="H43" i="4" s="1"/>
  <c r="H1264" i="1" s="1"/>
  <c r="G16" i="4"/>
  <c r="H1396" i="1"/>
  <c r="C163" i="4"/>
  <c r="E163" i="4" s="1"/>
  <c r="E164" i="4" s="1"/>
  <c r="C157" i="4"/>
  <c r="E157" i="4" s="1"/>
  <c r="E158" i="4" s="1"/>
  <c r="H1356" i="1"/>
  <c r="H1151" i="1"/>
  <c r="S1148" i="1" s="1"/>
  <c r="E370" i="5" s="1"/>
  <c r="H29" i="4"/>
  <c r="H71" i="1"/>
  <c r="C200" i="4"/>
  <c r="H2034" i="1"/>
  <c r="H340" i="1"/>
  <c r="H1655" i="1"/>
  <c r="H246" i="1"/>
  <c r="C389" i="4"/>
  <c r="F389" i="4" s="1"/>
  <c r="H2097" i="1"/>
  <c r="H1376" i="1"/>
  <c r="H1625" i="1"/>
  <c r="H1635" i="1"/>
  <c r="H402" i="1"/>
  <c r="C310" i="4"/>
  <c r="E310" i="4" s="1"/>
  <c r="E311" i="4" s="1"/>
  <c r="H1120" i="1" s="1"/>
  <c r="S2288" i="1"/>
  <c r="S2278" i="1"/>
  <c r="U2288" i="1"/>
  <c r="G740" i="5" s="1"/>
  <c r="U2278" i="1"/>
  <c r="G72" i="3" s="1"/>
  <c r="T2288" i="1"/>
  <c r="T2278" i="1"/>
  <c r="C387" i="4"/>
  <c r="D387" i="4" s="1"/>
  <c r="D390" i="4" s="1"/>
  <c r="H1554" i="1"/>
  <c r="H1574" i="1"/>
  <c r="H350" i="1"/>
  <c r="H442" i="1"/>
  <c r="F711" i="5"/>
  <c r="E712" i="5"/>
  <c r="D713" i="5"/>
  <c r="F715" i="5"/>
  <c r="E716" i="5"/>
  <c r="D717" i="5"/>
  <c r="G387" i="4"/>
  <c r="G390" i="4" s="1"/>
  <c r="H2325" i="1"/>
  <c r="Q2327" i="1" s="1"/>
  <c r="C749" i="5" s="1"/>
  <c r="E711" i="5"/>
  <c r="H92" i="1"/>
  <c r="H152" i="1"/>
  <c r="R2278" i="1"/>
  <c r="D72" i="3" s="1"/>
  <c r="C711" i="5"/>
  <c r="G711" i="5"/>
  <c r="F712" i="5"/>
  <c r="E713" i="5"/>
  <c r="C715" i="5"/>
  <c r="G715" i="5"/>
  <c r="F716" i="5"/>
  <c r="E717" i="5"/>
  <c r="R2298" i="1"/>
  <c r="D740" i="5" s="1"/>
  <c r="D712" i="5"/>
  <c r="C713" i="5"/>
  <c r="G713" i="5"/>
  <c r="E715" i="5"/>
  <c r="D716" i="5"/>
  <c r="C717" i="5"/>
  <c r="G717" i="5"/>
  <c r="D711" i="5"/>
  <c r="C712" i="5"/>
  <c r="G712" i="5"/>
  <c r="F713" i="5"/>
  <c r="D715" i="5"/>
  <c r="C716" i="5"/>
  <c r="G716" i="5"/>
  <c r="F717" i="5"/>
  <c r="G732" i="5"/>
  <c r="Q2319" i="1"/>
  <c r="H735" i="5"/>
  <c r="H739" i="5"/>
  <c r="R2319" i="1"/>
  <c r="F72" i="3"/>
  <c r="H733" i="5"/>
  <c r="H734" i="5"/>
  <c r="H731" i="5"/>
  <c r="H736" i="5"/>
  <c r="H738" i="5"/>
  <c r="D732" i="5"/>
  <c r="C732" i="5"/>
  <c r="H737" i="5"/>
  <c r="S2298" i="1"/>
  <c r="E732" i="5"/>
  <c r="T2298" i="1"/>
  <c r="F732" i="5"/>
  <c r="R2247" i="1"/>
  <c r="U2247" i="1"/>
  <c r="S2247" i="1"/>
  <c r="T1278" i="1"/>
  <c r="V2280" i="1"/>
  <c r="A67" i="3"/>
  <c r="A675" i="5"/>
  <c r="V2300" i="1"/>
  <c r="H1335" i="1"/>
  <c r="H1294" i="1"/>
  <c r="H1427" i="1"/>
  <c r="H2180" i="1"/>
  <c r="S2183" i="1" s="1"/>
  <c r="V1280" i="1"/>
  <c r="Q1288" i="1"/>
  <c r="V1288" i="1" s="1"/>
  <c r="V1303" i="1"/>
  <c r="M2166" i="1"/>
  <c r="M2174" i="1" s="1"/>
  <c r="V1306" i="1"/>
  <c r="V1308" i="1"/>
  <c r="S1301" i="1"/>
  <c r="V1300" i="1"/>
  <c r="U1301" i="1"/>
  <c r="R1301" i="1"/>
  <c r="V1307" i="1"/>
  <c r="Q1301" i="1"/>
  <c r="V1302" i="1"/>
  <c r="T1301" i="1"/>
  <c r="V1305" i="1"/>
  <c r="V1304" i="1"/>
  <c r="V1325" i="1"/>
  <c r="V1324" i="1"/>
  <c r="V1326" i="1"/>
  <c r="V1320" i="1"/>
  <c r="V1328" i="1"/>
  <c r="V1188" i="1"/>
  <c r="U1321" i="1"/>
  <c r="U1329" i="1" s="1"/>
  <c r="V1323" i="1"/>
  <c r="T1321" i="1"/>
  <c r="T1329" i="1" s="1"/>
  <c r="S1321" i="1"/>
  <c r="S1329" i="1" s="1"/>
  <c r="R1321" i="1"/>
  <c r="R1329" i="1" s="1"/>
  <c r="V1327" i="1"/>
  <c r="V1322" i="1"/>
  <c r="Q1321" i="1"/>
  <c r="Q1329" i="1" s="1"/>
  <c r="V1194" i="1"/>
  <c r="V1190" i="1"/>
  <c r="V1192" i="1"/>
  <c r="V1191" i="1"/>
  <c r="V2248" i="1"/>
  <c r="V1195" i="1"/>
  <c r="V1196" i="1"/>
  <c r="V2253" i="1"/>
  <c r="V2252" i="1"/>
  <c r="V2256" i="1"/>
  <c r="V2250" i="1"/>
  <c r="V2255" i="1"/>
  <c r="S2249" i="1"/>
  <c r="S2257" i="1" s="1"/>
  <c r="V2254" i="1"/>
  <c r="U2249" i="1"/>
  <c r="U2257" i="1" s="1"/>
  <c r="T2249" i="1"/>
  <c r="T2257" i="1" s="1"/>
  <c r="Q2249" i="1"/>
  <c r="Q2257" i="1" s="1"/>
  <c r="V2251" i="1"/>
  <c r="R2249" i="1"/>
  <c r="R2257" i="1" s="1"/>
  <c r="Q2218" i="1"/>
  <c r="Q2278" i="1"/>
  <c r="C730" i="5" s="1"/>
  <c r="Q2288" i="1"/>
  <c r="Q2155" i="1"/>
  <c r="Q2163" i="1" s="1"/>
  <c r="R2218" i="1"/>
  <c r="Q2308" i="1"/>
  <c r="V2308" i="1" s="1"/>
  <c r="V2269" i="1"/>
  <c r="Q2277" i="1"/>
  <c r="V2277" i="1" s="1"/>
  <c r="O2206" i="1"/>
  <c r="O2214" i="1" s="1"/>
  <c r="V2173" i="1"/>
  <c r="R2196" i="1"/>
  <c r="R2204" i="1" s="1"/>
  <c r="V2198" i="1"/>
  <c r="V2221" i="1"/>
  <c r="Q2228" i="1"/>
  <c r="Q2236" i="1" s="1"/>
  <c r="U2228" i="1"/>
  <c r="U2236" i="1" s="1"/>
  <c r="T2228" i="1"/>
  <c r="T2236" i="1" s="1"/>
  <c r="V2290" i="1"/>
  <c r="Q2298" i="1"/>
  <c r="V2239" i="1"/>
  <c r="Q2247" i="1"/>
  <c r="V2311" i="1"/>
  <c r="T2247" i="1"/>
  <c r="U2319" i="1"/>
  <c r="V2147" i="1"/>
  <c r="U2155" i="1"/>
  <c r="S2155" i="1"/>
  <c r="V2167" i="1"/>
  <c r="V2223" i="1"/>
  <c r="R2228" i="1"/>
  <c r="R2236" i="1" s="1"/>
  <c r="V2233" i="1"/>
  <c r="R2166" i="1"/>
  <c r="V2213" i="1"/>
  <c r="V2219" i="1"/>
  <c r="V2220" i="1"/>
  <c r="S2228" i="1"/>
  <c r="S2236" i="1" s="1"/>
  <c r="T2155" i="1"/>
  <c r="V2159" i="1"/>
  <c r="U2166" i="1"/>
  <c r="S2210" i="1"/>
  <c r="S2206" i="1" s="1"/>
  <c r="V2230" i="1"/>
  <c r="V2234" i="1"/>
  <c r="U2196" i="1"/>
  <c r="U2204" i="1" s="1"/>
  <c r="S2218" i="1"/>
  <c r="S2216" i="1" s="1"/>
  <c r="V2224" i="1"/>
  <c r="V2225" i="1"/>
  <c r="V2231" i="1"/>
  <c r="V2232" i="1"/>
  <c r="V2235" i="1"/>
  <c r="V2229" i="1"/>
  <c r="T2222" i="1"/>
  <c r="F714" i="5" s="1"/>
  <c r="V2217" i="1"/>
  <c r="U2222" i="1"/>
  <c r="G714" i="5" s="1"/>
  <c r="V2227" i="1"/>
  <c r="R2145" i="1"/>
  <c r="V2200" i="1"/>
  <c r="V2202" i="1"/>
  <c r="V2211" i="1"/>
  <c r="V2212" i="1"/>
  <c r="T2145" i="1"/>
  <c r="T2166" i="1"/>
  <c r="R2206" i="1"/>
  <c r="T2206" i="1"/>
  <c r="T2214" i="1" s="1"/>
  <c r="V2148" i="1"/>
  <c r="R2155" i="1"/>
  <c r="V2160" i="1"/>
  <c r="V2161" i="1"/>
  <c r="V2165" i="1"/>
  <c r="V2168" i="1"/>
  <c r="Q2196" i="1"/>
  <c r="Q2204" i="1" s="1"/>
  <c r="S2196" i="1"/>
  <c r="S2204" i="1" s="1"/>
  <c r="V2199" i="1"/>
  <c r="V2201" i="1"/>
  <c r="V2208" i="1"/>
  <c r="V2209" i="1"/>
  <c r="V2149" i="1"/>
  <c r="V2151" i="1"/>
  <c r="H683" i="5" s="1"/>
  <c r="V2157" i="1"/>
  <c r="V2169" i="1"/>
  <c r="S2166" i="1"/>
  <c r="U2145" i="1"/>
  <c r="V2152" i="1"/>
  <c r="H684" i="5" s="1"/>
  <c r="V2158" i="1"/>
  <c r="V2162" i="1"/>
  <c r="V2170" i="1"/>
  <c r="V2172" i="1"/>
  <c r="V2197" i="1"/>
  <c r="T2196" i="1"/>
  <c r="T2204" i="1" s="1"/>
  <c r="V2203" i="1"/>
  <c r="Q2206" i="1"/>
  <c r="U2206" i="1"/>
  <c r="V2195" i="1"/>
  <c r="V2205" i="1"/>
  <c r="N2166" i="1"/>
  <c r="N2174" i="1" s="1"/>
  <c r="Q2171" i="1"/>
  <c r="V2171" i="1" s="1"/>
  <c r="P2206" i="1"/>
  <c r="P2214" i="1" s="1"/>
  <c r="V2207" i="1"/>
  <c r="Q2145" i="1"/>
  <c r="V2144" i="1"/>
  <c r="H676" i="5" s="1"/>
  <c r="V2154" i="1"/>
  <c r="L2145" i="1"/>
  <c r="L2153" i="1" s="1"/>
  <c r="V2146" i="1"/>
  <c r="H678" i="5" s="1"/>
  <c r="S2150" i="1"/>
  <c r="E682" i="5" s="1"/>
  <c r="V2156" i="1"/>
  <c r="H679" i="5" l="1"/>
  <c r="C677" i="5"/>
  <c r="Q2143" i="1"/>
  <c r="G677" i="5"/>
  <c r="U2143" i="1"/>
  <c r="H681" i="5"/>
  <c r="H680" i="5"/>
  <c r="T2143" i="1"/>
  <c r="F677" i="5"/>
  <c r="R2143" i="1"/>
  <c r="D677" i="5"/>
  <c r="H380" i="1"/>
  <c r="U383" i="1" s="1"/>
  <c r="U377" i="1"/>
  <c r="R381" i="1"/>
  <c r="Q378" i="1"/>
  <c r="S379" i="1"/>
  <c r="Q375" i="1"/>
  <c r="R382" i="1"/>
  <c r="U378" i="1"/>
  <c r="R379" i="1"/>
  <c r="T375" i="1"/>
  <c r="F387" i="4"/>
  <c r="F390" i="4" s="1"/>
  <c r="E387" i="4"/>
  <c r="E390" i="4" s="1"/>
  <c r="H214" i="1"/>
  <c r="H2107" i="1"/>
  <c r="H2137" i="1"/>
  <c r="H387" i="4"/>
  <c r="H390" i="4" s="1"/>
  <c r="H1450" i="1"/>
  <c r="H2263" i="1"/>
  <c r="R2265" i="1" s="1"/>
  <c r="D727" i="5" s="1"/>
  <c r="H2190" i="1"/>
  <c r="S2193" i="1" s="1"/>
  <c r="E695" i="5" s="1"/>
  <c r="T1650" i="1"/>
  <c r="S1654" i="1"/>
  <c r="T1657" i="1"/>
  <c r="Q1656" i="1"/>
  <c r="Q1652" i="1"/>
  <c r="S1657" i="1"/>
  <c r="U1655" i="1"/>
  <c r="Q1650" i="1"/>
  <c r="R1658" i="1"/>
  <c r="R1657" i="1"/>
  <c r="U1652" i="1"/>
  <c r="R1655" i="1"/>
  <c r="U1650" i="1"/>
  <c r="S1650" i="1"/>
  <c r="T1658" i="1"/>
  <c r="U1653" i="1"/>
  <c r="R1656" i="1"/>
  <c r="S1655" i="1"/>
  <c r="R1650" i="1"/>
  <c r="U1657" i="1"/>
  <c r="Q1655" i="1"/>
  <c r="T1656" i="1"/>
  <c r="U1654" i="1"/>
  <c r="S1652" i="1"/>
  <c r="R1652" i="1"/>
  <c r="S1656" i="1"/>
  <c r="T1655" i="1"/>
  <c r="S1653" i="1"/>
  <c r="R1654" i="1"/>
  <c r="Q1654" i="1"/>
  <c r="S1658" i="1"/>
  <c r="R1653" i="1"/>
  <c r="U1658" i="1"/>
  <c r="Q1657" i="1"/>
  <c r="T1654" i="1"/>
  <c r="U1656" i="1"/>
  <c r="Q1653" i="1"/>
  <c r="T1653" i="1"/>
  <c r="T1652" i="1"/>
  <c r="Q1658" i="1"/>
  <c r="G71" i="4"/>
  <c r="H71" i="4" s="1"/>
  <c r="H72" i="4" s="1"/>
  <c r="G65" i="4"/>
  <c r="H65" i="4" s="1"/>
  <c r="H66" i="4" s="1"/>
  <c r="H56" i="4"/>
  <c r="G57" i="4" s="1"/>
  <c r="H57" i="4" s="1"/>
  <c r="H58" i="4" s="1"/>
  <c r="Q1117" i="1"/>
  <c r="T1121" i="1"/>
  <c r="U1119" i="1"/>
  <c r="S1117" i="1"/>
  <c r="Q1118" i="1"/>
  <c r="R1123" i="1"/>
  <c r="R1118" i="1"/>
  <c r="T1119" i="1"/>
  <c r="R1121" i="1"/>
  <c r="S1122" i="1"/>
  <c r="U1115" i="1"/>
  <c r="S1115" i="1"/>
  <c r="U1118" i="1"/>
  <c r="T1122" i="1"/>
  <c r="R1122" i="1"/>
  <c r="Q1119" i="1"/>
  <c r="T1117" i="1"/>
  <c r="S1118" i="1"/>
  <c r="T1123" i="1"/>
  <c r="R1119" i="1"/>
  <c r="U1122" i="1"/>
  <c r="U1121" i="1"/>
  <c r="Q1123" i="1"/>
  <c r="Q1115" i="1"/>
  <c r="U1123" i="1"/>
  <c r="R1115" i="1"/>
  <c r="T1118" i="1"/>
  <c r="T1115" i="1"/>
  <c r="Q1121" i="1"/>
  <c r="U1117" i="1"/>
  <c r="S1123" i="1"/>
  <c r="R1117" i="1"/>
  <c r="Q1122" i="1"/>
  <c r="S1119" i="1"/>
  <c r="S1121" i="1"/>
  <c r="U1379" i="1"/>
  <c r="T1371" i="1"/>
  <c r="T1373" i="1"/>
  <c r="S1379" i="1"/>
  <c r="R1376" i="1"/>
  <c r="S1376" i="1"/>
  <c r="U1374" i="1"/>
  <c r="R1374" i="1"/>
  <c r="U1371" i="1"/>
  <c r="T1377" i="1"/>
  <c r="Q1377" i="1"/>
  <c r="R1379" i="1"/>
  <c r="Q1378" i="1"/>
  <c r="Q1375" i="1"/>
  <c r="T1374" i="1"/>
  <c r="T1376" i="1"/>
  <c r="Q1376" i="1"/>
  <c r="Q1373" i="1"/>
  <c r="T1379" i="1"/>
  <c r="S1378" i="1"/>
  <c r="Q1374" i="1"/>
  <c r="S1373" i="1"/>
  <c r="R1377" i="1"/>
  <c r="U1376" i="1"/>
  <c r="U1373" i="1"/>
  <c r="S1371" i="1"/>
  <c r="Q1379" i="1"/>
  <c r="T1378" i="1"/>
  <c r="S1374" i="1"/>
  <c r="S1375" i="1"/>
  <c r="R1371" i="1"/>
  <c r="U1377" i="1"/>
  <c r="U1378" i="1"/>
  <c r="R1375" i="1"/>
  <c r="S1377" i="1"/>
  <c r="R1373" i="1"/>
  <c r="T1375" i="1"/>
  <c r="R1378" i="1"/>
  <c r="Q1371" i="1"/>
  <c r="U1375" i="1"/>
  <c r="S243" i="1"/>
  <c r="R245" i="1"/>
  <c r="R249" i="1"/>
  <c r="T246" i="1"/>
  <c r="U249" i="1"/>
  <c r="T243" i="1"/>
  <c r="Q243" i="1"/>
  <c r="S248" i="1"/>
  <c r="R247" i="1"/>
  <c r="S249" i="1"/>
  <c r="R248" i="1"/>
  <c r="S246" i="1"/>
  <c r="S241" i="1"/>
  <c r="S247" i="1"/>
  <c r="T249" i="1"/>
  <c r="Q247" i="1"/>
  <c r="T244" i="1"/>
  <c r="U241" i="1"/>
  <c r="R241" i="1"/>
  <c r="U247" i="1"/>
  <c r="R243" i="1"/>
  <c r="U244" i="1"/>
  <c r="U248" i="1"/>
  <c r="U245" i="1"/>
  <c r="Q246" i="1"/>
  <c r="U243" i="1"/>
  <c r="T241" i="1"/>
  <c r="S244" i="1"/>
  <c r="Q248" i="1"/>
  <c r="Q245" i="1"/>
  <c r="T248" i="1"/>
  <c r="Q241" i="1"/>
  <c r="S245" i="1"/>
  <c r="T247" i="1"/>
  <c r="U246" i="1"/>
  <c r="R244" i="1"/>
  <c r="Q249" i="1"/>
  <c r="T245" i="1"/>
  <c r="Q244" i="1"/>
  <c r="R246" i="1"/>
  <c r="S1355" i="1"/>
  <c r="U1354" i="1"/>
  <c r="S1353" i="1"/>
  <c r="T1351" i="1"/>
  <c r="U1359" i="1"/>
  <c r="Q1354" i="1"/>
  <c r="T1356" i="1"/>
  <c r="T1358" i="1"/>
  <c r="Q1356" i="1"/>
  <c r="U1358" i="1"/>
  <c r="Q1353" i="1"/>
  <c r="S1354" i="1"/>
  <c r="U1355" i="1"/>
  <c r="T1357" i="1"/>
  <c r="T1359" i="1"/>
  <c r="U1351" i="1"/>
  <c r="R1354" i="1"/>
  <c r="S1357" i="1"/>
  <c r="R1353" i="1"/>
  <c r="R1355" i="1"/>
  <c r="Q1357" i="1"/>
  <c r="S1358" i="1"/>
  <c r="U1356" i="1"/>
  <c r="R1357" i="1"/>
  <c r="R1359" i="1"/>
  <c r="Q1358" i="1"/>
  <c r="R1351" i="1"/>
  <c r="U1353" i="1"/>
  <c r="Q1355" i="1"/>
  <c r="R1356" i="1"/>
  <c r="R1358" i="1"/>
  <c r="Q1351" i="1"/>
  <c r="T1353" i="1"/>
  <c r="T1355" i="1"/>
  <c r="S1359" i="1"/>
  <c r="S1351" i="1"/>
  <c r="T1354" i="1"/>
  <c r="S1356" i="1"/>
  <c r="U1357" i="1"/>
  <c r="Q1359" i="1"/>
  <c r="T1398" i="1"/>
  <c r="T1395" i="1"/>
  <c r="R1395" i="1"/>
  <c r="U1394" i="1"/>
  <c r="S1394" i="1"/>
  <c r="Q1394" i="1"/>
  <c r="T1393" i="1"/>
  <c r="R1393" i="1"/>
  <c r="T1391" i="1"/>
  <c r="R1391" i="1"/>
  <c r="R1399" i="1"/>
  <c r="R1397" i="1"/>
  <c r="U1399" i="1"/>
  <c r="S1395" i="1"/>
  <c r="Q1395" i="1"/>
  <c r="T1394" i="1"/>
  <c r="R1394" i="1"/>
  <c r="U1393" i="1"/>
  <c r="S1393" i="1"/>
  <c r="Q1393" i="1"/>
  <c r="U1391" i="1"/>
  <c r="S1391" i="1"/>
  <c r="Q1391" i="1"/>
  <c r="T1396" i="1"/>
  <c r="S1396" i="1"/>
  <c r="Q1396" i="1"/>
  <c r="Q1398" i="1"/>
  <c r="S1399" i="1"/>
  <c r="R1396" i="1"/>
  <c r="R1398" i="1"/>
  <c r="U1395" i="1"/>
  <c r="U1397" i="1"/>
  <c r="Q1399" i="1"/>
  <c r="U1396" i="1"/>
  <c r="S1397" i="1"/>
  <c r="U1398" i="1"/>
  <c r="T1397" i="1"/>
  <c r="T1399" i="1"/>
  <c r="Q1397" i="1"/>
  <c r="S1398" i="1"/>
  <c r="H44" i="4"/>
  <c r="H1523" i="1"/>
  <c r="R2216" i="1"/>
  <c r="V2288" i="1"/>
  <c r="E740" i="5"/>
  <c r="S2174" i="1"/>
  <c r="R2174" i="1"/>
  <c r="F740" i="5"/>
  <c r="S2163" i="1"/>
  <c r="T2163" i="1"/>
  <c r="R2163" i="1"/>
  <c r="U2163" i="1"/>
  <c r="R1571" i="1"/>
  <c r="R1572" i="1"/>
  <c r="R1573" i="1"/>
  <c r="R1574" i="1"/>
  <c r="R1575" i="1"/>
  <c r="R1576" i="1"/>
  <c r="R1577" i="1"/>
  <c r="Q1572" i="1"/>
  <c r="Q1576" i="1"/>
  <c r="S1569" i="1"/>
  <c r="T1573" i="1"/>
  <c r="Q1571" i="1"/>
  <c r="S1571" i="1"/>
  <c r="S1572" i="1"/>
  <c r="S1573" i="1"/>
  <c r="S1574" i="1"/>
  <c r="S1575" i="1"/>
  <c r="S1576" i="1"/>
  <c r="S1577" i="1"/>
  <c r="Q1573" i="1"/>
  <c r="Q1577" i="1"/>
  <c r="T1569" i="1"/>
  <c r="T1572" i="1"/>
  <c r="T1574" i="1"/>
  <c r="T1575" i="1"/>
  <c r="T1576" i="1"/>
  <c r="T1577" i="1"/>
  <c r="Q1574" i="1"/>
  <c r="U1569" i="1"/>
  <c r="T1571" i="1"/>
  <c r="U1571" i="1"/>
  <c r="U1572" i="1"/>
  <c r="U1573" i="1"/>
  <c r="U1574" i="1"/>
  <c r="U1575" i="1"/>
  <c r="U1576" i="1"/>
  <c r="U1577" i="1"/>
  <c r="Q1575" i="1"/>
  <c r="Q1569" i="1"/>
  <c r="R1569" i="1"/>
  <c r="T1552" i="1"/>
  <c r="T1556" i="1"/>
  <c r="R1549" i="1"/>
  <c r="T1554" i="1"/>
  <c r="T1553" i="1"/>
  <c r="T1557" i="1"/>
  <c r="Q1554" i="1"/>
  <c r="T1551" i="1"/>
  <c r="T1555" i="1"/>
  <c r="Q1551" i="1"/>
  <c r="S1549" i="1"/>
  <c r="S1552" i="1"/>
  <c r="R1554" i="1"/>
  <c r="S1557" i="1"/>
  <c r="T1549" i="1"/>
  <c r="R1553" i="1"/>
  <c r="U1557" i="1"/>
  <c r="U1553" i="1"/>
  <c r="Q1553" i="1"/>
  <c r="R1551" i="1"/>
  <c r="S1555" i="1"/>
  <c r="Q1552" i="1"/>
  <c r="R1552" i="1"/>
  <c r="Q1549" i="1"/>
  <c r="U1556" i="1"/>
  <c r="U1555" i="1"/>
  <c r="S1554" i="1"/>
  <c r="R1557" i="1"/>
  <c r="Q1557" i="1"/>
  <c r="S1551" i="1"/>
  <c r="R1555" i="1"/>
  <c r="Q1555" i="1"/>
  <c r="U1554" i="1"/>
  <c r="U1552" i="1"/>
  <c r="S1556" i="1"/>
  <c r="Q1556" i="1"/>
  <c r="S1553" i="1"/>
  <c r="R1556" i="1"/>
  <c r="U1549" i="1"/>
  <c r="U1551" i="1"/>
  <c r="V2319" i="1"/>
  <c r="T2323" i="1"/>
  <c r="F745" i="5" s="1"/>
  <c r="Q2320" i="1"/>
  <c r="C742" i="5" s="1"/>
  <c r="T2328" i="1"/>
  <c r="F750" i="5" s="1"/>
  <c r="S2328" i="1"/>
  <c r="E750" i="5" s="1"/>
  <c r="S2322" i="1"/>
  <c r="E744" i="5" s="1"/>
  <c r="U2325" i="1"/>
  <c r="G747" i="5" s="1"/>
  <c r="Q2328" i="1"/>
  <c r="C750" i="5" s="1"/>
  <c r="Q2322" i="1"/>
  <c r="C744" i="5" s="1"/>
  <c r="S2326" i="1"/>
  <c r="E748" i="5" s="1"/>
  <c r="S2324" i="1"/>
  <c r="E746" i="5" s="1"/>
  <c r="T2322" i="1"/>
  <c r="F744" i="5" s="1"/>
  <c r="U2322" i="1"/>
  <c r="G744" i="5" s="1"/>
  <c r="S2320" i="1"/>
  <c r="E742" i="5" s="1"/>
  <c r="R2324" i="1"/>
  <c r="D746" i="5" s="1"/>
  <c r="U2320" i="1"/>
  <c r="G742" i="5" s="1"/>
  <c r="R2325" i="1"/>
  <c r="D747" i="5" s="1"/>
  <c r="U2326" i="1"/>
  <c r="G748" i="5" s="1"/>
  <c r="U2327" i="1"/>
  <c r="G749" i="5" s="1"/>
  <c r="T2320" i="1"/>
  <c r="F742" i="5" s="1"/>
  <c r="S1151" i="1"/>
  <c r="E373" i="5" s="1"/>
  <c r="U1151" i="1"/>
  <c r="G373" i="5" s="1"/>
  <c r="Q1146" i="1"/>
  <c r="C368" i="5" s="1"/>
  <c r="S1154" i="1"/>
  <c r="E376" i="5" s="1"/>
  <c r="Q1150" i="1"/>
  <c r="C372" i="5" s="1"/>
  <c r="R1148" i="1"/>
  <c r="D370" i="5" s="1"/>
  <c r="T1152" i="1"/>
  <c r="F374" i="5" s="1"/>
  <c r="Q1152" i="1"/>
  <c r="C374" i="5" s="1"/>
  <c r="T1153" i="1"/>
  <c r="F375" i="5" s="1"/>
  <c r="Q1153" i="1"/>
  <c r="C375" i="5" s="1"/>
  <c r="R2323" i="1"/>
  <c r="D745" i="5" s="1"/>
  <c r="Q2324" i="1"/>
  <c r="C746" i="5" s="1"/>
  <c r="T2324" i="1"/>
  <c r="F746" i="5" s="1"/>
  <c r="R2322" i="1"/>
  <c r="D744" i="5" s="1"/>
  <c r="Q2326" i="1"/>
  <c r="C748" i="5" s="1"/>
  <c r="T2327" i="1"/>
  <c r="F749" i="5" s="1"/>
  <c r="Q2323" i="1"/>
  <c r="C745" i="5" s="1"/>
  <c r="S2325" i="1"/>
  <c r="E747" i="5" s="1"/>
  <c r="U2324" i="1"/>
  <c r="G746" i="5" s="1"/>
  <c r="R2328" i="1"/>
  <c r="D750" i="5" s="1"/>
  <c r="R2326" i="1"/>
  <c r="D748" i="5" s="1"/>
  <c r="R2320" i="1"/>
  <c r="D742" i="5" s="1"/>
  <c r="U2328" i="1"/>
  <c r="G750" i="5" s="1"/>
  <c r="R2327" i="1"/>
  <c r="D749" i="5" s="1"/>
  <c r="T2326" i="1"/>
  <c r="F748" i="5" s="1"/>
  <c r="S2327" i="1"/>
  <c r="E749" i="5" s="1"/>
  <c r="S2323" i="1"/>
  <c r="E745" i="5" s="1"/>
  <c r="T2325" i="1"/>
  <c r="F747" i="5" s="1"/>
  <c r="Q2325" i="1"/>
  <c r="C747" i="5" s="1"/>
  <c r="U2323" i="1"/>
  <c r="G745" i="5" s="1"/>
  <c r="U1148" i="1"/>
  <c r="G370" i="5" s="1"/>
  <c r="Q1151" i="1"/>
  <c r="C373" i="5" s="1"/>
  <c r="S1153" i="1"/>
  <c r="E375" i="5" s="1"/>
  <c r="T1148" i="1"/>
  <c r="F370" i="5" s="1"/>
  <c r="R1154" i="1"/>
  <c r="D376" i="5" s="1"/>
  <c r="R1146" i="1"/>
  <c r="D368" i="5" s="1"/>
  <c r="S1150" i="1"/>
  <c r="E372" i="5" s="1"/>
  <c r="S1149" i="1"/>
  <c r="E371" i="5" s="1"/>
  <c r="S1152" i="1"/>
  <c r="E374" i="5" s="1"/>
  <c r="U1154" i="1"/>
  <c r="G376" i="5" s="1"/>
  <c r="R1153" i="1"/>
  <c r="D375" i="5" s="1"/>
  <c r="T1146" i="1"/>
  <c r="F368" i="5" s="1"/>
  <c r="U1150" i="1"/>
  <c r="G372" i="5" s="1"/>
  <c r="U1153" i="1"/>
  <c r="G375" i="5" s="1"/>
  <c r="T1149" i="1"/>
  <c r="F371" i="5" s="1"/>
  <c r="R1151" i="1"/>
  <c r="D373" i="5" s="1"/>
  <c r="R1150" i="1"/>
  <c r="D372" i="5" s="1"/>
  <c r="T1154" i="1"/>
  <c r="F376" i="5" s="1"/>
  <c r="Q1149" i="1"/>
  <c r="C371" i="5" s="1"/>
  <c r="T1151" i="1"/>
  <c r="F373" i="5" s="1"/>
  <c r="Q1154" i="1"/>
  <c r="C376" i="5" s="1"/>
  <c r="R1149" i="1"/>
  <c r="D371" i="5" s="1"/>
  <c r="S1146" i="1"/>
  <c r="E368" i="5" s="1"/>
  <c r="Q1148" i="1"/>
  <c r="C370" i="5" s="1"/>
  <c r="R1152" i="1"/>
  <c r="D374" i="5" s="1"/>
  <c r="U1152" i="1"/>
  <c r="G374" i="5" s="1"/>
  <c r="U1146" i="1"/>
  <c r="G368" i="5" s="1"/>
  <c r="U1149" i="1"/>
  <c r="G371" i="5" s="1"/>
  <c r="T1150" i="1"/>
  <c r="F372" i="5" s="1"/>
  <c r="G730" i="5"/>
  <c r="D730" i="5"/>
  <c r="H732" i="5"/>
  <c r="H715" i="5"/>
  <c r="F730" i="5"/>
  <c r="H716" i="5"/>
  <c r="H709" i="5"/>
  <c r="U2174" i="1"/>
  <c r="H712" i="5"/>
  <c r="R2226" i="1"/>
  <c r="D718" i="5" s="1"/>
  <c r="D710" i="5"/>
  <c r="S2145" i="1"/>
  <c r="H717" i="5"/>
  <c r="H711" i="5"/>
  <c r="H713" i="5"/>
  <c r="U2153" i="1"/>
  <c r="G685" i="5" s="1"/>
  <c r="T2174" i="1"/>
  <c r="S2226" i="1"/>
  <c r="E718" i="5" s="1"/>
  <c r="E710" i="5"/>
  <c r="Q2226" i="1"/>
  <c r="C718" i="5" s="1"/>
  <c r="C710" i="5"/>
  <c r="V2298" i="1"/>
  <c r="C740" i="5"/>
  <c r="Q2214" i="1"/>
  <c r="R2214" i="1"/>
  <c r="S2214" i="1"/>
  <c r="V1278" i="1"/>
  <c r="E72" i="3"/>
  <c r="E730" i="5"/>
  <c r="U1430" i="1"/>
  <c r="T1429" i="1"/>
  <c r="U1427" i="1"/>
  <c r="T1422" i="1"/>
  <c r="Q1427" i="1"/>
  <c r="S1430" i="1"/>
  <c r="Q1422" i="1"/>
  <c r="T1426" i="1"/>
  <c r="T1430" i="1"/>
  <c r="U1424" i="1"/>
  <c r="S1427" i="1"/>
  <c r="Q1430" i="1"/>
  <c r="T1425" i="1"/>
  <c r="R1428" i="1"/>
  <c r="S1422" i="1"/>
  <c r="R1430" i="1"/>
  <c r="Q1425" i="1"/>
  <c r="S1428" i="1"/>
  <c r="U1422" i="1"/>
  <c r="R1427" i="1"/>
  <c r="S1425" i="1"/>
  <c r="Q1428" i="1"/>
  <c r="R1424" i="1"/>
  <c r="S1424" i="1"/>
  <c r="S1426" i="1"/>
  <c r="Q1429" i="1"/>
  <c r="T1424" i="1"/>
  <c r="T1428" i="1"/>
  <c r="R1422" i="1"/>
  <c r="Q1426" i="1"/>
  <c r="U1428" i="1"/>
  <c r="U1425" i="1"/>
  <c r="R1426" i="1"/>
  <c r="T1427" i="1"/>
  <c r="U1429" i="1"/>
  <c r="R1425" i="1"/>
  <c r="R1429" i="1"/>
  <c r="Q1424" i="1"/>
  <c r="U1426" i="1"/>
  <c r="S1429" i="1"/>
  <c r="U1297" i="1"/>
  <c r="S1289" i="1"/>
  <c r="Q1293" i="1"/>
  <c r="S1291" i="1"/>
  <c r="T1296" i="1"/>
  <c r="Q1291" i="1"/>
  <c r="S1295" i="1"/>
  <c r="R1291" i="1"/>
  <c r="U1294" i="1"/>
  <c r="Q1296" i="1"/>
  <c r="Q1295" i="1"/>
  <c r="U1296" i="1"/>
  <c r="Q1289" i="1"/>
  <c r="T1292" i="1"/>
  <c r="U1292" i="1"/>
  <c r="T1295" i="1"/>
  <c r="T1291" i="1"/>
  <c r="R1292" i="1"/>
  <c r="R1295" i="1"/>
  <c r="U1291" i="1"/>
  <c r="R1297" i="1"/>
  <c r="R1293" i="1"/>
  <c r="U1293" i="1"/>
  <c r="T1289" i="1"/>
  <c r="S1292" i="1"/>
  <c r="T1294" i="1"/>
  <c r="S1294" i="1"/>
  <c r="U1289" i="1"/>
  <c r="S1293" i="1"/>
  <c r="R1289" i="1"/>
  <c r="T1293" i="1"/>
  <c r="Q1294" i="1"/>
  <c r="R1296" i="1"/>
  <c r="S1296" i="1"/>
  <c r="R1294" i="1"/>
  <c r="T1297" i="1"/>
  <c r="Q1297" i="1"/>
  <c r="Q1292" i="1"/>
  <c r="S1297" i="1"/>
  <c r="U1295" i="1"/>
  <c r="U1338" i="1"/>
  <c r="S1334" i="1"/>
  <c r="T1330" i="1"/>
  <c r="S1332" i="1"/>
  <c r="R1338" i="1"/>
  <c r="U1330" i="1"/>
  <c r="Q1335" i="1"/>
  <c r="U1337" i="1"/>
  <c r="U1332" i="1"/>
  <c r="T1333" i="1"/>
  <c r="R1337" i="1"/>
  <c r="S1337" i="1"/>
  <c r="R1333" i="1"/>
  <c r="Q1334" i="1"/>
  <c r="S1335" i="1"/>
  <c r="Q1333" i="1"/>
  <c r="T1335" i="1"/>
  <c r="T1332" i="1"/>
  <c r="U1335" i="1"/>
  <c r="S1338" i="1"/>
  <c r="S1336" i="1"/>
  <c r="R1330" i="1"/>
  <c r="T1338" i="1"/>
  <c r="S1330" i="1"/>
  <c r="Q1338" i="1"/>
  <c r="U1333" i="1"/>
  <c r="R1336" i="1"/>
  <c r="R1335" i="1"/>
  <c r="T1337" i="1"/>
  <c r="Q1330" i="1"/>
  <c r="T1334" i="1"/>
  <c r="Q1337" i="1"/>
  <c r="Q1332" i="1"/>
  <c r="U1334" i="1"/>
  <c r="R1332" i="1"/>
  <c r="Q1336" i="1"/>
  <c r="T1336" i="1"/>
  <c r="U1336" i="1"/>
  <c r="S1333" i="1"/>
  <c r="R1334" i="1"/>
  <c r="V2278" i="1"/>
  <c r="C72" i="3"/>
  <c r="R2183" i="1"/>
  <c r="R2179" i="1"/>
  <c r="Q2182" i="1"/>
  <c r="S2181" i="1"/>
  <c r="U2179" i="1"/>
  <c r="S2175" i="1"/>
  <c r="S2177" i="1"/>
  <c r="Q2175" i="1"/>
  <c r="Q2183" i="1"/>
  <c r="U2177" i="1"/>
  <c r="T2179" i="1"/>
  <c r="T2180" i="1"/>
  <c r="S2182" i="1"/>
  <c r="T2183" i="1"/>
  <c r="Q2177" i="1"/>
  <c r="R2178" i="1"/>
  <c r="S2180" i="1"/>
  <c r="R2180" i="1"/>
  <c r="T2175" i="1"/>
  <c r="U2180" i="1"/>
  <c r="T2177" i="1"/>
  <c r="T2182" i="1"/>
  <c r="U2181" i="1"/>
  <c r="T2178" i="1"/>
  <c r="R2182" i="1"/>
  <c r="Q2179" i="1"/>
  <c r="R2175" i="1"/>
  <c r="S2179" i="1"/>
  <c r="U2182" i="1"/>
  <c r="Q2180" i="1"/>
  <c r="U2175" i="1"/>
  <c r="R2181" i="1"/>
  <c r="U2183" i="1"/>
  <c r="Q2181" i="1"/>
  <c r="R2177" i="1"/>
  <c r="T2181" i="1"/>
  <c r="S2178" i="1"/>
  <c r="U2178" i="1"/>
  <c r="Q2178" i="1"/>
  <c r="R1221" i="1"/>
  <c r="T1218" i="1"/>
  <c r="T1222" i="1"/>
  <c r="T1220" i="1"/>
  <c r="U1221" i="1"/>
  <c r="S1222" i="1"/>
  <c r="U1218" i="1"/>
  <c r="U1226" i="1"/>
  <c r="Q1221" i="1"/>
  <c r="Q1218" i="1"/>
  <c r="S1220" i="1"/>
  <c r="R1224" i="1"/>
  <c r="Q1220" i="1"/>
  <c r="U1222" i="1"/>
  <c r="Q1225" i="1"/>
  <c r="R1220" i="1"/>
  <c r="R1225" i="1"/>
  <c r="S1225" i="1"/>
  <c r="R1226" i="1"/>
  <c r="S1221" i="1"/>
  <c r="S1226" i="1"/>
  <c r="Q1224" i="1"/>
  <c r="R1218" i="1"/>
  <c r="S1224" i="1"/>
  <c r="U1224" i="1"/>
  <c r="S1223" i="1"/>
  <c r="T1225" i="1"/>
  <c r="U1220" i="1"/>
  <c r="Q1223" i="1"/>
  <c r="U1225" i="1"/>
  <c r="T1221" i="1"/>
  <c r="T1226" i="1"/>
  <c r="Q1226" i="1"/>
  <c r="T1223" i="1"/>
  <c r="U1223" i="1"/>
  <c r="R1222" i="1"/>
  <c r="R1223" i="1"/>
  <c r="Q1222" i="1"/>
  <c r="S1218" i="1"/>
  <c r="T1224" i="1"/>
  <c r="S1309" i="1"/>
  <c r="T1309" i="1"/>
  <c r="R1309" i="1"/>
  <c r="U1309" i="1"/>
  <c r="V1301" i="1"/>
  <c r="Q1309" i="1"/>
  <c r="V1329" i="1"/>
  <c r="V1321" i="1"/>
  <c r="V2249" i="1"/>
  <c r="V2257" i="1"/>
  <c r="Q2189" i="1"/>
  <c r="U2218" i="1"/>
  <c r="U2216" i="1" s="1"/>
  <c r="T2218" i="1"/>
  <c r="T2216" i="1" s="1"/>
  <c r="V2236" i="1"/>
  <c r="V2228" i="1"/>
  <c r="V2247" i="1"/>
  <c r="T2153" i="1"/>
  <c r="F685" i="5" s="1"/>
  <c r="V2210" i="1"/>
  <c r="V2222" i="1"/>
  <c r="H714" i="5" s="1"/>
  <c r="V2204" i="1"/>
  <c r="V2155" i="1"/>
  <c r="V2196" i="1"/>
  <c r="R2153" i="1"/>
  <c r="D685" i="5" s="1"/>
  <c r="V2206" i="1"/>
  <c r="Q2166" i="1"/>
  <c r="U2214" i="1"/>
  <c r="Q2153" i="1"/>
  <c r="C685" i="5" s="1"/>
  <c r="V2150" i="1"/>
  <c r="H682" i="5" s="1"/>
  <c r="S381" i="1" l="1"/>
  <c r="E677" i="5"/>
  <c r="S2143" i="1"/>
  <c r="Q377" i="1"/>
  <c r="Q379" i="1"/>
  <c r="S383" i="1"/>
  <c r="R383" i="1"/>
  <c r="R378" i="1"/>
  <c r="U375" i="1"/>
  <c r="U380" i="1"/>
  <c r="Q380" i="1"/>
  <c r="Q381" i="1"/>
  <c r="Q383" i="1"/>
  <c r="U381" i="1"/>
  <c r="U382" i="1"/>
  <c r="U379" i="1"/>
  <c r="S378" i="1"/>
  <c r="S380" i="1"/>
  <c r="R377" i="1"/>
  <c r="Q382" i="1"/>
  <c r="S377" i="1"/>
  <c r="R380" i="1"/>
  <c r="T382" i="1"/>
  <c r="T383" i="1"/>
  <c r="T378" i="1"/>
  <c r="R375" i="1"/>
  <c r="S382" i="1"/>
  <c r="T377" i="1"/>
  <c r="T381" i="1"/>
  <c r="T379" i="1"/>
  <c r="S375" i="1"/>
  <c r="T380" i="1"/>
  <c r="F391" i="4"/>
  <c r="H1534" i="1" s="1"/>
  <c r="R2260" i="1"/>
  <c r="D722" i="5" s="1"/>
  <c r="S2266" i="1"/>
  <c r="E728" i="5" s="1"/>
  <c r="U2260" i="1"/>
  <c r="G722" i="5" s="1"/>
  <c r="S2261" i="1"/>
  <c r="E723" i="5" s="1"/>
  <c r="V377" i="1"/>
  <c r="Q376" i="1"/>
  <c r="Q384" i="1" s="1"/>
  <c r="S376" i="1"/>
  <c r="S384" i="1" s="1"/>
  <c r="S369" i="1"/>
  <c r="Q368" i="1"/>
  <c r="T370" i="1"/>
  <c r="Q365" i="1"/>
  <c r="Q370" i="1"/>
  <c r="U372" i="1"/>
  <c r="U367" i="1"/>
  <c r="R370" i="1"/>
  <c r="R367" i="1"/>
  <c r="Q371" i="1"/>
  <c r="U373" i="1"/>
  <c r="R371" i="1"/>
  <c r="T367" i="1"/>
  <c r="U370" i="1"/>
  <c r="S373" i="1"/>
  <c r="S368" i="1"/>
  <c r="T371" i="1"/>
  <c r="T368" i="1"/>
  <c r="U371" i="1"/>
  <c r="U368" i="1"/>
  <c r="Q372" i="1"/>
  <c r="U369" i="1"/>
  <c r="S370" i="1"/>
  <c r="S367" i="1"/>
  <c r="T372" i="1"/>
  <c r="R368" i="1"/>
  <c r="S371" i="1"/>
  <c r="R365" i="1"/>
  <c r="Q369" i="1"/>
  <c r="R372" i="1"/>
  <c r="R369" i="1"/>
  <c r="S372" i="1"/>
  <c r="R373" i="1"/>
  <c r="T369" i="1"/>
  <c r="Q367" i="1"/>
  <c r="T373" i="1"/>
  <c r="Q373" i="1"/>
  <c r="S365" i="1"/>
  <c r="T365" i="1"/>
  <c r="U365" i="1"/>
  <c r="V380" i="1"/>
  <c r="R376" i="1"/>
  <c r="V383" i="1"/>
  <c r="V375" i="1"/>
  <c r="V382" i="1"/>
  <c r="U376" i="1"/>
  <c r="U384" i="1" s="1"/>
  <c r="T376" i="1"/>
  <c r="T384" i="1" s="1"/>
  <c r="R2258" i="1"/>
  <c r="D720" i="5" s="1"/>
  <c r="Q2258" i="1"/>
  <c r="C720" i="5" s="1"/>
  <c r="R2262" i="1"/>
  <c r="D724" i="5" s="1"/>
  <c r="Q2261" i="1"/>
  <c r="C723" i="5" s="1"/>
  <c r="U2266" i="1"/>
  <c r="G728" i="5" s="1"/>
  <c r="U2265" i="1"/>
  <c r="G727" i="5" s="1"/>
  <c r="R2264" i="1"/>
  <c r="D726" i="5" s="1"/>
  <c r="Q2260" i="1"/>
  <c r="C722" i="5" s="1"/>
  <c r="T2261" i="1"/>
  <c r="F723" i="5" s="1"/>
  <c r="U2264" i="1"/>
  <c r="G726" i="5" s="1"/>
  <c r="U2262" i="1"/>
  <c r="G724" i="5" s="1"/>
  <c r="T2191" i="1"/>
  <c r="F693" i="5" s="1"/>
  <c r="R2187" i="1"/>
  <c r="S2188" i="1"/>
  <c r="E690" i="5" s="1"/>
  <c r="R2193" i="1"/>
  <c r="D695" i="5" s="1"/>
  <c r="U2189" i="1"/>
  <c r="G691" i="5" s="1"/>
  <c r="Q2185" i="1"/>
  <c r="C687" i="5" s="1"/>
  <c r="R2263" i="1"/>
  <c r="D725" i="5" s="1"/>
  <c r="Q2262" i="1"/>
  <c r="C724" i="5" s="1"/>
  <c r="S2263" i="1"/>
  <c r="E725" i="5" s="1"/>
  <c r="Q2265" i="1"/>
  <c r="C727" i="5" s="1"/>
  <c r="U2193" i="1"/>
  <c r="G695" i="5" s="1"/>
  <c r="T2185" i="1"/>
  <c r="F687" i="5" s="1"/>
  <c r="R2192" i="1"/>
  <c r="D694" i="5" s="1"/>
  <c r="R2188" i="1"/>
  <c r="D690" i="5" s="1"/>
  <c r="R2190" i="1"/>
  <c r="D692" i="5" s="1"/>
  <c r="Q2193" i="1"/>
  <c r="C695" i="5" s="1"/>
  <c r="T2187" i="1"/>
  <c r="F689" i="5" s="1"/>
  <c r="T2265" i="1"/>
  <c r="F727" i="5" s="1"/>
  <c r="U2258" i="1"/>
  <c r="G720" i="5" s="1"/>
  <c r="Q2263" i="1"/>
  <c r="C725" i="5" s="1"/>
  <c r="S2265" i="1"/>
  <c r="E727" i="5" s="1"/>
  <c r="T2264" i="1"/>
  <c r="F726" i="5" s="1"/>
  <c r="S2258" i="1"/>
  <c r="E720" i="5" s="1"/>
  <c r="S2260" i="1"/>
  <c r="E722" i="5" s="1"/>
  <c r="R2261" i="1"/>
  <c r="D723" i="5" s="1"/>
  <c r="T2262" i="1"/>
  <c r="F724" i="5" s="1"/>
  <c r="U2261" i="1"/>
  <c r="G723" i="5" s="1"/>
  <c r="T2263" i="1"/>
  <c r="F725" i="5" s="1"/>
  <c r="T2266" i="1"/>
  <c r="F728" i="5" s="1"/>
  <c r="Q2264" i="1"/>
  <c r="C726" i="5" s="1"/>
  <c r="T2260" i="1"/>
  <c r="F722" i="5" s="1"/>
  <c r="U2263" i="1"/>
  <c r="G725" i="5" s="1"/>
  <c r="S2264" i="1"/>
  <c r="E726" i="5" s="1"/>
  <c r="S2262" i="1"/>
  <c r="E724" i="5" s="1"/>
  <c r="Q2266" i="1"/>
  <c r="C728" i="5" s="1"/>
  <c r="T2258" i="1"/>
  <c r="F720" i="5" s="1"/>
  <c r="R2266" i="1"/>
  <c r="D728" i="5" s="1"/>
  <c r="Q2187" i="1"/>
  <c r="Q2191" i="1"/>
  <c r="C693" i="5" s="1"/>
  <c r="S2191" i="1"/>
  <c r="E693" i="5" s="1"/>
  <c r="U2192" i="1"/>
  <c r="G694" i="5" s="1"/>
  <c r="T2188" i="1"/>
  <c r="F690" i="5" s="1"/>
  <c r="T2189" i="1"/>
  <c r="F691" i="5" s="1"/>
  <c r="R2189" i="1"/>
  <c r="D691" i="5" s="1"/>
  <c r="S2190" i="1"/>
  <c r="R2185" i="1"/>
  <c r="D687" i="5" s="1"/>
  <c r="S2185" i="1"/>
  <c r="E687" i="5" s="1"/>
  <c r="U2185" i="1"/>
  <c r="G687" i="5" s="1"/>
  <c r="S2187" i="1"/>
  <c r="E689" i="5" s="1"/>
  <c r="U2191" i="1"/>
  <c r="Q2192" i="1"/>
  <c r="C694" i="5" s="1"/>
  <c r="T2190" i="1"/>
  <c r="F692" i="5" s="1"/>
  <c r="Q2188" i="1"/>
  <c r="C690" i="5" s="1"/>
  <c r="T2193" i="1"/>
  <c r="F695" i="5" s="1"/>
  <c r="R2191" i="1"/>
  <c r="D693" i="5" s="1"/>
  <c r="S2192" i="1"/>
  <c r="E694" i="5" s="1"/>
  <c r="U2187" i="1"/>
  <c r="T2192" i="1"/>
  <c r="F694" i="5" s="1"/>
  <c r="U2188" i="1"/>
  <c r="G690" i="5" s="1"/>
  <c r="Q2190" i="1"/>
  <c r="C692" i="5" s="1"/>
  <c r="U2190" i="1"/>
  <c r="G692" i="5" s="1"/>
  <c r="S2189" i="1"/>
  <c r="E691" i="5" s="1"/>
  <c r="R1871" i="1"/>
  <c r="V1657" i="1"/>
  <c r="V244" i="1"/>
  <c r="V1379" i="1"/>
  <c r="V249" i="1"/>
  <c r="V1397" i="1"/>
  <c r="V1371" i="1"/>
  <c r="V1658" i="1"/>
  <c r="R1867" i="1"/>
  <c r="Q1866" i="1"/>
  <c r="T1866" i="1"/>
  <c r="T1872" i="1"/>
  <c r="S1867" i="1"/>
  <c r="R1866" i="1"/>
  <c r="T1867" i="1"/>
  <c r="Q1871" i="1"/>
  <c r="U1871" i="1"/>
  <c r="T1870" i="1"/>
  <c r="T1871" i="1"/>
  <c r="U1867" i="1"/>
  <c r="Q1867" i="1"/>
  <c r="S1866" i="1"/>
  <c r="U1866" i="1"/>
  <c r="U1870" i="1"/>
  <c r="S1871" i="1"/>
  <c r="V1399" i="1"/>
  <c r="V2163" i="1"/>
  <c r="H740" i="5"/>
  <c r="V1654" i="1"/>
  <c r="V1355" i="1"/>
  <c r="V1376" i="1"/>
  <c r="V1398" i="1"/>
  <c r="R242" i="1"/>
  <c r="R250" i="1" s="1"/>
  <c r="Q1524" i="1"/>
  <c r="Q1526" i="1"/>
  <c r="T1518" i="1"/>
  <c r="S1518" i="1"/>
  <c r="R1518" i="1"/>
  <c r="R1521" i="1"/>
  <c r="U1526" i="1"/>
  <c r="U1521" i="1"/>
  <c r="R1522" i="1"/>
  <c r="Q1522" i="1"/>
  <c r="Q1523" i="1"/>
  <c r="T1523" i="1"/>
  <c r="U1522" i="1"/>
  <c r="S1525" i="1"/>
  <c r="Q1520" i="1"/>
  <c r="T1522" i="1"/>
  <c r="S1520" i="1"/>
  <c r="S1523" i="1"/>
  <c r="S1526" i="1"/>
  <c r="U1525" i="1"/>
  <c r="S1521" i="1"/>
  <c r="R1525" i="1"/>
  <c r="T1524" i="1"/>
  <c r="R1524" i="1"/>
  <c r="S1524" i="1"/>
  <c r="S1522" i="1"/>
  <c r="U1523" i="1"/>
  <c r="U1524" i="1"/>
  <c r="T1526" i="1"/>
  <c r="T1521" i="1"/>
  <c r="U1518" i="1"/>
  <c r="T1525" i="1"/>
  <c r="U1520" i="1"/>
  <c r="R1520" i="1"/>
  <c r="Q1525" i="1"/>
  <c r="Q1518" i="1"/>
  <c r="R1526" i="1"/>
  <c r="R1523" i="1"/>
  <c r="T1520" i="1"/>
  <c r="Q1521" i="1"/>
  <c r="V1391" i="1"/>
  <c r="S1392" i="1"/>
  <c r="S1400" i="1" s="1"/>
  <c r="V1395" i="1"/>
  <c r="T1392" i="1"/>
  <c r="T1400" i="1" s="1"/>
  <c r="T1352" i="1"/>
  <c r="T1360" i="1" s="1"/>
  <c r="V1357" i="1"/>
  <c r="R1352" i="1"/>
  <c r="R1360" i="1" s="1"/>
  <c r="Q1352" i="1"/>
  <c r="Q1360" i="1" s="1"/>
  <c r="V1353" i="1"/>
  <c r="V1356" i="1"/>
  <c r="S1352" i="1"/>
  <c r="S1360" i="1" s="1"/>
  <c r="V248" i="1"/>
  <c r="V246" i="1"/>
  <c r="V243" i="1"/>
  <c r="Q242" i="1"/>
  <c r="S242" i="1"/>
  <c r="S250" i="1" s="1"/>
  <c r="U1372" i="1"/>
  <c r="U1380" i="1" s="1"/>
  <c r="V1374" i="1"/>
  <c r="V1378" i="1"/>
  <c r="V1377" i="1"/>
  <c r="T1372" i="1"/>
  <c r="T1380" i="1" s="1"/>
  <c r="T1663" i="1"/>
  <c r="R1662" i="1"/>
  <c r="Q1660" i="1"/>
  <c r="T1666" i="1"/>
  <c r="T1660" i="1"/>
  <c r="Q1668" i="1"/>
  <c r="S1660" i="1"/>
  <c r="Q1664" i="1"/>
  <c r="T1662" i="1"/>
  <c r="R1666" i="1"/>
  <c r="S1664" i="1"/>
  <c r="S1666" i="1"/>
  <c r="R1663" i="1"/>
  <c r="S1662" i="1"/>
  <c r="Q1662" i="1"/>
  <c r="R1664" i="1"/>
  <c r="Q1667" i="1"/>
  <c r="U1668" i="1"/>
  <c r="S1667" i="1"/>
  <c r="S1668" i="1"/>
  <c r="Q1663" i="1"/>
  <c r="U1664" i="1"/>
  <c r="U1662" i="1"/>
  <c r="T1668" i="1"/>
  <c r="R1667" i="1"/>
  <c r="U1660" i="1"/>
  <c r="T1664" i="1"/>
  <c r="R1668" i="1"/>
  <c r="U1666" i="1"/>
  <c r="Q1666" i="1"/>
  <c r="T1665" i="1"/>
  <c r="U1663" i="1"/>
  <c r="S1663" i="1"/>
  <c r="R1660" i="1"/>
  <c r="U1665" i="1"/>
  <c r="Q1665" i="1"/>
  <c r="T1667" i="1"/>
  <c r="S1665" i="1"/>
  <c r="U1667" i="1"/>
  <c r="R1665" i="1"/>
  <c r="S1651" i="1"/>
  <c r="S1659" i="1" s="1"/>
  <c r="V1650" i="1"/>
  <c r="V1656" i="1"/>
  <c r="V1396" i="1"/>
  <c r="V1393" i="1"/>
  <c r="Q1392" i="1"/>
  <c r="Q1400" i="1" s="1"/>
  <c r="U1392" i="1"/>
  <c r="U1400" i="1" s="1"/>
  <c r="R1392" i="1"/>
  <c r="R1400" i="1" s="1"/>
  <c r="V1394" i="1"/>
  <c r="V1359" i="1"/>
  <c r="V1351" i="1"/>
  <c r="U1352" i="1"/>
  <c r="U1360" i="1" s="1"/>
  <c r="V1358" i="1"/>
  <c r="V1354" i="1"/>
  <c r="V241" i="1"/>
  <c r="V245" i="1"/>
  <c r="U242" i="1"/>
  <c r="V247" i="1"/>
  <c r="T242" i="1"/>
  <c r="R1372" i="1"/>
  <c r="R1380" i="1" s="1"/>
  <c r="S1372" i="1"/>
  <c r="S1380" i="1" s="1"/>
  <c r="V1373" i="1"/>
  <c r="Q1372" i="1"/>
  <c r="V1375" i="1"/>
  <c r="H59" i="4"/>
  <c r="T1651" i="1"/>
  <c r="T1659" i="1" s="1"/>
  <c r="V1653" i="1"/>
  <c r="R1651" i="1"/>
  <c r="R1659" i="1" s="1"/>
  <c r="V1655" i="1"/>
  <c r="U1651" i="1"/>
  <c r="U1659" i="1" s="1"/>
  <c r="V1652" i="1"/>
  <c r="Q1651" i="1"/>
  <c r="V1549" i="1"/>
  <c r="V1573" i="1"/>
  <c r="V1555" i="1"/>
  <c r="V1574" i="1"/>
  <c r="V1571" i="1"/>
  <c r="V1575" i="1"/>
  <c r="V1553" i="1"/>
  <c r="V1554" i="1"/>
  <c r="V1569" i="1"/>
  <c r="V1552" i="1"/>
  <c r="V1551" i="1"/>
  <c r="E67" i="3"/>
  <c r="V1557" i="1"/>
  <c r="V1577" i="1"/>
  <c r="V1576" i="1"/>
  <c r="V1556" i="1"/>
  <c r="V1572" i="1"/>
  <c r="U1550" i="1"/>
  <c r="T1570" i="1"/>
  <c r="R1550" i="1"/>
  <c r="R1558" i="1" s="1"/>
  <c r="Q1570" i="1"/>
  <c r="U1540" i="1"/>
  <c r="U1570" i="1"/>
  <c r="S1550" i="1"/>
  <c r="S1558" i="1" s="1"/>
  <c r="Q1540" i="1"/>
  <c r="R1540" i="1"/>
  <c r="T1540" i="1"/>
  <c r="T1550" i="1"/>
  <c r="Q1550" i="1"/>
  <c r="S1540" i="1"/>
  <c r="S1570" i="1"/>
  <c r="S1578" i="1" s="1"/>
  <c r="R1570" i="1"/>
  <c r="R1578" i="1" s="1"/>
  <c r="V1154" i="1"/>
  <c r="H376" i="5" s="1"/>
  <c r="V2324" i="1"/>
  <c r="H746" i="5" s="1"/>
  <c r="V2328" i="1"/>
  <c r="H750" i="5" s="1"/>
  <c r="V1152" i="1"/>
  <c r="H374" i="5" s="1"/>
  <c r="Q1147" i="1"/>
  <c r="U1147" i="1"/>
  <c r="S1147" i="1"/>
  <c r="V2325" i="1"/>
  <c r="H747" i="5" s="1"/>
  <c r="T2321" i="1"/>
  <c r="V2327" i="1"/>
  <c r="H749" i="5" s="1"/>
  <c r="V1150" i="1"/>
  <c r="H372" i="5" s="1"/>
  <c r="V1149" i="1"/>
  <c r="H371" i="5" s="1"/>
  <c r="V1148" i="1"/>
  <c r="H370" i="5" s="1"/>
  <c r="V1151" i="1"/>
  <c r="H373" i="5" s="1"/>
  <c r="V1153" i="1"/>
  <c r="H375" i="5" s="1"/>
  <c r="V2320" i="1"/>
  <c r="H742" i="5" s="1"/>
  <c r="V2322" i="1"/>
  <c r="H744" i="5" s="1"/>
  <c r="V2326" i="1"/>
  <c r="H748" i="5" s="1"/>
  <c r="Q2321" i="1"/>
  <c r="Q2329" i="1" s="1"/>
  <c r="C751" i="5" s="1"/>
  <c r="V1146" i="1"/>
  <c r="H368" i="5" s="1"/>
  <c r="U2321" i="1"/>
  <c r="R2321" i="1"/>
  <c r="S2321" i="1"/>
  <c r="V2323" i="1"/>
  <c r="H745" i="5" s="1"/>
  <c r="R1147" i="1"/>
  <c r="T1147" i="1"/>
  <c r="V2145" i="1"/>
  <c r="S2153" i="1"/>
  <c r="E685" i="5" s="1"/>
  <c r="C691" i="5"/>
  <c r="T2226" i="1"/>
  <c r="F718" i="5" s="1"/>
  <c r="F710" i="5"/>
  <c r="U2226" i="1"/>
  <c r="G718" i="5" s="1"/>
  <c r="G710" i="5"/>
  <c r="D689" i="5"/>
  <c r="V2214" i="1"/>
  <c r="D67" i="3"/>
  <c r="D675" i="5"/>
  <c r="H72" i="3"/>
  <c r="H730" i="5"/>
  <c r="F67" i="3"/>
  <c r="F675" i="5"/>
  <c r="G67" i="3"/>
  <c r="G675" i="5"/>
  <c r="V1337" i="1"/>
  <c r="T1331" i="1"/>
  <c r="T1339" i="1" s="1"/>
  <c r="V1292" i="1"/>
  <c r="V1426" i="1"/>
  <c r="V1429" i="1"/>
  <c r="V1428" i="1"/>
  <c r="V1336" i="1"/>
  <c r="V1333" i="1"/>
  <c r="S1331" i="1"/>
  <c r="S1339" i="1" s="1"/>
  <c r="V1294" i="1"/>
  <c r="U1290" i="1"/>
  <c r="U1298" i="1" s="1"/>
  <c r="R1290" i="1"/>
  <c r="R1298" i="1" s="1"/>
  <c r="S1290" i="1"/>
  <c r="S1298" i="1" s="1"/>
  <c r="S1423" i="1"/>
  <c r="S1431" i="1" s="1"/>
  <c r="V1430" i="1"/>
  <c r="V2179" i="1"/>
  <c r="R1331" i="1"/>
  <c r="R1339" i="1" s="1"/>
  <c r="V1335" i="1"/>
  <c r="V1295" i="1"/>
  <c r="V1293" i="1"/>
  <c r="T1423" i="1"/>
  <c r="T1431" i="1" s="1"/>
  <c r="R1423" i="1"/>
  <c r="R1431" i="1" s="1"/>
  <c r="V1422" i="1"/>
  <c r="V1330" i="1"/>
  <c r="V1334" i="1"/>
  <c r="V1296" i="1"/>
  <c r="Q1290" i="1"/>
  <c r="Q1298" i="1" s="1"/>
  <c r="V1291" i="1"/>
  <c r="Q1423" i="1"/>
  <c r="V1424" i="1"/>
  <c r="U1423" i="1"/>
  <c r="U1431" i="1" s="1"/>
  <c r="V1332" i="1"/>
  <c r="Q1331" i="1"/>
  <c r="V1338" i="1"/>
  <c r="U1331" i="1"/>
  <c r="U1339" i="1" s="1"/>
  <c r="V1297" i="1"/>
  <c r="T1290" i="1"/>
  <c r="T1298" i="1" s="1"/>
  <c r="V1289" i="1"/>
  <c r="V1425" i="1"/>
  <c r="V1427" i="1"/>
  <c r="V2182" i="1"/>
  <c r="V2183" i="1"/>
  <c r="Q2176" i="1"/>
  <c r="Q2184" i="1" s="1"/>
  <c r="V2180" i="1"/>
  <c r="V2175" i="1"/>
  <c r="S2176" i="1"/>
  <c r="V2178" i="1"/>
  <c r="V2181" i="1"/>
  <c r="T2176" i="1"/>
  <c r="U2176" i="1"/>
  <c r="R2176" i="1"/>
  <c r="U1219" i="1"/>
  <c r="U1227" i="1" s="1"/>
  <c r="V2177" i="1"/>
  <c r="T1219" i="1"/>
  <c r="T1227" i="1" s="1"/>
  <c r="V1225" i="1"/>
  <c r="S1219" i="1"/>
  <c r="S1227" i="1" s="1"/>
  <c r="V1222" i="1"/>
  <c r="V1224" i="1"/>
  <c r="V1218" i="1"/>
  <c r="R1219" i="1"/>
  <c r="R1227" i="1" s="1"/>
  <c r="V1226" i="1"/>
  <c r="V1223" i="1"/>
  <c r="V1220" i="1"/>
  <c r="Q1219" i="1"/>
  <c r="V1221" i="1"/>
  <c r="V1309" i="1"/>
  <c r="V2218" i="1"/>
  <c r="H710" i="5" s="1"/>
  <c r="V2166" i="1"/>
  <c r="Q2174" i="1"/>
  <c r="V2174" i="1" s="1"/>
  <c r="C675" i="5"/>
  <c r="V381" i="1" l="1"/>
  <c r="V378" i="1"/>
  <c r="V2143" i="1"/>
  <c r="H677" i="5"/>
  <c r="V379" i="1"/>
  <c r="T250" i="1"/>
  <c r="U250" i="1"/>
  <c r="R384" i="1"/>
  <c r="V384" i="1" s="1"/>
  <c r="J396" i="4"/>
  <c r="U1529" i="1"/>
  <c r="R1535" i="1"/>
  <c r="T1529" i="1"/>
  <c r="S1529" i="1"/>
  <c r="Q1529" i="1"/>
  <c r="S1535" i="1"/>
  <c r="R1529" i="1"/>
  <c r="T1535" i="1"/>
  <c r="Q1535" i="1"/>
  <c r="V371" i="1"/>
  <c r="Q366" i="1"/>
  <c r="V367" i="1"/>
  <c r="U366" i="1"/>
  <c r="U374" i="1" s="1"/>
  <c r="V368" i="1"/>
  <c r="V376" i="1"/>
  <c r="V373" i="1"/>
  <c r="V369" i="1"/>
  <c r="V372" i="1"/>
  <c r="T366" i="1"/>
  <c r="T374" i="1" s="1"/>
  <c r="R366" i="1"/>
  <c r="R374" i="1" s="1"/>
  <c r="V370" i="1"/>
  <c r="S366" i="1"/>
  <c r="S374" i="1" s="1"/>
  <c r="V365" i="1"/>
  <c r="U2259" i="1"/>
  <c r="G721" i="5" s="1"/>
  <c r="V2258" i="1"/>
  <c r="H720" i="5" s="1"/>
  <c r="V2260" i="1"/>
  <c r="H722" i="5" s="1"/>
  <c r="V2263" i="1"/>
  <c r="H725" i="5" s="1"/>
  <c r="V2266" i="1"/>
  <c r="H728" i="5" s="1"/>
  <c r="R2186" i="1"/>
  <c r="D688" i="5" s="1"/>
  <c r="Q2259" i="1"/>
  <c r="C721" i="5" s="1"/>
  <c r="V2193" i="1"/>
  <c r="H695" i="5" s="1"/>
  <c r="V2185" i="1"/>
  <c r="H687" i="5" s="1"/>
  <c r="S2259" i="1"/>
  <c r="E721" i="5" s="1"/>
  <c r="Q1940" i="1"/>
  <c r="V2261" i="1"/>
  <c r="H723" i="5" s="1"/>
  <c r="V2192" i="1"/>
  <c r="H694" i="5" s="1"/>
  <c r="V2191" i="1"/>
  <c r="H693" i="5" s="1"/>
  <c r="Q2186" i="1"/>
  <c r="Q2194" i="1" s="1"/>
  <c r="C696" i="5" s="1"/>
  <c r="V2262" i="1"/>
  <c r="H724" i="5" s="1"/>
  <c r="V2264" i="1"/>
  <c r="H726" i="5" s="1"/>
  <c r="V2189" i="1"/>
  <c r="H691" i="5" s="1"/>
  <c r="T2186" i="1"/>
  <c r="T2194" i="1" s="1"/>
  <c r="G693" i="5"/>
  <c r="V2187" i="1"/>
  <c r="H689" i="5" s="1"/>
  <c r="C689" i="5"/>
  <c r="S2186" i="1"/>
  <c r="S2194" i="1" s="1"/>
  <c r="V2265" i="1"/>
  <c r="H727" i="5" s="1"/>
  <c r="V2188" i="1"/>
  <c r="H690" i="5" s="1"/>
  <c r="E692" i="5"/>
  <c r="R2259" i="1"/>
  <c r="D721" i="5" s="1"/>
  <c r="T2259" i="1"/>
  <c r="T2237" i="1" s="1"/>
  <c r="V2190" i="1"/>
  <c r="H692" i="5" s="1"/>
  <c r="U2186" i="1"/>
  <c r="U2194" i="1" s="1"/>
  <c r="G689" i="5"/>
  <c r="U1864" i="1"/>
  <c r="M1865" i="1"/>
  <c r="T1865" i="1"/>
  <c r="M1921" i="1"/>
  <c r="V1867" i="1"/>
  <c r="R1864" i="1"/>
  <c r="V1871" i="1"/>
  <c r="V1866" i="1"/>
  <c r="S1919" i="1"/>
  <c r="U1918" i="1"/>
  <c r="Q1918" i="1"/>
  <c r="S1917" i="1"/>
  <c r="Q1919" i="1"/>
  <c r="U1919" i="1"/>
  <c r="S1918" i="1"/>
  <c r="Q1917" i="1"/>
  <c r="U1923" i="1"/>
  <c r="Q1923" i="1"/>
  <c r="R1920" i="1"/>
  <c r="U1921" i="1"/>
  <c r="S1922" i="1"/>
  <c r="T1918" i="1"/>
  <c r="T1919" i="1"/>
  <c r="S1920" i="1"/>
  <c r="T1921" i="1"/>
  <c r="T1922" i="1"/>
  <c r="S1923" i="1"/>
  <c r="U1922" i="1"/>
  <c r="T1920" i="1"/>
  <c r="Q1922" i="1"/>
  <c r="T1923" i="1"/>
  <c r="R1917" i="1"/>
  <c r="R1918" i="1"/>
  <c r="R1919" i="1"/>
  <c r="Q1920" i="1"/>
  <c r="U1920" i="1"/>
  <c r="R1922" i="1"/>
  <c r="R1923" i="1"/>
  <c r="T1864" i="1"/>
  <c r="O1873" i="1"/>
  <c r="S1864" i="1"/>
  <c r="V1651" i="1"/>
  <c r="V1666" i="1"/>
  <c r="V1521" i="1"/>
  <c r="V1518" i="1"/>
  <c r="V1526" i="1"/>
  <c r="Q2139" i="1"/>
  <c r="U2134" i="1"/>
  <c r="Q2136" i="1"/>
  <c r="U2137" i="1"/>
  <c r="S2140" i="1"/>
  <c r="Q2135" i="1"/>
  <c r="R2135" i="1"/>
  <c r="T2136" i="1"/>
  <c r="T2140" i="1"/>
  <c r="S2137" i="1"/>
  <c r="T2139" i="1"/>
  <c r="U2132" i="1"/>
  <c r="S2132" i="1"/>
  <c r="T2132" i="1"/>
  <c r="T2134" i="1"/>
  <c r="R2134" i="1"/>
  <c r="Q2138" i="1"/>
  <c r="R2138" i="1"/>
  <c r="R2140" i="1"/>
  <c r="R2139" i="1"/>
  <c r="U2136" i="1"/>
  <c r="Q2132" i="1"/>
  <c r="Q2134" i="1"/>
  <c r="U2135" i="1"/>
  <c r="U2140" i="1"/>
  <c r="R2132" i="1"/>
  <c r="U2139" i="1"/>
  <c r="R2136" i="1"/>
  <c r="S2139" i="1"/>
  <c r="Q2140" i="1"/>
  <c r="S2136" i="1"/>
  <c r="R2137" i="1"/>
  <c r="T2137" i="1"/>
  <c r="Q2137" i="1"/>
  <c r="S2138" i="1"/>
  <c r="T2138" i="1"/>
  <c r="S2134" i="1"/>
  <c r="S2135" i="1"/>
  <c r="T2135" i="1"/>
  <c r="U2138" i="1"/>
  <c r="Q1659" i="1"/>
  <c r="V1659" i="1" s="1"/>
  <c r="V1665" i="1"/>
  <c r="S1661" i="1"/>
  <c r="S1669" i="1" s="1"/>
  <c r="V1664" i="1"/>
  <c r="V1668" i="1"/>
  <c r="R1661" i="1"/>
  <c r="R1669" i="1" s="1"/>
  <c r="Q250" i="1"/>
  <c r="V250" i="1" s="1"/>
  <c r="V242" i="1"/>
  <c r="V1400" i="1"/>
  <c r="R1519" i="1"/>
  <c r="V1522" i="1"/>
  <c r="Q1380" i="1"/>
  <c r="V1380" i="1" s="1"/>
  <c r="V1372" i="1"/>
  <c r="V1360" i="1"/>
  <c r="V1392" i="1"/>
  <c r="U1661" i="1"/>
  <c r="U1669" i="1" s="1"/>
  <c r="V1663" i="1"/>
  <c r="V1667" i="1"/>
  <c r="V1662" i="1"/>
  <c r="Q1661" i="1"/>
  <c r="T1661" i="1"/>
  <c r="T1669" i="1" s="1"/>
  <c r="V1660" i="1"/>
  <c r="V1352" i="1"/>
  <c r="T1519" i="1"/>
  <c r="V1525" i="1"/>
  <c r="U1519" i="1"/>
  <c r="S1519" i="1"/>
  <c r="V1520" i="1"/>
  <c r="Q1519" i="1"/>
  <c r="V1523" i="1"/>
  <c r="V1524" i="1"/>
  <c r="V1540" i="1"/>
  <c r="T1145" i="1"/>
  <c r="F369" i="5"/>
  <c r="R1145" i="1"/>
  <c r="D369" i="5"/>
  <c r="G369" i="5"/>
  <c r="U1145" i="1"/>
  <c r="E369" i="5"/>
  <c r="S1145" i="1"/>
  <c r="Q1145" i="1"/>
  <c r="C369" i="5"/>
  <c r="U1558" i="1"/>
  <c r="S2309" i="1"/>
  <c r="E73" i="3" s="1"/>
  <c r="V1550" i="1"/>
  <c r="V1570" i="1"/>
  <c r="D743" i="5"/>
  <c r="R2309" i="1"/>
  <c r="D741" i="5" s="1"/>
  <c r="T1558" i="1"/>
  <c r="G743" i="5"/>
  <c r="U2309" i="1"/>
  <c r="G741" i="5" s="1"/>
  <c r="T2329" i="1"/>
  <c r="F751" i="5" s="1"/>
  <c r="T2309" i="1"/>
  <c r="U1578" i="1"/>
  <c r="T1578" i="1"/>
  <c r="R1548" i="1"/>
  <c r="S1548" i="1"/>
  <c r="T1548" i="1"/>
  <c r="U1548" i="1"/>
  <c r="Q1548" i="1"/>
  <c r="Q1578" i="1"/>
  <c r="Q1558" i="1"/>
  <c r="S1155" i="1"/>
  <c r="E377" i="5" s="1"/>
  <c r="U1155" i="1"/>
  <c r="G377" i="5" s="1"/>
  <c r="Q1155" i="1"/>
  <c r="C377" i="5" s="1"/>
  <c r="T1155" i="1"/>
  <c r="F377" i="5" s="1"/>
  <c r="R1155" i="1"/>
  <c r="D377" i="5" s="1"/>
  <c r="F743" i="5"/>
  <c r="V2153" i="1"/>
  <c r="H685" i="5" s="1"/>
  <c r="U2329" i="1"/>
  <c r="G751" i="5" s="1"/>
  <c r="C743" i="5"/>
  <c r="V2321" i="1"/>
  <c r="H743" i="5" s="1"/>
  <c r="R2329" i="1"/>
  <c r="D751" i="5" s="1"/>
  <c r="S2329" i="1"/>
  <c r="E751" i="5" s="1"/>
  <c r="Q2309" i="1"/>
  <c r="C73" i="3" s="1"/>
  <c r="E743" i="5"/>
  <c r="V1147" i="1"/>
  <c r="H369" i="5" s="1"/>
  <c r="E675" i="5"/>
  <c r="V2226" i="1"/>
  <c r="H718" i="5" s="1"/>
  <c r="T2184" i="1"/>
  <c r="S2184" i="1"/>
  <c r="R2184" i="1"/>
  <c r="U2184" i="1"/>
  <c r="V1298" i="1"/>
  <c r="V1290" i="1"/>
  <c r="V1331" i="1"/>
  <c r="Q1431" i="1"/>
  <c r="V1431" i="1" s="1"/>
  <c r="V1423" i="1"/>
  <c r="Q1339" i="1"/>
  <c r="V1339" i="1" s="1"/>
  <c r="V2176" i="1"/>
  <c r="V1219" i="1"/>
  <c r="Q1227" i="1"/>
  <c r="V1227" i="1" s="1"/>
  <c r="C67" i="3"/>
  <c r="Q66" i="1"/>
  <c r="R66" i="1"/>
  <c r="S66" i="1"/>
  <c r="T66" i="1"/>
  <c r="U66" i="1"/>
  <c r="Q68" i="1"/>
  <c r="R68" i="1"/>
  <c r="S68" i="1"/>
  <c r="T68" i="1"/>
  <c r="U68" i="1"/>
  <c r="Q69" i="1"/>
  <c r="R69" i="1"/>
  <c r="S69" i="1"/>
  <c r="T69" i="1"/>
  <c r="U69" i="1"/>
  <c r="Q70" i="1"/>
  <c r="R70" i="1"/>
  <c r="S70" i="1"/>
  <c r="T70" i="1"/>
  <c r="U70" i="1"/>
  <c r="Q71" i="1"/>
  <c r="R71" i="1"/>
  <c r="S71" i="1"/>
  <c r="T71" i="1"/>
  <c r="U71" i="1"/>
  <c r="Q72" i="1"/>
  <c r="R72" i="1"/>
  <c r="S72" i="1"/>
  <c r="T72" i="1"/>
  <c r="U72" i="1"/>
  <c r="Q73" i="1"/>
  <c r="R73" i="1"/>
  <c r="S73" i="1"/>
  <c r="T73" i="1"/>
  <c r="U73" i="1"/>
  <c r="Q74" i="1"/>
  <c r="R74" i="1"/>
  <c r="S74" i="1"/>
  <c r="T74" i="1"/>
  <c r="U74" i="1"/>
  <c r="Q81" i="1"/>
  <c r="R81" i="1"/>
  <c r="S81" i="1"/>
  <c r="T81" i="1"/>
  <c r="U81" i="1"/>
  <c r="Q345" i="1"/>
  <c r="R345" i="1"/>
  <c r="S345" i="1"/>
  <c r="T345" i="1"/>
  <c r="U345" i="1"/>
  <c r="Q347" i="1"/>
  <c r="R347" i="1"/>
  <c r="S347" i="1"/>
  <c r="T347" i="1"/>
  <c r="U347" i="1"/>
  <c r="Q348" i="1"/>
  <c r="R348" i="1"/>
  <c r="S348" i="1"/>
  <c r="T348" i="1"/>
  <c r="U348" i="1"/>
  <c r="Q349" i="1"/>
  <c r="R349" i="1"/>
  <c r="S349" i="1"/>
  <c r="T349" i="1"/>
  <c r="U349" i="1"/>
  <c r="Q350" i="1"/>
  <c r="R350" i="1"/>
  <c r="S350" i="1"/>
  <c r="T350" i="1"/>
  <c r="U350" i="1"/>
  <c r="Q351" i="1"/>
  <c r="R351" i="1"/>
  <c r="S351" i="1"/>
  <c r="T351" i="1"/>
  <c r="U351" i="1"/>
  <c r="Q352" i="1"/>
  <c r="R352" i="1"/>
  <c r="S352" i="1"/>
  <c r="T352" i="1"/>
  <c r="U352" i="1"/>
  <c r="Q353" i="1"/>
  <c r="R353" i="1"/>
  <c r="S353" i="1"/>
  <c r="T353" i="1"/>
  <c r="U353" i="1"/>
  <c r="Q87" i="1"/>
  <c r="R87" i="1"/>
  <c r="S87" i="1"/>
  <c r="T87" i="1"/>
  <c r="U87" i="1"/>
  <c r="Q89" i="1"/>
  <c r="R89" i="1"/>
  <c r="S89" i="1"/>
  <c r="T89" i="1"/>
  <c r="U89" i="1"/>
  <c r="Q90" i="1"/>
  <c r="R90" i="1"/>
  <c r="S90" i="1"/>
  <c r="T90" i="1"/>
  <c r="U90" i="1"/>
  <c r="Q91" i="1"/>
  <c r="R91" i="1"/>
  <c r="S91" i="1"/>
  <c r="T91" i="1"/>
  <c r="U91" i="1"/>
  <c r="Q92" i="1"/>
  <c r="R92" i="1"/>
  <c r="S92" i="1"/>
  <c r="T92" i="1"/>
  <c r="U92" i="1"/>
  <c r="Q93" i="1"/>
  <c r="R93" i="1"/>
  <c r="S93" i="1"/>
  <c r="T93" i="1"/>
  <c r="U93" i="1"/>
  <c r="Q94" i="1"/>
  <c r="R94" i="1"/>
  <c r="S94" i="1"/>
  <c r="T94" i="1"/>
  <c r="U94" i="1"/>
  <c r="Q95" i="1"/>
  <c r="R95" i="1"/>
  <c r="S95" i="1"/>
  <c r="T95" i="1"/>
  <c r="U95" i="1"/>
  <c r="Q97" i="1"/>
  <c r="R97" i="1"/>
  <c r="S97" i="1"/>
  <c r="T97" i="1"/>
  <c r="U97" i="1"/>
  <c r="Q99" i="1"/>
  <c r="R99" i="1"/>
  <c r="S99" i="1"/>
  <c r="T99" i="1"/>
  <c r="U99" i="1"/>
  <c r="Q100" i="1"/>
  <c r="R100" i="1"/>
  <c r="S100" i="1"/>
  <c r="T100" i="1"/>
  <c r="U100" i="1"/>
  <c r="Q101" i="1"/>
  <c r="R101" i="1"/>
  <c r="S101" i="1"/>
  <c r="T101" i="1"/>
  <c r="U101" i="1"/>
  <c r="Q102" i="1"/>
  <c r="R102" i="1"/>
  <c r="Q103" i="1"/>
  <c r="R103" i="1"/>
  <c r="S103" i="1"/>
  <c r="T103" i="1"/>
  <c r="U103" i="1"/>
  <c r="Q104" i="1"/>
  <c r="R104" i="1"/>
  <c r="S104" i="1"/>
  <c r="T104" i="1"/>
  <c r="U104" i="1"/>
  <c r="Q105" i="1"/>
  <c r="R105" i="1"/>
  <c r="S105" i="1"/>
  <c r="T105" i="1"/>
  <c r="U105" i="1"/>
  <c r="Q110" i="1"/>
  <c r="R110" i="1"/>
  <c r="S110" i="1"/>
  <c r="T110" i="1"/>
  <c r="U110" i="1"/>
  <c r="Q111" i="1"/>
  <c r="R111" i="1"/>
  <c r="S111" i="1"/>
  <c r="T111" i="1"/>
  <c r="U111" i="1"/>
  <c r="Q112" i="1"/>
  <c r="S112" i="1"/>
  <c r="U112" i="1"/>
  <c r="Q113" i="1"/>
  <c r="R113" i="1"/>
  <c r="S113" i="1"/>
  <c r="T113" i="1"/>
  <c r="U113" i="1"/>
  <c r="Q114" i="1"/>
  <c r="R114" i="1"/>
  <c r="S114" i="1"/>
  <c r="T114" i="1"/>
  <c r="U114" i="1"/>
  <c r="Q115" i="1"/>
  <c r="R115" i="1"/>
  <c r="S115" i="1"/>
  <c r="T115" i="1"/>
  <c r="U115" i="1"/>
  <c r="Q119" i="1"/>
  <c r="R119" i="1"/>
  <c r="S119" i="1"/>
  <c r="T119" i="1"/>
  <c r="U119" i="1"/>
  <c r="Q120" i="1"/>
  <c r="R120" i="1"/>
  <c r="S120" i="1"/>
  <c r="T120" i="1"/>
  <c r="U120" i="1"/>
  <c r="Q121" i="1"/>
  <c r="R121" i="1"/>
  <c r="S121" i="1"/>
  <c r="T121" i="1"/>
  <c r="U121" i="1"/>
  <c r="Q123" i="1"/>
  <c r="R123" i="1"/>
  <c r="S123" i="1"/>
  <c r="T123" i="1"/>
  <c r="U123" i="1"/>
  <c r="Q124" i="1"/>
  <c r="R124" i="1"/>
  <c r="S124" i="1"/>
  <c r="T124" i="1"/>
  <c r="U124" i="1"/>
  <c r="Q125" i="1"/>
  <c r="R125" i="1"/>
  <c r="S125" i="1"/>
  <c r="T125" i="1"/>
  <c r="U125" i="1"/>
  <c r="Q127" i="1"/>
  <c r="R127" i="1"/>
  <c r="S127" i="1"/>
  <c r="T127" i="1"/>
  <c r="U127" i="1"/>
  <c r="Q129" i="1"/>
  <c r="R129" i="1"/>
  <c r="S129" i="1"/>
  <c r="T129" i="1"/>
  <c r="U129" i="1"/>
  <c r="Q130" i="1"/>
  <c r="R130" i="1"/>
  <c r="S130" i="1"/>
  <c r="T130" i="1"/>
  <c r="U130" i="1"/>
  <c r="Q131" i="1"/>
  <c r="R131" i="1"/>
  <c r="S131" i="1"/>
  <c r="T131" i="1"/>
  <c r="U131" i="1"/>
  <c r="Q134" i="1"/>
  <c r="S134" i="1"/>
  <c r="T134" i="1"/>
  <c r="U134" i="1"/>
  <c r="Q135" i="1"/>
  <c r="R135" i="1"/>
  <c r="S135" i="1"/>
  <c r="T135" i="1"/>
  <c r="U135" i="1"/>
  <c r="Q189" i="1"/>
  <c r="R189" i="1"/>
  <c r="S189" i="1"/>
  <c r="T189" i="1"/>
  <c r="U189" i="1"/>
  <c r="Q191" i="1"/>
  <c r="R191" i="1"/>
  <c r="S191" i="1"/>
  <c r="T191" i="1"/>
  <c r="U191" i="1"/>
  <c r="Q192" i="1"/>
  <c r="R192" i="1"/>
  <c r="S192" i="1"/>
  <c r="T192" i="1"/>
  <c r="U192" i="1"/>
  <c r="Q193" i="1"/>
  <c r="R193" i="1"/>
  <c r="S193" i="1"/>
  <c r="T193" i="1"/>
  <c r="U193" i="1"/>
  <c r="Q194" i="1"/>
  <c r="R194" i="1"/>
  <c r="S194" i="1"/>
  <c r="T194" i="1"/>
  <c r="U194" i="1"/>
  <c r="Q195" i="1"/>
  <c r="R195" i="1"/>
  <c r="S195" i="1"/>
  <c r="T195" i="1"/>
  <c r="U195" i="1"/>
  <c r="Q196" i="1"/>
  <c r="R196" i="1"/>
  <c r="S196" i="1"/>
  <c r="T196" i="1"/>
  <c r="U196" i="1"/>
  <c r="Q197" i="1"/>
  <c r="R197" i="1"/>
  <c r="S197" i="1"/>
  <c r="T197" i="1"/>
  <c r="U197" i="1"/>
  <c r="Q201" i="1"/>
  <c r="R201" i="1"/>
  <c r="S201" i="1"/>
  <c r="T201" i="1"/>
  <c r="U201" i="1"/>
  <c r="Q202" i="1"/>
  <c r="R202" i="1"/>
  <c r="S202" i="1"/>
  <c r="T202" i="1"/>
  <c r="U202" i="1"/>
  <c r="Q203" i="1"/>
  <c r="R203" i="1"/>
  <c r="S203" i="1"/>
  <c r="T204" i="1"/>
  <c r="T205" i="1"/>
  <c r="U205" i="1"/>
  <c r="Q206" i="1"/>
  <c r="R206" i="1"/>
  <c r="S206" i="1"/>
  <c r="T206" i="1"/>
  <c r="U206" i="1"/>
  <c r="Q207" i="1"/>
  <c r="R207" i="1"/>
  <c r="S207" i="1"/>
  <c r="T207" i="1"/>
  <c r="U207" i="1"/>
  <c r="Q209" i="1"/>
  <c r="R209" i="1"/>
  <c r="S209" i="1"/>
  <c r="T209" i="1"/>
  <c r="U209" i="1"/>
  <c r="Q211" i="1"/>
  <c r="R211" i="1"/>
  <c r="S211" i="1"/>
  <c r="T211" i="1"/>
  <c r="U211" i="1"/>
  <c r="Q212" i="1"/>
  <c r="R212" i="1"/>
  <c r="S212" i="1"/>
  <c r="T212" i="1"/>
  <c r="U212" i="1"/>
  <c r="Q213" i="1"/>
  <c r="R213" i="1"/>
  <c r="S213" i="1"/>
  <c r="T213" i="1"/>
  <c r="U213" i="1"/>
  <c r="Q214" i="1"/>
  <c r="R214" i="1"/>
  <c r="S214" i="1"/>
  <c r="T214" i="1"/>
  <c r="U214" i="1"/>
  <c r="Q215" i="1"/>
  <c r="R215" i="1"/>
  <c r="S215" i="1"/>
  <c r="T215" i="1"/>
  <c r="U215" i="1"/>
  <c r="Q216" i="1"/>
  <c r="R216" i="1"/>
  <c r="S216" i="1"/>
  <c r="T216" i="1"/>
  <c r="U216" i="1"/>
  <c r="Q217" i="1"/>
  <c r="R217" i="1"/>
  <c r="S217" i="1"/>
  <c r="T217" i="1"/>
  <c r="U217" i="1"/>
  <c r="Q221" i="1"/>
  <c r="R221" i="1"/>
  <c r="S221" i="1"/>
  <c r="T221" i="1"/>
  <c r="U221" i="1"/>
  <c r="Q223" i="1"/>
  <c r="R223" i="1"/>
  <c r="S223" i="1"/>
  <c r="T223" i="1"/>
  <c r="U223" i="1"/>
  <c r="Q224" i="1"/>
  <c r="R224" i="1"/>
  <c r="S224" i="1"/>
  <c r="T224" i="1"/>
  <c r="U224" i="1"/>
  <c r="Q225" i="1"/>
  <c r="R225" i="1"/>
  <c r="S225" i="1"/>
  <c r="T225" i="1"/>
  <c r="U225" i="1"/>
  <c r="Q227" i="1"/>
  <c r="R227" i="1"/>
  <c r="S227" i="1"/>
  <c r="T227" i="1"/>
  <c r="U227" i="1"/>
  <c r="Q228" i="1"/>
  <c r="R228" i="1"/>
  <c r="S228" i="1"/>
  <c r="T228" i="1"/>
  <c r="U228" i="1"/>
  <c r="Q229" i="1"/>
  <c r="R229" i="1"/>
  <c r="S229" i="1"/>
  <c r="T229" i="1"/>
  <c r="U229" i="1"/>
  <c r="Q231" i="1"/>
  <c r="R231" i="1"/>
  <c r="S231" i="1"/>
  <c r="T231" i="1"/>
  <c r="U231" i="1"/>
  <c r="Q233" i="1"/>
  <c r="R233" i="1"/>
  <c r="S233" i="1"/>
  <c r="T233" i="1"/>
  <c r="U233" i="1"/>
  <c r="Q234" i="1"/>
  <c r="R234" i="1"/>
  <c r="S234" i="1"/>
  <c r="T234" i="1"/>
  <c r="U234" i="1"/>
  <c r="Q235" i="1"/>
  <c r="R235" i="1"/>
  <c r="S235" i="1"/>
  <c r="T235" i="1"/>
  <c r="U235" i="1"/>
  <c r="Q237" i="1"/>
  <c r="R237" i="1"/>
  <c r="S237" i="1"/>
  <c r="T237" i="1"/>
  <c r="U237" i="1"/>
  <c r="Q238" i="1"/>
  <c r="R238" i="1"/>
  <c r="S238" i="1"/>
  <c r="T238" i="1"/>
  <c r="U238" i="1"/>
  <c r="Q239" i="1"/>
  <c r="R239" i="1"/>
  <c r="S239" i="1"/>
  <c r="T239" i="1"/>
  <c r="U239" i="1"/>
  <c r="Q251" i="1"/>
  <c r="R251" i="1"/>
  <c r="S251" i="1"/>
  <c r="T251" i="1"/>
  <c r="U251" i="1"/>
  <c r="Q253" i="1"/>
  <c r="R253" i="1"/>
  <c r="S253" i="1"/>
  <c r="T253" i="1"/>
  <c r="U253" i="1"/>
  <c r="Q254" i="1"/>
  <c r="R254" i="1"/>
  <c r="S254" i="1"/>
  <c r="T254" i="1"/>
  <c r="U254" i="1"/>
  <c r="Q255" i="1"/>
  <c r="R255" i="1"/>
  <c r="S255" i="1"/>
  <c r="T255" i="1"/>
  <c r="U255" i="1"/>
  <c r="Q256" i="1"/>
  <c r="R256" i="1"/>
  <c r="S256" i="1"/>
  <c r="Q257" i="1"/>
  <c r="R257" i="1"/>
  <c r="S257" i="1"/>
  <c r="T257" i="1"/>
  <c r="U257" i="1"/>
  <c r="Q258" i="1"/>
  <c r="R258" i="1"/>
  <c r="S258" i="1"/>
  <c r="T258" i="1"/>
  <c r="U258" i="1"/>
  <c r="Q259" i="1"/>
  <c r="R259" i="1"/>
  <c r="S259" i="1"/>
  <c r="T259" i="1"/>
  <c r="U259" i="1"/>
  <c r="Q271" i="1"/>
  <c r="R271" i="1"/>
  <c r="S271" i="1"/>
  <c r="T271" i="1"/>
  <c r="U271" i="1"/>
  <c r="Q273" i="1"/>
  <c r="R273" i="1"/>
  <c r="S273" i="1"/>
  <c r="T273" i="1"/>
  <c r="U273" i="1"/>
  <c r="Q274" i="1"/>
  <c r="R274" i="1"/>
  <c r="S274" i="1"/>
  <c r="T274" i="1"/>
  <c r="U274" i="1"/>
  <c r="Q275" i="1"/>
  <c r="R275" i="1"/>
  <c r="S275" i="1"/>
  <c r="T275" i="1"/>
  <c r="U275" i="1"/>
  <c r="Q277" i="1"/>
  <c r="T277" i="1"/>
  <c r="U277" i="1"/>
  <c r="T278" i="1"/>
  <c r="U278" i="1"/>
  <c r="Q279" i="1"/>
  <c r="R279" i="1"/>
  <c r="S279" i="1"/>
  <c r="T279" i="1"/>
  <c r="U279" i="1"/>
  <c r="Q397" i="1"/>
  <c r="R397" i="1"/>
  <c r="S397" i="1"/>
  <c r="T397" i="1"/>
  <c r="U397" i="1"/>
  <c r="Q399" i="1"/>
  <c r="R399" i="1"/>
  <c r="S399" i="1"/>
  <c r="T399" i="1"/>
  <c r="U399" i="1"/>
  <c r="Q400" i="1"/>
  <c r="R400" i="1"/>
  <c r="S400" i="1"/>
  <c r="T400" i="1"/>
  <c r="U400" i="1"/>
  <c r="Q401" i="1"/>
  <c r="R401" i="1"/>
  <c r="S401" i="1"/>
  <c r="T401" i="1"/>
  <c r="U401" i="1"/>
  <c r="Q402" i="1"/>
  <c r="R402" i="1"/>
  <c r="S402" i="1"/>
  <c r="T402" i="1"/>
  <c r="U402" i="1"/>
  <c r="Q403" i="1"/>
  <c r="R403" i="1"/>
  <c r="S403" i="1"/>
  <c r="T403" i="1"/>
  <c r="U403" i="1"/>
  <c r="Q404" i="1"/>
  <c r="R404" i="1"/>
  <c r="S404" i="1"/>
  <c r="T404" i="1"/>
  <c r="U404" i="1"/>
  <c r="Q405" i="1"/>
  <c r="R405" i="1"/>
  <c r="S405" i="1"/>
  <c r="T405" i="1"/>
  <c r="U405" i="1"/>
  <c r="Q407" i="1"/>
  <c r="R407" i="1"/>
  <c r="S407" i="1"/>
  <c r="T407" i="1"/>
  <c r="U407" i="1"/>
  <c r="Q409" i="1"/>
  <c r="R409" i="1"/>
  <c r="S409" i="1"/>
  <c r="T409" i="1"/>
  <c r="U409" i="1"/>
  <c r="Q410" i="1"/>
  <c r="R410" i="1"/>
  <c r="S410" i="1"/>
  <c r="T410" i="1"/>
  <c r="U410" i="1"/>
  <c r="Q411" i="1"/>
  <c r="R411" i="1"/>
  <c r="S411" i="1"/>
  <c r="T411" i="1"/>
  <c r="U411" i="1"/>
  <c r="Q413" i="1"/>
  <c r="R413" i="1"/>
  <c r="S413" i="1"/>
  <c r="T413" i="1"/>
  <c r="U413" i="1"/>
  <c r="Q414" i="1"/>
  <c r="R414" i="1"/>
  <c r="S414" i="1"/>
  <c r="T414" i="1"/>
  <c r="U414" i="1"/>
  <c r="Q415" i="1"/>
  <c r="R415" i="1"/>
  <c r="S415" i="1"/>
  <c r="T415" i="1"/>
  <c r="U415" i="1"/>
  <c r="Q417" i="1"/>
  <c r="R417" i="1"/>
  <c r="S417" i="1"/>
  <c r="T417" i="1"/>
  <c r="U417" i="1"/>
  <c r="Q419" i="1"/>
  <c r="R419" i="1"/>
  <c r="S419" i="1"/>
  <c r="T419" i="1"/>
  <c r="U419" i="1"/>
  <c r="Q420" i="1"/>
  <c r="R420" i="1"/>
  <c r="S420" i="1"/>
  <c r="T420" i="1"/>
  <c r="U420" i="1"/>
  <c r="Q421" i="1"/>
  <c r="R421" i="1"/>
  <c r="S421" i="1"/>
  <c r="T421" i="1"/>
  <c r="U421" i="1"/>
  <c r="Q424" i="1"/>
  <c r="R424" i="1"/>
  <c r="S424" i="1"/>
  <c r="T424" i="1"/>
  <c r="U424" i="1"/>
  <c r="Q425" i="1"/>
  <c r="R425" i="1"/>
  <c r="S425" i="1"/>
  <c r="T425" i="1"/>
  <c r="U425" i="1"/>
  <c r="Q429" i="1"/>
  <c r="R429" i="1"/>
  <c r="S429" i="1"/>
  <c r="T429" i="1"/>
  <c r="U429" i="1"/>
  <c r="Q430" i="1"/>
  <c r="R430" i="1"/>
  <c r="S430" i="1"/>
  <c r="T430" i="1"/>
  <c r="U430" i="1"/>
  <c r="Q433" i="1"/>
  <c r="R433" i="1"/>
  <c r="S433" i="1"/>
  <c r="T433" i="1"/>
  <c r="U433" i="1"/>
  <c r="Q434" i="1"/>
  <c r="R434" i="1"/>
  <c r="S434" i="1"/>
  <c r="T434" i="1"/>
  <c r="U434" i="1"/>
  <c r="Q435" i="1"/>
  <c r="R435" i="1"/>
  <c r="S435" i="1"/>
  <c r="T435" i="1"/>
  <c r="U435" i="1"/>
  <c r="Q437" i="1"/>
  <c r="R437" i="1"/>
  <c r="S437" i="1"/>
  <c r="T437" i="1"/>
  <c r="U437" i="1"/>
  <c r="Q439" i="1"/>
  <c r="R439" i="1"/>
  <c r="S439" i="1"/>
  <c r="T439" i="1"/>
  <c r="U439" i="1"/>
  <c r="Q440" i="1"/>
  <c r="R440" i="1"/>
  <c r="S440" i="1"/>
  <c r="T440" i="1"/>
  <c r="U440" i="1"/>
  <c r="Q441" i="1"/>
  <c r="R441" i="1"/>
  <c r="S441" i="1"/>
  <c r="T441" i="1"/>
  <c r="U441" i="1"/>
  <c r="Q443" i="1"/>
  <c r="R443" i="1"/>
  <c r="S443" i="1"/>
  <c r="T443" i="1"/>
  <c r="U443" i="1"/>
  <c r="Q444" i="1"/>
  <c r="R444" i="1"/>
  <c r="S444" i="1"/>
  <c r="T444" i="1"/>
  <c r="U444" i="1"/>
  <c r="Q445" i="1"/>
  <c r="R445" i="1"/>
  <c r="S445" i="1"/>
  <c r="T445" i="1"/>
  <c r="U445" i="1"/>
  <c r="Q447" i="1"/>
  <c r="R447" i="1"/>
  <c r="S447" i="1"/>
  <c r="T447" i="1"/>
  <c r="U447" i="1"/>
  <c r="Q449" i="1"/>
  <c r="R449" i="1"/>
  <c r="S449" i="1"/>
  <c r="T449" i="1"/>
  <c r="U449" i="1"/>
  <c r="Q450" i="1"/>
  <c r="R450" i="1"/>
  <c r="S450" i="1"/>
  <c r="T450" i="1"/>
  <c r="U450" i="1"/>
  <c r="Q451" i="1"/>
  <c r="R451" i="1"/>
  <c r="S451" i="1"/>
  <c r="T451" i="1"/>
  <c r="U451" i="1"/>
  <c r="Q453" i="1"/>
  <c r="R453" i="1"/>
  <c r="S453" i="1"/>
  <c r="T453" i="1"/>
  <c r="U453" i="1"/>
  <c r="Q454" i="1"/>
  <c r="R454" i="1"/>
  <c r="S454" i="1"/>
  <c r="T454" i="1"/>
  <c r="U454" i="1"/>
  <c r="Q455" i="1"/>
  <c r="R455" i="1"/>
  <c r="S455" i="1"/>
  <c r="T455" i="1"/>
  <c r="U455" i="1"/>
  <c r="Q282" i="1"/>
  <c r="R282" i="1"/>
  <c r="S282" i="1"/>
  <c r="T282" i="1"/>
  <c r="U282" i="1"/>
  <c r="Q284" i="1"/>
  <c r="R284" i="1"/>
  <c r="S284" i="1"/>
  <c r="T284" i="1"/>
  <c r="U284" i="1"/>
  <c r="Q285" i="1"/>
  <c r="R285" i="1"/>
  <c r="S285" i="1"/>
  <c r="T285" i="1"/>
  <c r="U285" i="1"/>
  <c r="Q286" i="1"/>
  <c r="R286" i="1"/>
  <c r="S286" i="1"/>
  <c r="T286" i="1"/>
  <c r="U286" i="1"/>
  <c r="Q288" i="1"/>
  <c r="R288" i="1"/>
  <c r="S288" i="1"/>
  <c r="T288" i="1"/>
  <c r="U288" i="1"/>
  <c r="Q289" i="1"/>
  <c r="R289" i="1"/>
  <c r="S289" i="1"/>
  <c r="T289" i="1"/>
  <c r="U289" i="1"/>
  <c r="Q290" i="1"/>
  <c r="R290" i="1"/>
  <c r="S290" i="1"/>
  <c r="T290" i="1"/>
  <c r="U290" i="1"/>
  <c r="Q292" i="1"/>
  <c r="R292" i="1"/>
  <c r="S292" i="1"/>
  <c r="T292" i="1"/>
  <c r="U292" i="1"/>
  <c r="Q294" i="1"/>
  <c r="R294" i="1"/>
  <c r="S294" i="1"/>
  <c r="T294" i="1"/>
  <c r="U294" i="1"/>
  <c r="Q295" i="1"/>
  <c r="R295" i="1"/>
  <c r="S295" i="1"/>
  <c r="T295" i="1"/>
  <c r="U295" i="1"/>
  <c r="Q296" i="1"/>
  <c r="R296" i="1"/>
  <c r="S296" i="1"/>
  <c r="T296" i="1"/>
  <c r="U296" i="1"/>
  <c r="Q298" i="1"/>
  <c r="R298" i="1"/>
  <c r="S298" i="1"/>
  <c r="T298" i="1"/>
  <c r="U298" i="1"/>
  <c r="Q299" i="1"/>
  <c r="R299" i="1"/>
  <c r="S299" i="1"/>
  <c r="T299" i="1"/>
  <c r="U299" i="1"/>
  <c r="Q300" i="1"/>
  <c r="R300" i="1"/>
  <c r="S300" i="1"/>
  <c r="T300" i="1"/>
  <c r="U300" i="1"/>
  <c r="Q302" i="1"/>
  <c r="R302" i="1"/>
  <c r="S302" i="1"/>
  <c r="T302" i="1"/>
  <c r="U302" i="1"/>
  <c r="Q304" i="1"/>
  <c r="R304" i="1"/>
  <c r="S304" i="1"/>
  <c r="T304" i="1"/>
  <c r="U304" i="1"/>
  <c r="Q305" i="1"/>
  <c r="R305" i="1"/>
  <c r="S305" i="1"/>
  <c r="T305" i="1"/>
  <c r="U305" i="1"/>
  <c r="Q306" i="1"/>
  <c r="R306" i="1"/>
  <c r="S306" i="1"/>
  <c r="T306" i="1"/>
  <c r="U306" i="1"/>
  <c r="Q307" i="1"/>
  <c r="R307" i="1"/>
  <c r="S307" i="1"/>
  <c r="T307" i="1"/>
  <c r="U307" i="1"/>
  <c r="Q308" i="1"/>
  <c r="R308" i="1"/>
  <c r="S308" i="1"/>
  <c r="T308" i="1"/>
  <c r="U308" i="1"/>
  <c r="Q309" i="1"/>
  <c r="R309" i="1"/>
  <c r="S309" i="1"/>
  <c r="T309" i="1"/>
  <c r="U309" i="1"/>
  <c r="Q310" i="1"/>
  <c r="R310" i="1"/>
  <c r="S310" i="1"/>
  <c r="T310" i="1"/>
  <c r="U310" i="1"/>
  <c r="Q313" i="1"/>
  <c r="C115" i="5" s="1"/>
  <c r="R313" i="1"/>
  <c r="D115" i="5" s="1"/>
  <c r="S313" i="1"/>
  <c r="E115" i="5" s="1"/>
  <c r="T313" i="1"/>
  <c r="F115" i="5" s="1"/>
  <c r="U313" i="1"/>
  <c r="G115" i="5" s="1"/>
  <c r="Q315" i="1"/>
  <c r="C117" i="5" s="1"/>
  <c r="R315" i="1"/>
  <c r="D117" i="5" s="1"/>
  <c r="S315" i="1"/>
  <c r="E117" i="5" s="1"/>
  <c r="T315" i="1"/>
  <c r="F117" i="5" s="1"/>
  <c r="U315" i="1"/>
  <c r="G117" i="5" s="1"/>
  <c r="Q316" i="1"/>
  <c r="C118" i="5" s="1"/>
  <c r="R316" i="1"/>
  <c r="D118" i="5" s="1"/>
  <c r="S316" i="1"/>
  <c r="E118" i="5" s="1"/>
  <c r="T316" i="1"/>
  <c r="F118" i="5" s="1"/>
  <c r="U316" i="1"/>
  <c r="G118" i="5" s="1"/>
  <c r="Q317" i="1"/>
  <c r="C119" i="5" s="1"/>
  <c r="R317" i="1"/>
  <c r="D119" i="5" s="1"/>
  <c r="S317" i="1"/>
  <c r="E119" i="5" s="1"/>
  <c r="T317" i="1"/>
  <c r="F119" i="5" s="1"/>
  <c r="U317" i="1"/>
  <c r="G119" i="5" s="1"/>
  <c r="Q319" i="1"/>
  <c r="C121" i="5" s="1"/>
  <c r="R319" i="1"/>
  <c r="D121" i="5" s="1"/>
  <c r="S319" i="1"/>
  <c r="E121" i="5" s="1"/>
  <c r="T319" i="1"/>
  <c r="F121" i="5" s="1"/>
  <c r="U319" i="1"/>
  <c r="G121" i="5" s="1"/>
  <c r="Q320" i="1"/>
  <c r="C122" i="5" s="1"/>
  <c r="R320" i="1"/>
  <c r="D122" i="5" s="1"/>
  <c r="S320" i="1"/>
  <c r="E122" i="5" s="1"/>
  <c r="T320" i="1"/>
  <c r="F122" i="5" s="1"/>
  <c r="U320" i="1"/>
  <c r="G122" i="5" s="1"/>
  <c r="Q321" i="1"/>
  <c r="C123" i="5" s="1"/>
  <c r="R321" i="1"/>
  <c r="D123" i="5" s="1"/>
  <c r="S321" i="1"/>
  <c r="E123" i="5" s="1"/>
  <c r="T321" i="1"/>
  <c r="F123" i="5" s="1"/>
  <c r="U321" i="1"/>
  <c r="G123" i="5" s="1"/>
  <c r="Q326" i="1"/>
  <c r="C128" i="5" s="1"/>
  <c r="R326" i="1"/>
  <c r="D128" i="5" s="1"/>
  <c r="S326" i="1"/>
  <c r="E128" i="5" s="1"/>
  <c r="T326" i="1"/>
  <c r="F128" i="5" s="1"/>
  <c r="U326" i="1"/>
  <c r="G128" i="5" s="1"/>
  <c r="Q327" i="1"/>
  <c r="C129" i="5" s="1"/>
  <c r="R327" i="1"/>
  <c r="D129" i="5" s="1"/>
  <c r="S327" i="1"/>
  <c r="E129" i="5" s="1"/>
  <c r="T327" i="1"/>
  <c r="F129" i="5" s="1"/>
  <c r="U327" i="1"/>
  <c r="G129" i="5" s="1"/>
  <c r="Q328" i="1"/>
  <c r="C130" i="5" s="1"/>
  <c r="R328" i="1"/>
  <c r="D130" i="5" s="1"/>
  <c r="S328" i="1"/>
  <c r="E130" i="5" s="1"/>
  <c r="T328" i="1"/>
  <c r="F130" i="5" s="1"/>
  <c r="U328" i="1"/>
  <c r="G130" i="5" s="1"/>
  <c r="T330" i="1"/>
  <c r="F132" i="5" s="1"/>
  <c r="U330" i="1"/>
  <c r="G132" i="5" s="1"/>
  <c r="T331" i="1"/>
  <c r="F133" i="5" s="1"/>
  <c r="U331" i="1"/>
  <c r="G133" i="5" s="1"/>
  <c r="Q332" i="1"/>
  <c r="C134" i="5" s="1"/>
  <c r="R332" i="1"/>
  <c r="D134" i="5" s="1"/>
  <c r="S332" i="1"/>
  <c r="E134" i="5" s="1"/>
  <c r="T332" i="1"/>
  <c r="F134" i="5" s="1"/>
  <c r="U332" i="1"/>
  <c r="G134" i="5" s="1"/>
  <c r="Q335" i="1"/>
  <c r="R335" i="1"/>
  <c r="S335" i="1"/>
  <c r="T335" i="1"/>
  <c r="U335" i="1"/>
  <c r="Q337" i="1"/>
  <c r="R337" i="1"/>
  <c r="S337" i="1"/>
  <c r="T337" i="1"/>
  <c r="U337" i="1"/>
  <c r="Q338" i="1"/>
  <c r="R338" i="1"/>
  <c r="S338" i="1"/>
  <c r="T338" i="1"/>
  <c r="U338" i="1"/>
  <c r="Q339" i="1"/>
  <c r="R339" i="1"/>
  <c r="S339" i="1"/>
  <c r="T339" i="1"/>
  <c r="U339" i="1"/>
  <c r="Q341" i="1"/>
  <c r="R341" i="1"/>
  <c r="S341" i="1"/>
  <c r="T341" i="1"/>
  <c r="U341" i="1"/>
  <c r="Q342" i="1"/>
  <c r="R342" i="1"/>
  <c r="S342" i="1"/>
  <c r="T342" i="1"/>
  <c r="U342" i="1"/>
  <c r="Q343" i="1"/>
  <c r="R343" i="1"/>
  <c r="S343" i="1"/>
  <c r="T343" i="1"/>
  <c r="U343" i="1"/>
  <c r="Q355" i="1"/>
  <c r="R355" i="1"/>
  <c r="S355" i="1"/>
  <c r="T355" i="1"/>
  <c r="U355" i="1"/>
  <c r="Q357" i="1"/>
  <c r="R357" i="1"/>
  <c r="S357" i="1"/>
  <c r="T357" i="1"/>
  <c r="U357" i="1"/>
  <c r="Q358" i="1"/>
  <c r="R358" i="1"/>
  <c r="S358" i="1"/>
  <c r="T358" i="1"/>
  <c r="U358" i="1"/>
  <c r="Q359" i="1"/>
  <c r="R359" i="1"/>
  <c r="S359" i="1"/>
  <c r="T359" i="1"/>
  <c r="U359" i="1"/>
  <c r="Q361" i="1"/>
  <c r="R361" i="1"/>
  <c r="S361" i="1"/>
  <c r="T361" i="1"/>
  <c r="U361" i="1"/>
  <c r="Q362" i="1"/>
  <c r="R362" i="1"/>
  <c r="S362" i="1"/>
  <c r="T362" i="1"/>
  <c r="U362" i="1"/>
  <c r="Q363" i="1"/>
  <c r="R363" i="1"/>
  <c r="S363" i="1"/>
  <c r="T363" i="1"/>
  <c r="U363" i="1"/>
  <c r="Q147" i="1"/>
  <c r="R147" i="1"/>
  <c r="S147" i="1"/>
  <c r="T147" i="1"/>
  <c r="U147" i="1"/>
  <c r="Q149" i="1"/>
  <c r="R149" i="1"/>
  <c r="S149" i="1"/>
  <c r="T149" i="1"/>
  <c r="U149" i="1"/>
  <c r="Q150" i="1"/>
  <c r="R150" i="1"/>
  <c r="S150" i="1"/>
  <c r="T150" i="1"/>
  <c r="U150" i="1"/>
  <c r="Q151" i="1"/>
  <c r="R151" i="1"/>
  <c r="S151" i="1"/>
  <c r="T151" i="1"/>
  <c r="U151" i="1"/>
  <c r="Q153" i="1"/>
  <c r="R153" i="1"/>
  <c r="S153" i="1"/>
  <c r="T153" i="1"/>
  <c r="U153" i="1"/>
  <c r="Q154" i="1"/>
  <c r="R154" i="1"/>
  <c r="S154" i="1"/>
  <c r="T154" i="1"/>
  <c r="U154" i="1"/>
  <c r="Q155" i="1"/>
  <c r="R155" i="1"/>
  <c r="S155" i="1"/>
  <c r="T155" i="1"/>
  <c r="U155" i="1"/>
  <c r="C247" i="5"/>
  <c r="C203" i="5" s="1"/>
  <c r="Q1229" i="1"/>
  <c r="R1229" i="1"/>
  <c r="S1229" i="1"/>
  <c r="T1229" i="1"/>
  <c r="U1229" i="1"/>
  <c r="Q1231" i="1"/>
  <c r="R1231" i="1"/>
  <c r="S1231" i="1"/>
  <c r="T1231" i="1"/>
  <c r="U1231" i="1"/>
  <c r="Q1232" i="1"/>
  <c r="R1232" i="1"/>
  <c r="S1232" i="1"/>
  <c r="T1232" i="1"/>
  <c r="U1232" i="1"/>
  <c r="Q1233" i="1"/>
  <c r="R1233" i="1"/>
  <c r="S1233" i="1"/>
  <c r="T1233" i="1"/>
  <c r="U1233" i="1"/>
  <c r="Q1235" i="1"/>
  <c r="S1235" i="1"/>
  <c r="T1235" i="1"/>
  <c r="U1235" i="1"/>
  <c r="Q1236" i="1"/>
  <c r="R1236" i="1"/>
  <c r="S1236" i="1"/>
  <c r="T1236" i="1"/>
  <c r="U1236" i="1"/>
  <c r="Q1237" i="1"/>
  <c r="R1237" i="1"/>
  <c r="S1237" i="1"/>
  <c r="T1237" i="1"/>
  <c r="U1237" i="1"/>
  <c r="Q1249" i="1"/>
  <c r="R1249" i="1"/>
  <c r="S1249" i="1"/>
  <c r="T1249" i="1"/>
  <c r="U1249" i="1"/>
  <c r="Q1251" i="1"/>
  <c r="R1251" i="1"/>
  <c r="S1251" i="1"/>
  <c r="T1251" i="1"/>
  <c r="U1251" i="1"/>
  <c r="Q1252" i="1"/>
  <c r="R1252" i="1"/>
  <c r="S1252" i="1"/>
  <c r="T1252" i="1"/>
  <c r="U1252" i="1"/>
  <c r="Q1253" i="1"/>
  <c r="R1253" i="1"/>
  <c r="S1253" i="1"/>
  <c r="T1253" i="1"/>
  <c r="U1253" i="1"/>
  <c r="Q1255" i="1"/>
  <c r="R1255" i="1"/>
  <c r="S1255" i="1"/>
  <c r="T1255" i="1"/>
  <c r="U1255" i="1"/>
  <c r="Q1256" i="1"/>
  <c r="R1256" i="1"/>
  <c r="S1256" i="1"/>
  <c r="T1256" i="1"/>
  <c r="U1256" i="1"/>
  <c r="Q1257" i="1"/>
  <c r="R1257" i="1"/>
  <c r="S1257" i="1"/>
  <c r="T1257" i="1"/>
  <c r="U1257" i="1"/>
  <c r="Q1259" i="1"/>
  <c r="R1259" i="1"/>
  <c r="S1259" i="1"/>
  <c r="T1259" i="1"/>
  <c r="U1259" i="1"/>
  <c r="Q1261" i="1"/>
  <c r="R1261" i="1"/>
  <c r="S1261" i="1"/>
  <c r="T1261" i="1"/>
  <c r="U1261" i="1"/>
  <c r="Q1262" i="1"/>
  <c r="R1262" i="1"/>
  <c r="S1262" i="1"/>
  <c r="T1262" i="1"/>
  <c r="U1262" i="1"/>
  <c r="Q1263" i="1"/>
  <c r="R1263" i="1"/>
  <c r="S1263" i="1"/>
  <c r="T1263" i="1"/>
  <c r="U1263" i="1"/>
  <c r="Q1265" i="1"/>
  <c r="R1265" i="1"/>
  <c r="S1265" i="1"/>
  <c r="T1265" i="1"/>
  <c r="U1265" i="1"/>
  <c r="Q1266" i="1"/>
  <c r="R1266" i="1"/>
  <c r="S1266" i="1"/>
  <c r="T1266" i="1"/>
  <c r="U1266" i="1"/>
  <c r="Q1267" i="1"/>
  <c r="R1267" i="1"/>
  <c r="S1267" i="1"/>
  <c r="T1267" i="1"/>
  <c r="U1267" i="1"/>
  <c r="Q1045" i="1"/>
  <c r="R1045" i="1"/>
  <c r="S1045" i="1"/>
  <c r="T1045" i="1"/>
  <c r="U1045" i="1"/>
  <c r="Q1047" i="1"/>
  <c r="R1047" i="1"/>
  <c r="S1047" i="1"/>
  <c r="T1047" i="1"/>
  <c r="U1047" i="1"/>
  <c r="Q1048" i="1"/>
  <c r="R1048" i="1"/>
  <c r="S1048" i="1"/>
  <c r="T1048" i="1"/>
  <c r="U1048" i="1"/>
  <c r="Q1049" i="1"/>
  <c r="R1049" i="1"/>
  <c r="S1049" i="1"/>
  <c r="T1049" i="1"/>
  <c r="U1049" i="1"/>
  <c r="Q1050" i="1"/>
  <c r="R1050" i="1"/>
  <c r="S1050" i="1"/>
  <c r="T1050" i="1"/>
  <c r="U1050" i="1"/>
  <c r="Q1051" i="1"/>
  <c r="R1051" i="1"/>
  <c r="S1051" i="1"/>
  <c r="T1051" i="1"/>
  <c r="U1051" i="1"/>
  <c r="Q1052" i="1"/>
  <c r="R1052" i="1"/>
  <c r="S1052" i="1"/>
  <c r="T1052" i="1"/>
  <c r="U1052" i="1"/>
  <c r="Q1053" i="1"/>
  <c r="R1053" i="1"/>
  <c r="S1053" i="1"/>
  <c r="T1053" i="1"/>
  <c r="U1053" i="1"/>
  <c r="Q1065" i="1"/>
  <c r="R1065" i="1"/>
  <c r="S1065" i="1"/>
  <c r="T1065" i="1"/>
  <c r="U1065" i="1"/>
  <c r="Q1067" i="1"/>
  <c r="R1067" i="1"/>
  <c r="S1067" i="1"/>
  <c r="T1067" i="1"/>
  <c r="U1067" i="1"/>
  <c r="Q1068" i="1"/>
  <c r="R1068" i="1"/>
  <c r="S1068" i="1"/>
  <c r="T1068" i="1"/>
  <c r="U1068" i="1"/>
  <c r="Q1069" i="1"/>
  <c r="R1069" i="1"/>
  <c r="S1069" i="1"/>
  <c r="T1069" i="1"/>
  <c r="U1069" i="1"/>
  <c r="Q1071" i="1"/>
  <c r="R1071" i="1"/>
  <c r="S1071" i="1"/>
  <c r="T1071" i="1"/>
  <c r="U1071" i="1"/>
  <c r="Q1072" i="1"/>
  <c r="R1072" i="1"/>
  <c r="S1072" i="1"/>
  <c r="T1072" i="1"/>
  <c r="U1072" i="1"/>
  <c r="Q1073" i="1"/>
  <c r="R1073" i="1"/>
  <c r="S1073" i="1"/>
  <c r="T1073" i="1"/>
  <c r="U1073" i="1"/>
  <c r="Q1075" i="1"/>
  <c r="R1075" i="1"/>
  <c r="S1075" i="1"/>
  <c r="T1075" i="1"/>
  <c r="U1075" i="1"/>
  <c r="Q1077" i="1"/>
  <c r="R1077" i="1"/>
  <c r="S1077" i="1"/>
  <c r="T1077" i="1"/>
  <c r="U1077" i="1"/>
  <c r="Q1078" i="1"/>
  <c r="R1078" i="1"/>
  <c r="S1078" i="1"/>
  <c r="T1078" i="1"/>
  <c r="U1078" i="1"/>
  <c r="Q1079" i="1"/>
  <c r="R1079" i="1"/>
  <c r="S1079" i="1"/>
  <c r="T1079" i="1"/>
  <c r="U1079" i="1"/>
  <c r="Q1081" i="1"/>
  <c r="R1081" i="1"/>
  <c r="S1081" i="1"/>
  <c r="T1081" i="1"/>
  <c r="U1081" i="1"/>
  <c r="Q1082" i="1"/>
  <c r="R1082" i="1"/>
  <c r="S1082" i="1"/>
  <c r="T1082" i="1"/>
  <c r="U1082" i="1"/>
  <c r="Q1083" i="1"/>
  <c r="R1083" i="1"/>
  <c r="S1083" i="1"/>
  <c r="T1083" i="1"/>
  <c r="U1083" i="1"/>
  <c r="Q1085" i="1"/>
  <c r="R1085" i="1"/>
  <c r="S1085" i="1"/>
  <c r="T1085" i="1"/>
  <c r="U1085" i="1"/>
  <c r="Q1087" i="1"/>
  <c r="R1087" i="1"/>
  <c r="S1087" i="1"/>
  <c r="T1087" i="1"/>
  <c r="U1087" i="1"/>
  <c r="Q1088" i="1"/>
  <c r="R1088" i="1"/>
  <c r="S1088" i="1"/>
  <c r="T1088" i="1"/>
  <c r="U1088" i="1"/>
  <c r="Q1089" i="1"/>
  <c r="R1089" i="1"/>
  <c r="S1089" i="1"/>
  <c r="T1089" i="1"/>
  <c r="U1089" i="1"/>
  <c r="Q1091" i="1"/>
  <c r="R1091" i="1"/>
  <c r="S1091" i="1"/>
  <c r="T1091" i="1"/>
  <c r="U1091" i="1"/>
  <c r="Q1092" i="1"/>
  <c r="R1092" i="1"/>
  <c r="S1092" i="1"/>
  <c r="T1092" i="1"/>
  <c r="U1092" i="1"/>
  <c r="Q1093" i="1"/>
  <c r="R1093" i="1"/>
  <c r="S1093" i="1"/>
  <c r="T1093" i="1"/>
  <c r="U1093" i="1"/>
  <c r="Q1095" i="1"/>
  <c r="R1095" i="1"/>
  <c r="S1095" i="1"/>
  <c r="T1095" i="1"/>
  <c r="U1095" i="1"/>
  <c r="Q1097" i="1"/>
  <c r="R1097" i="1"/>
  <c r="S1097" i="1"/>
  <c r="T1097" i="1"/>
  <c r="U1097" i="1"/>
  <c r="Q1098" i="1"/>
  <c r="R1098" i="1"/>
  <c r="S1098" i="1"/>
  <c r="T1098" i="1"/>
  <c r="U1098" i="1"/>
  <c r="Q1099" i="1"/>
  <c r="R1099" i="1"/>
  <c r="S1099" i="1"/>
  <c r="T1099" i="1"/>
  <c r="U1099" i="1"/>
  <c r="Q1101" i="1"/>
  <c r="R1101" i="1"/>
  <c r="S1101" i="1"/>
  <c r="T1101" i="1"/>
  <c r="U1101" i="1"/>
  <c r="Q1102" i="1"/>
  <c r="R1102" i="1"/>
  <c r="S1102" i="1"/>
  <c r="T1102" i="1"/>
  <c r="U1102" i="1"/>
  <c r="Q1103" i="1"/>
  <c r="R1103" i="1"/>
  <c r="S1103" i="1"/>
  <c r="T1103" i="1"/>
  <c r="U1103" i="1"/>
  <c r="Q1125" i="1"/>
  <c r="R1125" i="1"/>
  <c r="S1125" i="1"/>
  <c r="T1125" i="1"/>
  <c r="U1125" i="1"/>
  <c r="Q1127" i="1"/>
  <c r="R1127" i="1"/>
  <c r="S1127" i="1"/>
  <c r="T1127" i="1"/>
  <c r="U1127" i="1"/>
  <c r="Q1128" i="1"/>
  <c r="R1128" i="1"/>
  <c r="S1128" i="1"/>
  <c r="T1128" i="1"/>
  <c r="U1128" i="1"/>
  <c r="Q1129" i="1"/>
  <c r="R1129" i="1"/>
  <c r="S1129" i="1"/>
  <c r="T1129" i="1"/>
  <c r="U1129" i="1"/>
  <c r="Q1131" i="1"/>
  <c r="R1131" i="1"/>
  <c r="S1131" i="1"/>
  <c r="T1131" i="1"/>
  <c r="U1131" i="1"/>
  <c r="Q1132" i="1"/>
  <c r="R1132" i="1"/>
  <c r="S1132" i="1"/>
  <c r="T1132" i="1"/>
  <c r="U1132" i="1"/>
  <c r="Q1133" i="1"/>
  <c r="R1133" i="1"/>
  <c r="S1133" i="1"/>
  <c r="T1133" i="1"/>
  <c r="U1133" i="1"/>
  <c r="Q1168" i="1"/>
  <c r="R1168" i="1"/>
  <c r="S1168" i="1"/>
  <c r="T1168" i="1"/>
  <c r="U1168" i="1"/>
  <c r="Q1170" i="1"/>
  <c r="R1170" i="1"/>
  <c r="S1170" i="1"/>
  <c r="T1170" i="1"/>
  <c r="U1170" i="1"/>
  <c r="Q1171" i="1"/>
  <c r="R1171" i="1"/>
  <c r="S1171" i="1"/>
  <c r="T1171" i="1"/>
  <c r="U1171" i="1"/>
  <c r="Q1172" i="1"/>
  <c r="R1172" i="1"/>
  <c r="S1172" i="1"/>
  <c r="T1172" i="1"/>
  <c r="U1172" i="1"/>
  <c r="Q1174" i="1"/>
  <c r="R1174" i="1"/>
  <c r="S1174" i="1"/>
  <c r="T1174" i="1"/>
  <c r="U1174" i="1"/>
  <c r="Q1175" i="1"/>
  <c r="R1175" i="1"/>
  <c r="S1175" i="1"/>
  <c r="T1175" i="1"/>
  <c r="U1175" i="1"/>
  <c r="Q1176" i="1"/>
  <c r="R1176" i="1"/>
  <c r="S1176" i="1"/>
  <c r="T1176" i="1"/>
  <c r="U1176" i="1"/>
  <c r="Q1402" i="1"/>
  <c r="R1402" i="1"/>
  <c r="S1402" i="1"/>
  <c r="T1402" i="1"/>
  <c r="U1402" i="1"/>
  <c r="Q1404" i="1"/>
  <c r="R1404" i="1"/>
  <c r="S1404" i="1"/>
  <c r="T1404" i="1"/>
  <c r="U1404" i="1"/>
  <c r="Q1405" i="1"/>
  <c r="R1405" i="1"/>
  <c r="S1405" i="1"/>
  <c r="T1405" i="1"/>
  <c r="U1405" i="1"/>
  <c r="Q1406" i="1"/>
  <c r="R1406" i="1"/>
  <c r="S1406" i="1"/>
  <c r="T1406" i="1"/>
  <c r="U1406" i="1"/>
  <c r="Q1408" i="1"/>
  <c r="R1408" i="1"/>
  <c r="S1408" i="1"/>
  <c r="T1408" i="1"/>
  <c r="U1408" i="1"/>
  <c r="Q1409" i="1"/>
  <c r="R1409" i="1"/>
  <c r="S1409" i="1"/>
  <c r="T1409" i="1"/>
  <c r="U1409" i="1"/>
  <c r="Q1410" i="1"/>
  <c r="R1410" i="1"/>
  <c r="S1410" i="1"/>
  <c r="T1410" i="1"/>
  <c r="U1410" i="1"/>
  <c r="Q1341" i="1"/>
  <c r="R1341" i="1"/>
  <c r="S1341" i="1"/>
  <c r="T1341" i="1"/>
  <c r="U1341" i="1"/>
  <c r="Q1343" i="1"/>
  <c r="R1343" i="1"/>
  <c r="S1343" i="1"/>
  <c r="T1343" i="1"/>
  <c r="U1343" i="1"/>
  <c r="Q1344" i="1"/>
  <c r="R1344" i="1"/>
  <c r="S1344" i="1"/>
  <c r="T1344" i="1"/>
  <c r="U1344" i="1"/>
  <c r="Q1345" i="1"/>
  <c r="R1345" i="1"/>
  <c r="S1345" i="1"/>
  <c r="T1345" i="1"/>
  <c r="U1345" i="1"/>
  <c r="Q1347" i="1"/>
  <c r="R1347" i="1"/>
  <c r="S1347" i="1"/>
  <c r="T1347" i="1"/>
  <c r="U1347" i="1"/>
  <c r="Q1348" i="1"/>
  <c r="R1348" i="1"/>
  <c r="S1348" i="1"/>
  <c r="T1348" i="1"/>
  <c r="U1348" i="1"/>
  <c r="Q1349" i="1"/>
  <c r="R1349" i="1"/>
  <c r="S1349" i="1"/>
  <c r="T1349" i="1"/>
  <c r="U1349" i="1"/>
  <c r="Q1412" i="1"/>
  <c r="R1412" i="1"/>
  <c r="S1412" i="1"/>
  <c r="T1412" i="1"/>
  <c r="U1412" i="1"/>
  <c r="Q1414" i="1"/>
  <c r="R1414" i="1"/>
  <c r="S1414" i="1"/>
  <c r="T1414" i="1"/>
  <c r="U1414" i="1"/>
  <c r="Q1415" i="1"/>
  <c r="R1415" i="1"/>
  <c r="S1415" i="1"/>
  <c r="T1415" i="1"/>
  <c r="U1415" i="1"/>
  <c r="Q1416" i="1"/>
  <c r="R1416" i="1"/>
  <c r="S1416" i="1"/>
  <c r="T1416" i="1"/>
  <c r="U1416" i="1"/>
  <c r="Q1418" i="1"/>
  <c r="R1418" i="1"/>
  <c r="S1418" i="1"/>
  <c r="T1418" i="1"/>
  <c r="U1418" i="1"/>
  <c r="Q1419" i="1"/>
  <c r="R1419" i="1"/>
  <c r="S1419" i="1"/>
  <c r="T1419" i="1"/>
  <c r="U1419" i="1"/>
  <c r="Q1420" i="1"/>
  <c r="R1420" i="1"/>
  <c r="S1420" i="1"/>
  <c r="T1420" i="1"/>
  <c r="U1420" i="1"/>
  <c r="Q1361" i="1"/>
  <c r="R1361" i="1"/>
  <c r="S1361" i="1"/>
  <c r="T1361" i="1"/>
  <c r="U1361" i="1"/>
  <c r="Q1363" i="1"/>
  <c r="R1363" i="1"/>
  <c r="S1363" i="1"/>
  <c r="T1363" i="1"/>
  <c r="U1363" i="1"/>
  <c r="Q1364" i="1"/>
  <c r="R1364" i="1"/>
  <c r="S1364" i="1"/>
  <c r="T1364" i="1"/>
  <c r="U1364" i="1"/>
  <c r="Q1365" i="1"/>
  <c r="R1365" i="1"/>
  <c r="S1365" i="1"/>
  <c r="T1365" i="1"/>
  <c r="U1365" i="1"/>
  <c r="Q1367" i="1"/>
  <c r="R1367" i="1"/>
  <c r="S1367" i="1"/>
  <c r="T1367" i="1"/>
  <c r="U1367" i="1"/>
  <c r="Q1368" i="1"/>
  <c r="R1368" i="1"/>
  <c r="S1368" i="1"/>
  <c r="T1368" i="1"/>
  <c r="U1368" i="1"/>
  <c r="Q1369" i="1"/>
  <c r="R1369" i="1"/>
  <c r="S1369" i="1"/>
  <c r="T1369" i="1"/>
  <c r="U1369" i="1"/>
  <c r="Q1381" i="1"/>
  <c r="R1381" i="1"/>
  <c r="S1381" i="1"/>
  <c r="T1381" i="1"/>
  <c r="U1381" i="1"/>
  <c r="Q1383" i="1"/>
  <c r="R1383" i="1"/>
  <c r="S1383" i="1"/>
  <c r="T1383" i="1"/>
  <c r="U1383" i="1"/>
  <c r="Q1384" i="1"/>
  <c r="R1384" i="1"/>
  <c r="S1384" i="1"/>
  <c r="T1384" i="1"/>
  <c r="U1384" i="1"/>
  <c r="Q1385" i="1"/>
  <c r="R1385" i="1"/>
  <c r="S1385" i="1"/>
  <c r="T1385" i="1"/>
  <c r="U1385" i="1"/>
  <c r="Q1387" i="1"/>
  <c r="R1387" i="1"/>
  <c r="S1387" i="1"/>
  <c r="T1387" i="1"/>
  <c r="U1387" i="1"/>
  <c r="Q1388" i="1"/>
  <c r="R1388" i="1"/>
  <c r="S1388" i="1"/>
  <c r="T1388" i="1"/>
  <c r="U1388" i="1"/>
  <c r="Q1389" i="1"/>
  <c r="R1389" i="1"/>
  <c r="S1389" i="1"/>
  <c r="T1389" i="1"/>
  <c r="U1389" i="1"/>
  <c r="Q1310" i="1"/>
  <c r="C412" i="5" s="1"/>
  <c r="R1310" i="1"/>
  <c r="D412" i="5" s="1"/>
  <c r="S1310" i="1"/>
  <c r="E412" i="5" s="1"/>
  <c r="T1310" i="1"/>
  <c r="F412" i="5" s="1"/>
  <c r="U1310" i="1"/>
  <c r="G412" i="5" s="1"/>
  <c r="Q1312" i="1"/>
  <c r="C414" i="5" s="1"/>
  <c r="R1312" i="1"/>
  <c r="D414" i="5" s="1"/>
  <c r="S1312" i="1"/>
  <c r="E414" i="5" s="1"/>
  <c r="T1312" i="1"/>
  <c r="F414" i="5" s="1"/>
  <c r="U1312" i="1"/>
  <c r="G414" i="5" s="1"/>
  <c r="Q1313" i="1"/>
  <c r="C415" i="5" s="1"/>
  <c r="R1313" i="1"/>
  <c r="D415" i="5" s="1"/>
  <c r="S1313" i="1"/>
  <c r="E415" i="5" s="1"/>
  <c r="T1313" i="1"/>
  <c r="F415" i="5" s="1"/>
  <c r="U1313" i="1"/>
  <c r="G415" i="5" s="1"/>
  <c r="Q1314" i="1"/>
  <c r="C416" i="5" s="1"/>
  <c r="R1314" i="1"/>
  <c r="D416" i="5" s="1"/>
  <c r="S1314" i="1"/>
  <c r="E416" i="5" s="1"/>
  <c r="T1314" i="1"/>
  <c r="F416" i="5" s="1"/>
  <c r="U1314" i="1"/>
  <c r="G416" i="5" s="1"/>
  <c r="Q1316" i="1"/>
  <c r="C418" i="5" s="1"/>
  <c r="R1316" i="1"/>
  <c r="D418" i="5" s="1"/>
  <c r="S1316" i="1"/>
  <c r="E418" i="5" s="1"/>
  <c r="T1316" i="1"/>
  <c r="F418" i="5" s="1"/>
  <c r="U1316" i="1"/>
  <c r="G418" i="5" s="1"/>
  <c r="Q1317" i="1"/>
  <c r="C419" i="5" s="1"/>
  <c r="R1317" i="1"/>
  <c r="D419" i="5" s="1"/>
  <c r="S1317" i="1"/>
  <c r="E419" i="5" s="1"/>
  <c r="T1317" i="1"/>
  <c r="F419" i="5" s="1"/>
  <c r="U1317" i="1"/>
  <c r="G419" i="5" s="1"/>
  <c r="Q1318" i="1"/>
  <c r="C420" i="5" s="1"/>
  <c r="R1318" i="1"/>
  <c r="D420" i="5" s="1"/>
  <c r="S1318" i="1"/>
  <c r="E420" i="5" s="1"/>
  <c r="T1318" i="1"/>
  <c r="F420" i="5" s="1"/>
  <c r="U1318" i="1"/>
  <c r="G420" i="5" s="1"/>
  <c r="Q1198" i="1"/>
  <c r="R1198" i="1"/>
  <c r="S1198" i="1"/>
  <c r="T1198" i="1"/>
  <c r="U1198" i="1"/>
  <c r="Q1200" i="1"/>
  <c r="R1200" i="1"/>
  <c r="S1200" i="1"/>
  <c r="T1200" i="1"/>
  <c r="U1200" i="1"/>
  <c r="Q1201" i="1"/>
  <c r="R1201" i="1"/>
  <c r="S1201" i="1"/>
  <c r="T1201" i="1"/>
  <c r="U1201" i="1"/>
  <c r="Q1202" i="1"/>
  <c r="R1202" i="1"/>
  <c r="S1202" i="1"/>
  <c r="T1202" i="1"/>
  <c r="U1202" i="1"/>
  <c r="Q1203" i="1"/>
  <c r="R1203" i="1"/>
  <c r="S1203" i="1"/>
  <c r="T1203" i="1"/>
  <c r="U1203" i="1"/>
  <c r="Q1204" i="1"/>
  <c r="R1204" i="1"/>
  <c r="S1204" i="1"/>
  <c r="T1204" i="1"/>
  <c r="U1204" i="1"/>
  <c r="Q1205" i="1"/>
  <c r="R1205" i="1"/>
  <c r="S1205" i="1"/>
  <c r="T1205" i="1"/>
  <c r="U1205" i="1"/>
  <c r="Q1206" i="1"/>
  <c r="R1206" i="1"/>
  <c r="S1206" i="1"/>
  <c r="T1206" i="1"/>
  <c r="U1206" i="1"/>
  <c r="Q1208" i="1"/>
  <c r="R1208" i="1"/>
  <c r="S1208" i="1"/>
  <c r="T1208" i="1"/>
  <c r="U1208" i="1"/>
  <c r="Q1210" i="1"/>
  <c r="R1210" i="1"/>
  <c r="S1210" i="1"/>
  <c r="T1210" i="1"/>
  <c r="U1210" i="1"/>
  <c r="Q1211" i="1"/>
  <c r="R1211" i="1"/>
  <c r="S1211" i="1"/>
  <c r="T1211" i="1"/>
  <c r="U1211" i="1"/>
  <c r="Q1212" i="1"/>
  <c r="R1212" i="1"/>
  <c r="S1212" i="1"/>
  <c r="T1212" i="1"/>
  <c r="U1212" i="1"/>
  <c r="Q1214" i="1"/>
  <c r="R1214" i="1"/>
  <c r="S1214" i="1"/>
  <c r="T1214" i="1"/>
  <c r="U1214" i="1"/>
  <c r="Q1215" i="1"/>
  <c r="R1215" i="1"/>
  <c r="S1215" i="1"/>
  <c r="T1215" i="1"/>
  <c r="U1215" i="1"/>
  <c r="Q1216" i="1"/>
  <c r="R1216" i="1"/>
  <c r="S1216" i="1"/>
  <c r="T1216" i="1"/>
  <c r="U1216" i="1"/>
  <c r="Q914" i="1"/>
  <c r="C326" i="5" s="1"/>
  <c r="R914" i="1"/>
  <c r="D326" i="5" s="1"/>
  <c r="S914" i="1"/>
  <c r="E326" i="5" s="1"/>
  <c r="T914" i="1"/>
  <c r="F326" i="5" s="1"/>
  <c r="U914" i="1"/>
  <c r="G326" i="5" s="1"/>
  <c r="Q915" i="1"/>
  <c r="C327" i="5" s="1"/>
  <c r="R915" i="1"/>
  <c r="D327" i="5" s="1"/>
  <c r="S915" i="1"/>
  <c r="E327" i="5" s="1"/>
  <c r="T915" i="1"/>
  <c r="F327" i="5" s="1"/>
  <c r="U915" i="1"/>
  <c r="G327" i="5" s="1"/>
  <c r="Q916" i="1"/>
  <c r="C328" i="5" s="1"/>
  <c r="R916" i="1"/>
  <c r="D328" i="5" s="1"/>
  <c r="S916" i="1"/>
  <c r="E328" i="5" s="1"/>
  <c r="T916" i="1"/>
  <c r="F328" i="5" s="1"/>
  <c r="U916" i="1"/>
  <c r="G328" i="5" s="1"/>
  <c r="T918" i="1"/>
  <c r="F330" i="5" s="1"/>
  <c r="U918" i="1"/>
  <c r="G330" i="5" s="1"/>
  <c r="T919" i="1"/>
  <c r="F331" i="5" s="1"/>
  <c r="U919" i="1"/>
  <c r="G331" i="5" s="1"/>
  <c r="Q920" i="1"/>
  <c r="C332" i="5" s="1"/>
  <c r="R920" i="1"/>
  <c r="D332" i="5" s="1"/>
  <c r="S920" i="1"/>
  <c r="E332" i="5" s="1"/>
  <c r="T920" i="1"/>
  <c r="F332" i="5" s="1"/>
  <c r="U920" i="1"/>
  <c r="G332" i="5" s="1"/>
  <c r="Q1055" i="1"/>
  <c r="R1055" i="1"/>
  <c r="S1055" i="1"/>
  <c r="T1055" i="1"/>
  <c r="U1055" i="1"/>
  <c r="Q1057" i="1"/>
  <c r="R1057" i="1"/>
  <c r="S1057" i="1"/>
  <c r="T1057" i="1"/>
  <c r="U1057" i="1"/>
  <c r="Q1058" i="1"/>
  <c r="R1058" i="1"/>
  <c r="S1058" i="1"/>
  <c r="T1058" i="1"/>
  <c r="U1058" i="1"/>
  <c r="Q1059" i="1"/>
  <c r="R1059" i="1"/>
  <c r="S1059" i="1"/>
  <c r="T1059" i="1"/>
  <c r="U1059" i="1"/>
  <c r="Q1061" i="1"/>
  <c r="R1061" i="1"/>
  <c r="S1061" i="1"/>
  <c r="T1061" i="1"/>
  <c r="U1061" i="1"/>
  <c r="Q1062" i="1"/>
  <c r="R1062" i="1"/>
  <c r="S1062" i="1"/>
  <c r="T1062" i="1"/>
  <c r="U1062" i="1"/>
  <c r="Q1063" i="1"/>
  <c r="R1063" i="1"/>
  <c r="S1063" i="1"/>
  <c r="T1063" i="1"/>
  <c r="U1063" i="1"/>
  <c r="Q1437" i="1"/>
  <c r="R1437" i="1"/>
  <c r="S1437" i="1"/>
  <c r="T1437" i="1"/>
  <c r="U1437" i="1"/>
  <c r="Q1438" i="1"/>
  <c r="R1438" i="1"/>
  <c r="S1438" i="1"/>
  <c r="T1438" i="1"/>
  <c r="U1438" i="1"/>
  <c r="Q1439" i="1"/>
  <c r="R1439" i="1"/>
  <c r="S1439" i="1"/>
  <c r="T1439" i="1"/>
  <c r="U1439" i="1"/>
  <c r="Q1441" i="1"/>
  <c r="R1441" i="1"/>
  <c r="S1441" i="1"/>
  <c r="T1441" i="1"/>
  <c r="U1441" i="1"/>
  <c r="Q1442" i="1"/>
  <c r="R1442" i="1"/>
  <c r="S1442" i="1"/>
  <c r="T1442" i="1"/>
  <c r="U1442" i="1"/>
  <c r="Q1443" i="1"/>
  <c r="R1443" i="1"/>
  <c r="S1443" i="1"/>
  <c r="T1443" i="1"/>
  <c r="U1443" i="1"/>
  <c r="Q1445" i="1"/>
  <c r="R1445" i="1"/>
  <c r="S1445" i="1"/>
  <c r="T1445" i="1"/>
  <c r="U1445" i="1"/>
  <c r="Q1447" i="1"/>
  <c r="R1447" i="1"/>
  <c r="S1447" i="1"/>
  <c r="T1447" i="1"/>
  <c r="U1447" i="1"/>
  <c r="Q1448" i="1"/>
  <c r="R1448" i="1"/>
  <c r="S1448" i="1"/>
  <c r="T1448" i="1"/>
  <c r="U1448" i="1"/>
  <c r="Q1449" i="1"/>
  <c r="R1449" i="1"/>
  <c r="S1449" i="1"/>
  <c r="T1449" i="1"/>
  <c r="U1449" i="1"/>
  <c r="Q1451" i="1"/>
  <c r="R1451" i="1"/>
  <c r="S1451" i="1"/>
  <c r="T1451" i="1"/>
  <c r="U1451" i="1"/>
  <c r="Q1452" i="1"/>
  <c r="R1452" i="1"/>
  <c r="S1452" i="1"/>
  <c r="T1452" i="1"/>
  <c r="U1452" i="1"/>
  <c r="Q1453" i="1"/>
  <c r="R1453" i="1"/>
  <c r="S1453" i="1"/>
  <c r="T1453" i="1"/>
  <c r="U1453" i="1"/>
  <c r="Q1456" i="1"/>
  <c r="R1456" i="1"/>
  <c r="S1456" i="1"/>
  <c r="T1456" i="1"/>
  <c r="U1456" i="1"/>
  <c r="Q1458" i="1"/>
  <c r="R1458" i="1"/>
  <c r="S1458" i="1"/>
  <c r="T1458" i="1"/>
  <c r="U1458" i="1"/>
  <c r="Q1459" i="1"/>
  <c r="R1459" i="1"/>
  <c r="S1459" i="1"/>
  <c r="T1459" i="1"/>
  <c r="U1459" i="1"/>
  <c r="Q1460" i="1"/>
  <c r="R1460" i="1"/>
  <c r="S1460" i="1"/>
  <c r="T1460" i="1"/>
  <c r="U1460" i="1"/>
  <c r="Q1462" i="1"/>
  <c r="R1462" i="1"/>
  <c r="S1462" i="1"/>
  <c r="T1462" i="1"/>
  <c r="U1462" i="1"/>
  <c r="Q1463" i="1"/>
  <c r="R1463" i="1"/>
  <c r="S1463" i="1"/>
  <c r="T1463" i="1"/>
  <c r="U1463" i="1"/>
  <c r="Q1464" i="1"/>
  <c r="R1464" i="1"/>
  <c r="S1464" i="1"/>
  <c r="T1464" i="1"/>
  <c r="U1464" i="1"/>
  <c r="Q1466" i="1"/>
  <c r="R1466" i="1"/>
  <c r="S1466" i="1"/>
  <c r="T1466" i="1"/>
  <c r="U1466" i="1"/>
  <c r="Q1468" i="1"/>
  <c r="R1468" i="1"/>
  <c r="S1468" i="1"/>
  <c r="T1468" i="1"/>
  <c r="U1468" i="1"/>
  <c r="Q1469" i="1"/>
  <c r="R1469" i="1"/>
  <c r="S1469" i="1"/>
  <c r="T1469" i="1"/>
  <c r="U1469" i="1"/>
  <c r="Q1470" i="1"/>
  <c r="R1470" i="1"/>
  <c r="S1470" i="1"/>
  <c r="T1470" i="1"/>
  <c r="U1470" i="1"/>
  <c r="Q1472" i="1"/>
  <c r="R1472" i="1"/>
  <c r="S1472" i="1"/>
  <c r="T1472" i="1"/>
  <c r="U1472" i="1"/>
  <c r="Q1473" i="1"/>
  <c r="R1473" i="1"/>
  <c r="S1473" i="1"/>
  <c r="T1473" i="1"/>
  <c r="U1473" i="1"/>
  <c r="Q1474" i="1"/>
  <c r="R1474" i="1"/>
  <c r="S1474" i="1"/>
  <c r="T1474" i="1"/>
  <c r="U1474" i="1"/>
  <c r="Q1476" i="1"/>
  <c r="R1476" i="1"/>
  <c r="S1476" i="1"/>
  <c r="T1476" i="1"/>
  <c r="U1476" i="1"/>
  <c r="Q1478" i="1"/>
  <c r="R1478" i="1"/>
  <c r="S1478" i="1"/>
  <c r="T1478" i="1"/>
  <c r="U1478" i="1"/>
  <c r="Q1479" i="1"/>
  <c r="R1479" i="1"/>
  <c r="S1479" i="1"/>
  <c r="T1479" i="1"/>
  <c r="U1479" i="1"/>
  <c r="Q1480" i="1"/>
  <c r="R1480" i="1"/>
  <c r="S1480" i="1"/>
  <c r="T1480" i="1"/>
  <c r="U1480" i="1"/>
  <c r="Q1482" i="1"/>
  <c r="R1482" i="1"/>
  <c r="S1482" i="1"/>
  <c r="T1482" i="1"/>
  <c r="U1482" i="1"/>
  <c r="Q1483" i="1"/>
  <c r="R1483" i="1"/>
  <c r="S1483" i="1"/>
  <c r="T1483" i="1"/>
  <c r="U1483" i="1"/>
  <c r="Q1484" i="1"/>
  <c r="R1484" i="1"/>
  <c r="S1484" i="1"/>
  <c r="T1484" i="1"/>
  <c r="U1484" i="1"/>
  <c r="Q1498" i="1"/>
  <c r="C500" i="5" s="1"/>
  <c r="R1498" i="1"/>
  <c r="D500" i="5" s="1"/>
  <c r="S1498" i="1"/>
  <c r="E500" i="5" s="1"/>
  <c r="T1498" i="1"/>
  <c r="F500" i="5" s="1"/>
  <c r="U1498" i="1"/>
  <c r="G500" i="5" s="1"/>
  <c r="Q1500" i="1"/>
  <c r="C502" i="5" s="1"/>
  <c r="R1500" i="1"/>
  <c r="D502" i="5" s="1"/>
  <c r="S1500" i="1"/>
  <c r="E502" i="5" s="1"/>
  <c r="T1500" i="1"/>
  <c r="F502" i="5" s="1"/>
  <c r="U1500" i="1"/>
  <c r="G502" i="5" s="1"/>
  <c r="Q1501" i="1"/>
  <c r="C503" i="5" s="1"/>
  <c r="R1501" i="1"/>
  <c r="D503" i="5" s="1"/>
  <c r="S1501" i="1"/>
  <c r="E503" i="5" s="1"/>
  <c r="T1501" i="1"/>
  <c r="F503" i="5" s="1"/>
  <c r="U1501" i="1"/>
  <c r="G503" i="5" s="1"/>
  <c r="Q1502" i="1"/>
  <c r="C504" i="5" s="1"/>
  <c r="R1502" i="1"/>
  <c r="D504" i="5" s="1"/>
  <c r="S1502" i="1"/>
  <c r="E504" i="5" s="1"/>
  <c r="T1502" i="1"/>
  <c r="F504" i="5" s="1"/>
  <c r="U1502" i="1"/>
  <c r="G504" i="5" s="1"/>
  <c r="Q1504" i="1"/>
  <c r="C506" i="5" s="1"/>
  <c r="R1504" i="1"/>
  <c r="D506" i="5" s="1"/>
  <c r="S1504" i="1"/>
  <c r="E506" i="5" s="1"/>
  <c r="T1504" i="1"/>
  <c r="F506" i="5" s="1"/>
  <c r="U1504" i="1"/>
  <c r="G506" i="5" s="1"/>
  <c r="Q1505" i="1"/>
  <c r="C507" i="5" s="1"/>
  <c r="R1505" i="1"/>
  <c r="D507" i="5" s="1"/>
  <c r="S1505" i="1"/>
  <c r="E507" i="5" s="1"/>
  <c r="T1505" i="1"/>
  <c r="F507" i="5" s="1"/>
  <c r="U1505" i="1"/>
  <c r="G507" i="5" s="1"/>
  <c r="Q1506" i="1"/>
  <c r="C508" i="5" s="1"/>
  <c r="R1506" i="1"/>
  <c r="D508" i="5" s="1"/>
  <c r="S1506" i="1"/>
  <c r="E508" i="5" s="1"/>
  <c r="T1506" i="1"/>
  <c r="F508" i="5" s="1"/>
  <c r="U1506" i="1"/>
  <c r="G508" i="5" s="1"/>
  <c r="Q1531" i="1"/>
  <c r="R1531" i="1"/>
  <c r="S1531" i="1"/>
  <c r="T1531" i="1"/>
  <c r="U1531" i="1"/>
  <c r="Q1532" i="1"/>
  <c r="R1532" i="1"/>
  <c r="S1532" i="1"/>
  <c r="T1532" i="1"/>
  <c r="U1532" i="1"/>
  <c r="Q1533" i="1"/>
  <c r="R1533" i="1"/>
  <c r="S1533" i="1"/>
  <c r="T1533" i="1"/>
  <c r="U1533" i="1"/>
  <c r="Q1536" i="1"/>
  <c r="R1536" i="1"/>
  <c r="S1536" i="1"/>
  <c r="T1536" i="1"/>
  <c r="U1536" i="1"/>
  <c r="Q1537" i="1"/>
  <c r="R1537" i="1"/>
  <c r="S1537" i="1"/>
  <c r="T1537" i="1"/>
  <c r="U1537" i="1"/>
  <c r="Q1579" i="1"/>
  <c r="R1579" i="1"/>
  <c r="S1579" i="1"/>
  <c r="T1579" i="1"/>
  <c r="U1579" i="1"/>
  <c r="Q1581" i="1"/>
  <c r="R1581" i="1"/>
  <c r="S1581" i="1"/>
  <c r="T1581" i="1"/>
  <c r="U1581" i="1"/>
  <c r="Q1582" i="1"/>
  <c r="R1582" i="1"/>
  <c r="S1582" i="1"/>
  <c r="T1582" i="1"/>
  <c r="U1582" i="1"/>
  <c r="Q1583" i="1"/>
  <c r="R1583" i="1"/>
  <c r="S1583" i="1"/>
  <c r="T1583" i="1"/>
  <c r="U1583" i="1"/>
  <c r="Q1585" i="1"/>
  <c r="R1585" i="1"/>
  <c r="S1585" i="1"/>
  <c r="T1585" i="1"/>
  <c r="U1585" i="1"/>
  <c r="Q1586" i="1"/>
  <c r="R1586" i="1"/>
  <c r="S1586" i="1"/>
  <c r="T1586" i="1"/>
  <c r="U1586" i="1"/>
  <c r="Q1587" i="1"/>
  <c r="R1587" i="1"/>
  <c r="S1587" i="1"/>
  <c r="T1587" i="1"/>
  <c r="U1587" i="1"/>
  <c r="Q1589" i="1"/>
  <c r="R1589" i="1"/>
  <c r="S1589" i="1"/>
  <c r="T1589" i="1"/>
  <c r="U1589" i="1"/>
  <c r="Q1591" i="1"/>
  <c r="R1591" i="1"/>
  <c r="S1591" i="1"/>
  <c r="T1591" i="1"/>
  <c r="U1591" i="1"/>
  <c r="Q1592" i="1"/>
  <c r="R1592" i="1"/>
  <c r="S1592" i="1"/>
  <c r="T1592" i="1"/>
  <c r="U1592" i="1"/>
  <c r="Q1593" i="1"/>
  <c r="R1593" i="1"/>
  <c r="S1593" i="1"/>
  <c r="T1593" i="1"/>
  <c r="U1593" i="1"/>
  <c r="Q1595" i="1"/>
  <c r="R1595" i="1"/>
  <c r="S1595" i="1"/>
  <c r="T1595" i="1"/>
  <c r="U1595" i="1"/>
  <c r="Q1596" i="1"/>
  <c r="R1596" i="1"/>
  <c r="S1596" i="1"/>
  <c r="T1596" i="1"/>
  <c r="U1596" i="1"/>
  <c r="Q1597" i="1"/>
  <c r="R1597" i="1"/>
  <c r="S1597" i="1"/>
  <c r="T1597" i="1"/>
  <c r="U1597" i="1"/>
  <c r="Q1600" i="1"/>
  <c r="R1600" i="1"/>
  <c r="S1600" i="1"/>
  <c r="T1600" i="1"/>
  <c r="U1600" i="1"/>
  <c r="Q1602" i="1"/>
  <c r="R1602" i="1"/>
  <c r="S1602" i="1"/>
  <c r="T1602" i="1"/>
  <c r="U1602" i="1"/>
  <c r="Q1603" i="1"/>
  <c r="R1603" i="1"/>
  <c r="S1603" i="1"/>
  <c r="T1603" i="1"/>
  <c r="U1603" i="1"/>
  <c r="Q1604" i="1"/>
  <c r="R1604" i="1"/>
  <c r="S1604" i="1"/>
  <c r="T1604" i="1"/>
  <c r="U1604" i="1"/>
  <c r="Q1605" i="1"/>
  <c r="R1605" i="1"/>
  <c r="S1605" i="1"/>
  <c r="T1605" i="1"/>
  <c r="U1605" i="1"/>
  <c r="Q1606" i="1"/>
  <c r="R1606" i="1"/>
  <c r="S1606" i="1"/>
  <c r="T1606" i="1"/>
  <c r="U1606" i="1"/>
  <c r="Q1607" i="1"/>
  <c r="R1607" i="1"/>
  <c r="S1607" i="1"/>
  <c r="T1607" i="1"/>
  <c r="U1607" i="1"/>
  <c r="Q1608" i="1"/>
  <c r="R1608" i="1"/>
  <c r="S1608" i="1"/>
  <c r="T1608" i="1"/>
  <c r="U1608" i="1"/>
  <c r="Q1620" i="1"/>
  <c r="R1620" i="1"/>
  <c r="S1620" i="1"/>
  <c r="T1620" i="1"/>
  <c r="U1620" i="1"/>
  <c r="Q1622" i="1"/>
  <c r="R1622" i="1"/>
  <c r="S1622" i="1"/>
  <c r="T1622" i="1"/>
  <c r="U1622" i="1"/>
  <c r="Q1623" i="1"/>
  <c r="R1623" i="1"/>
  <c r="S1623" i="1"/>
  <c r="T1623" i="1"/>
  <c r="U1623" i="1"/>
  <c r="Q1624" i="1"/>
  <c r="R1624" i="1"/>
  <c r="S1624" i="1"/>
  <c r="T1624" i="1"/>
  <c r="U1624" i="1"/>
  <c r="Q1626" i="1"/>
  <c r="R1626" i="1"/>
  <c r="S1626" i="1"/>
  <c r="T1626" i="1"/>
  <c r="U1626" i="1"/>
  <c r="Q1627" i="1"/>
  <c r="R1627" i="1"/>
  <c r="S1627" i="1"/>
  <c r="T1627" i="1"/>
  <c r="U1627" i="1"/>
  <c r="Q1628" i="1"/>
  <c r="R1628" i="1"/>
  <c r="S1628" i="1"/>
  <c r="T1628" i="1"/>
  <c r="U1628" i="1"/>
  <c r="Q1630" i="1"/>
  <c r="R1630" i="1"/>
  <c r="S1630" i="1"/>
  <c r="T1630" i="1"/>
  <c r="U1630" i="1"/>
  <c r="Q1632" i="1"/>
  <c r="R1632" i="1"/>
  <c r="S1632" i="1"/>
  <c r="T1632" i="1"/>
  <c r="U1632" i="1"/>
  <c r="Q1633" i="1"/>
  <c r="R1633" i="1"/>
  <c r="S1633" i="1"/>
  <c r="T1633" i="1"/>
  <c r="U1633" i="1"/>
  <c r="Q1634" i="1"/>
  <c r="R1634" i="1"/>
  <c r="S1634" i="1"/>
  <c r="T1634" i="1"/>
  <c r="U1634" i="1"/>
  <c r="Q1636" i="1"/>
  <c r="R1636" i="1"/>
  <c r="S1636" i="1"/>
  <c r="T1636" i="1"/>
  <c r="U1636" i="1"/>
  <c r="Q1637" i="1"/>
  <c r="R1637" i="1"/>
  <c r="S1637" i="1"/>
  <c r="T1637" i="1"/>
  <c r="U1637" i="1"/>
  <c r="Q1638" i="1"/>
  <c r="R1638" i="1"/>
  <c r="S1638" i="1"/>
  <c r="T1638" i="1"/>
  <c r="U1638" i="1"/>
  <c r="Q1640" i="1"/>
  <c r="R1640" i="1"/>
  <c r="S1640" i="1"/>
  <c r="T1640" i="1"/>
  <c r="U1640" i="1"/>
  <c r="Q1642" i="1"/>
  <c r="R1642" i="1"/>
  <c r="S1642" i="1"/>
  <c r="T1642" i="1"/>
  <c r="U1642" i="1"/>
  <c r="Q1643" i="1"/>
  <c r="R1643" i="1"/>
  <c r="S1643" i="1"/>
  <c r="T1643" i="1"/>
  <c r="U1643" i="1"/>
  <c r="Q1644" i="1"/>
  <c r="R1644" i="1"/>
  <c r="S1644" i="1"/>
  <c r="T1644" i="1"/>
  <c r="U1644" i="1"/>
  <c r="Q1646" i="1"/>
  <c r="R1646" i="1"/>
  <c r="S1646" i="1"/>
  <c r="T1646" i="1"/>
  <c r="U1646" i="1"/>
  <c r="Q1647" i="1"/>
  <c r="R1647" i="1"/>
  <c r="S1647" i="1"/>
  <c r="T1647" i="1"/>
  <c r="U1647" i="1"/>
  <c r="Q1648" i="1"/>
  <c r="R1648" i="1"/>
  <c r="S1648" i="1"/>
  <c r="T1648" i="1"/>
  <c r="U1648" i="1"/>
  <c r="Q1691" i="1"/>
  <c r="R1691" i="1"/>
  <c r="S1691" i="1"/>
  <c r="T1691" i="1"/>
  <c r="U1691" i="1"/>
  <c r="Q1693" i="1"/>
  <c r="R1693" i="1"/>
  <c r="S1693" i="1"/>
  <c r="T1693" i="1"/>
  <c r="U1693" i="1"/>
  <c r="Q1694" i="1"/>
  <c r="R1694" i="1"/>
  <c r="S1694" i="1"/>
  <c r="T1694" i="1"/>
  <c r="U1694" i="1"/>
  <c r="Q1695" i="1"/>
  <c r="R1695" i="1"/>
  <c r="S1695" i="1"/>
  <c r="T1695" i="1"/>
  <c r="U1695" i="1"/>
  <c r="Q1697" i="1"/>
  <c r="R1697" i="1"/>
  <c r="S1697" i="1"/>
  <c r="T1697" i="1"/>
  <c r="U1697" i="1"/>
  <c r="Q1698" i="1"/>
  <c r="R1698" i="1"/>
  <c r="S1698" i="1"/>
  <c r="T1698" i="1"/>
  <c r="U1698" i="1"/>
  <c r="Q1699" i="1"/>
  <c r="R1699" i="1"/>
  <c r="S1699" i="1"/>
  <c r="T1699" i="1"/>
  <c r="U1699" i="1"/>
  <c r="Q1701" i="1"/>
  <c r="R1701" i="1"/>
  <c r="S1701" i="1"/>
  <c r="T1701" i="1"/>
  <c r="U1701" i="1"/>
  <c r="Q1703" i="1"/>
  <c r="R1703" i="1"/>
  <c r="S1703" i="1"/>
  <c r="T1703" i="1"/>
  <c r="U1703" i="1"/>
  <c r="Q1704" i="1"/>
  <c r="R1704" i="1"/>
  <c r="S1704" i="1"/>
  <c r="T1704" i="1"/>
  <c r="U1704" i="1"/>
  <c r="Q1705" i="1"/>
  <c r="R1705" i="1"/>
  <c r="S1705" i="1"/>
  <c r="T1705" i="1"/>
  <c r="U1705" i="1"/>
  <c r="Q1707" i="1"/>
  <c r="R1707" i="1"/>
  <c r="S1707" i="1"/>
  <c r="T1707" i="1"/>
  <c r="U1707" i="1"/>
  <c r="Q1708" i="1"/>
  <c r="R1708" i="1"/>
  <c r="S1708" i="1"/>
  <c r="T1708" i="1"/>
  <c r="U1708" i="1"/>
  <c r="Q1709" i="1"/>
  <c r="R1709" i="1"/>
  <c r="S1709" i="1"/>
  <c r="T1709" i="1"/>
  <c r="U1709" i="1"/>
  <c r="Q1711" i="1"/>
  <c r="R1711" i="1"/>
  <c r="S1711" i="1"/>
  <c r="T1711" i="1"/>
  <c r="U1711" i="1"/>
  <c r="Q1731" i="1"/>
  <c r="R1731" i="1"/>
  <c r="S1731" i="1"/>
  <c r="T1731" i="1"/>
  <c r="U1731" i="1"/>
  <c r="Q1741" i="1"/>
  <c r="R1741" i="1"/>
  <c r="S1741" i="1"/>
  <c r="T1741" i="1"/>
  <c r="U1741" i="1"/>
  <c r="Q1743" i="1"/>
  <c r="R1743" i="1"/>
  <c r="S1743" i="1"/>
  <c r="T1743" i="1"/>
  <c r="U1743" i="1"/>
  <c r="Q1744" i="1"/>
  <c r="R1744" i="1"/>
  <c r="S1744" i="1"/>
  <c r="T1744" i="1"/>
  <c r="U1744" i="1"/>
  <c r="Q1745" i="1"/>
  <c r="R1745" i="1"/>
  <c r="S1745" i="1"/>
  <c r="T1745" i="1"/>
  <c r="U1745" i="1"/>
  <c r="Q1747" i="1"/>
  <c r="R1747" i="1"/>
  <c r="S1747" i="1"/>
  <c r="T1747" i="1"/>
  <c r="U1747" i="1"/>
  <c r="Q1748" i="1"/>
  <c r="R1748" i="1"/>
  <c r="S1748" i="1"/>
  <c r="T1748" i="1"/>
  <c r="U1748" i="1"/>
  <c r="Q1749" i="1"/>
  <c r="R1749" i="1"/>
  <c r="S1749" i="1"/>
  <c r="T1749" i="1"/>
  <c r="U1749" i="1"/>
  <c r="Q1751" i="1"/>
  <c r="R1751" i="1"/>
  <c r="S1751" i="1"/>
  <c r="T1751" i="1"/>
  <c r="U1751" i="1"/>
  <c r="Q1753" i="1"/>
  <c r="R1753" i="1"/>
  <c r="S1753" i="1"/>
  <c r="T1753" i="1"/>
  <c r="U1753" i="1"/>
  <c r="Q1754" i="1"/>
  <c r="R1754" i="1"/>
  <c r="S1754" i="1"/>
  <c r="T1754" i="1"/>
  <c r="U1754" i="1"/>
  <c r="Q1755" i="1"/>
  <c r="R1755" i="1"/>
  <c r="S1755" i="1"/>
  <c r="T1755" i="1"/>
  <c r="U1755" i="1"/>
  <c r="Q1757" i="1"/>
  <c r="R1757" i="1"/>
  <c r="S1757" i="1"/>
  <c r="T1757" i="1"/>
  <c r="U1757" i="1"/>
  <c r="Q1758" i="1"/>
  <c r="R1758" i="1"/>
  <c r="S1758" i="1"/>
  <c r="T1758" i="1"/>
  <c r="U1758" i="1"/>
  <c r="S1759" i="1"/>
  <c r="Q1822" i="1"/>
  <c r="R1822" i="1"/>
  <c r="S1822" i="1"/>
  <c r="T1822" i="1"/>
  <c r="U1822" i="1"/>
  <c r="Q1824" i="1"/>
  <c r="R1824" i="1"/>
  <c r="S1824" i="1"/>
  <c r="T1824" i="1"/>
  <c r="U1824" i="1"/>
  <c r="Q1825" i="1"/>
  <c r="R1825" i="1"/>
  <c r="S1825" i="1"/>
  <c r="T1825" i="1"/>
  <c r="U1825" i="1"/>
  <c r="Q1826" i="1"/>
  <c r="R1826" i="1"/>
  <c r="S1826" i="1"/>
  <c r="T1826" i="1"/>
  <c r="U1826" i="1"/>
  <c r="Q1827" i="1"/>
  <c r="R1827" i="1"/>
  <c r="S1827" i="1"/>
  <c r="T1827" i="1"/>
  <c r="U1827" i="1"/>
  <c r="Q1828" i="1"/>
  <c r="R1828" i="1"/>
  <c r="S1828" i="1"/>
  <c r="T1828" i="1"/>
  <c r="U1828" i="1"/>
  <c r="Q1829" i="1"/>
  <c r="R1829" i="1"/>
  <c r="S1829" i="1"/>
  <c r="T1829" i="1"/>
  <c r="U1829" i="1"/>
  <c r="Q1830" i="1"/>
  <c r="R1830" i="1"/>
  <c r="S1830" i="1"/>
  <c r="T1830" i="1"/>
  <c r="U1830" i="1"/>
  <c r="Q1832" i="1"/>
  <c r="R1832" i="1"/>
  <c r="S1832" i="1"/>
  <c r="T1832" i="1"/>
  <c r="U1832" i="1"/>
  <c r="Q1834" i="1"/>
  <c r="R1834" i="1"/>
  <c r="S1834" i="1"/>
  <c r="T1834" i="1"/>
  <c r="U1834" i="1"/>
  <c r="Q1835" i="1"/>
  <c r="R1835" i="1"/>
  <c r="S1835" i="1"/>
  <c r="T1835" i="1"/>
  <c r="U1835" i="1"/>
  <c r="Q1836" i="1"/>
  <c r="R1836" i="1"/>
  <c r="S1836" i="1"/>
  <c r="T1836" i="1"/>
  <c r="U1836" i="1"/>
  <c r="Q1838" i="1"/>
  <c r="R1838" i="1"/>
  <c r="S1838" i="1"/>
  <c r="T1838" i="1"/>
  <c r="U1838" i="1"/>
  <c r="Q1839" i="1"/>
  <c r="R1839" i="1"/>
  <c r="S1839" i="1"/>
  <c r="T1839" i="1"/>
  <c r="U1839" i="1"/>
  <c r="Q1840" i="1"/>
  <c r="R1840" i="1"/>
  <c r="S1840" i="1"/>
  <c r="T1840" i="1"/>
  <c r="U1840" i="1"/>
  <c r="Q2009" i="1"/>
  <c r="R2009" i="1"/>
  <c r="S2009" i="1"/>
  <c r="T2009" i="1"/>
  <c r="U2009" i="1"/>
  <c r="Q2011" i="1"/>
  <c r="R2011" i="1"/>
  <c r="S2011" i="1"/>
  <c r="T2011" i="1"/>
  <c r="U2011" i="1"/>
  <c r="Q2012" i="1"/>
  <c r="R2012" i="1"/>
  <c r="S2012" i="1"/>
  <c r="T2012" i="1"/>
  <c r="U2012" i="1"/>
  <c r="Q2013" i="1"/>
  <c r="R2013" i="1"/>
  <c r="S2013" i="1"/>
  <c r="T2013" i="1"/>
  <c r="U2013" i="1"/>
  <c r="Q2015" i="1"/>
  <c r="R2015" i="1"/>
  <c r="S2015" i="1"/>
  <c r="T2015" i="1"/>
  <c r="U2015" i="1"/>
  <c r="Q2016" i="1"/>
  <c r="R2016" i="1"/>
  <c r="S2016" i="1"/>
  <c r="T2016" i="1"/>
  <c r="U2016" i="1"/>
  <c r="Q2017" i="1"/>
  <c r="R2017" i="1"/>
  <c r="S2017" i="1"/>
  <c r="T2017" i="1"/>
  <c r="U2017" i="1"/>
  <c r="Q2019" i="1"/>
  <c r="R2019" i="1"/>
  <c r="T2019" i="1"/>
  <c r="U2019" i="1"/>
  <c r="Q2021" i="1"/>
  <c r="R2021" i="1"/>
  <c r="S2021" i="1"/>
  <c r="T2021" i="1"/>
  <c r="U2021" i="1"/>
  <c r="Q2022" i="1"/>
  <c r="R2022" i="1"/>
  <c r="S2022" i="1"/>
  <c r="T2022" i="1"/>
  <c r="U2022" i="1"/>
  <c r="Q2023" i="1"/>
  <c r="R2023" i="1"/>
  <c r="S2023" i="1"/>
  <c r="T2023" i="1"/>
  <c r="U2023" i="1"/>
  <c r="Q2025" i="1"/>
  <c r="R2025" i="1"/>
  <c r="S2025" i="1"/>
  <c r="T2025" i="1"/>
  <c r="U2025" i="1"/>
  <c r="Q2026" i="1"/>
  <c r="R2026" i="1"/>
  <c r="S2026" i="1"/>
  <c r="T2026" i="1"/>
  <c r="U2026" i="1"/>
  <c r="Q2027" i="1"/>
  <c r="R2027" i="1"/>
  <c r="S2027" i="1"/>
  <c r="T2027" i="1"/>
  <c r="U2027" i="1"/>
  <c r="Q2029" i="1"/>
  <c r="R2029" i="1"/>
  <c r="S2029" i="1"/>
  <c r="T2029" i="1"/>
  <c r="U2029" i="1"/>
  <c r="Q2031" i="1"/>
  <c r="R2031" i="1"/>
  <c r="S2031" i="1"/>
  <c r="T2031" i="1"/>
  <c r="U2031" i="1"/>
  <c r="Q2032" i="1"/>
  <c r="R2032" i="1"/>
  <c r="S2032" i="1"/>
  <c r="T2032" i="1"/>
  <c r="U2032" i="1"/>
  <c r="Q2033" i="1"/>
  <c r="R2033" i="1"/>
  <c r="S2033" i="1"/>
  <c r="T2033" i="1"/>
  <c r="U2033" i="1"/>
  <c r="Q2035" i="1"/>
  <c r="R2035" i="1"/>
  <c r="S2035" i="1"/>
  <c r="T2035" i="1"/>
  <c r="U2035" i="1"/>
  <c r="Q2036" i="1"/>
  <c r="R2036" i="1"/>
  <c r="S2036" i="1"/>
  <c r="T2036" i="1"/>
  <c r="U2036" i="1"/>
  <c r="Q2037" i="1"/>
  <c r="R2037" i="1"/>
  <c r="S2037" i="1"/>
  <c r="T2037" i="1"/>
  <c r="U2037" i="1"/>
  <c r="Q2040" i="1"/>
  <c r="R2040" i="1"/>
  <c r="S2040" i="1"/>
  <c r="T2040" i="1"/>
  <c r="U2040" i="1"/>
  <c r="Q2042" i="1"/>
  <c r="R2042" i="1"/>
  <c r="S2042" i="1"/>
  <c r="T2042" i="1"/>
  <c r="U2042" i="1"/>
  <c r="Q2043" i="1"/>
  <c r="R2043" i="1"/>
  <c r="S2043" i="1"/>
  <c r="T2043" i="1"/>
  <c r="U2043" i="1"/>
  <c r="Q2044" i="1"/>
  <c r="R2044" i="1"/>
  <c r="S2044" i="1"/>
  <c r="T2044" i="1"/>
  <c r="U2044" i="1"/>
  <c r="Q2045" i="1"/>
  <c r="R2045" i="1"/>
  <c r="S2045" i="1"/>
  <c r="T2045" i="1"/>
  <c r="U2045" i="1"/>
  <c r="Q2046" i="1"/>
  <c r="R2046" i="1"/>
  <c r="S2046" i="1"/>
  <c r="T2046" i="1"/>
  <c r="U2046" i="1"/>
  <c r="Q2047" i="1"/>
  <c r="R2047" i="1"/>
  <c r="S2047" i="1"/>
  <c r="T2047" i="1"/>
  <c r="U2047" i="1"/>
  <c r="Q2048" i="1"/>
  <c r="R2048" i="1"/>
  <c r="S2048" i="1"/>
  <c r="T2048" i="1"/>
  <c r="U2048" i="1"/>
  <c r="Q2050" i="1"/>
  <c r="R2050" i="1"/>
  <c r="S2050" i="1"/>
  <c r="T2050" i="1"/>
  <c r="U2050" i="1"/>
  <c r="Q2052" i="1"/>
  <c r="R2052" i="1"/>
  <c r="S2052" i="1"/>
  <c r="T2052" i="1"/>
  <c r="U2052" i="1"/>
  <c r="Q2053" i="1"/>
  <c r="R2053" i="1"/>
  <c r="S2053" i="1"/>
  <c r="T2053" i="1"/>
  <c r="U2053" i="1"/>
  <c r="Q2054" i="1"/>
  <c r="R2054" i="1"/>
  <c r="S2054" i="1"/>
  <c r="T2054" i="1"/>
  <c r="U2054" i="1"/>
  <c r="Q2056" i="1"/>
  <c r="R2056" i="1"/>
  <c r="S2056" i="1"/>
  <c r="T2056" i="1"/>
  <c r="U2056" i="1"/>
  <c r="Q2057" i="1"/>
  <c r="R2057" i="1"/>
  <c r="S2057" i="1"/>
  <c r="T2057" i="1"/>
  <c r="U2057" i="1"/>
  <c r="Q2058" i="1"/>
  <c r="R2058" i="1"/>
  <c r="S2058" i="1"/>
  <c r="T2058" i="1"/>
  <c r="U2058" i="1"/>
  <c r="Q2060" i="1"/>
  <c r="R2060" i="1"/>
  <c r="S2060" i="1"/>
  <c r="T2060" i="1"/>
  <c r="U2060" i="1"/>
  <c r="Q2062" i="1"/>
  <c r="R2062" i="1"/>
  <c r="S2062" i="1"/>
  <c r="T2062" i="1"/>
  <c r="U2062" i="1"/>
  <c r="Q2063" i="1"/>
  <c r="R2063" i="1"/>
  <c r="S2063" i="1"/>
  <c r="T2063" i="1"/>
  <c r="U2063" i="1"/>
  <c r="Q2064" i="1"/>
  <c r="R2064" i="1"/>
  <c r="S2064" i="1"/>
  <c r="T2064" i="1"/>
  <c r="U2064" i="1"/>
  <c r="Q2065" i="1"/>
  <c r="R2065" i="1"/>
  <c r="S2065" i="1"/>
  <c r="T2065" i="1"/>
  <c r="U2065" i="1"/>
  <c r="Q2066" i="1"/>
  <c r="R2066" i="1"/>
  <c r="S2066" i="1"/>
  <c r="T2066" i="1"/>
  <c r="U2066" i="1"/>
  <c r="Q2067" i="1"/>
  <c r="R2067" i="1"/>
  <c r="S2067" i="1"/>
  <c r="T2067" i="1"/>
  <c r="U2067" i="1"/>
  <c r="Q2068" i="1"/>
  <c r="R2068" i="1"/>
  <c r="S2068" i="1"/>
  <c r="T2068" i="1"/>
  <c r="U2068" i="1"/>
  <c r="Q2072" i="1"/>
  <c r="R2072" i="1"/>
  <c r="S2072" i="1"/>
  <c r="T2072" i="1"/>
  <c r="U2072" i="1"/>
  <c r="Q2074" i="1"/>
  <c r="R2074" i="1"/>
  <c r="S2074" i="1"/>
  <c r="T2074" i="1"/>
  <c r="U2074" i="1"/>
  <c r="Q2075" i="1"/>
  <c r="R2075" i="1"/>
  <c r="S2075" i="1"/>
  <c r="T2075" i="1"/>
  <c r="U2075" i="1"/>
  <c r="Q2076" i="1"/>
  <c r="R2076" i="1"/>
  <c r="S2076" i="1"/>
  <c r="T2076" i="1"/>
  <c r="U2076" i="1"/>
  <c r="Q2077" i="1"/>
  <c r="R2077" i="1"/>
  <c r="S2077" i="1"/>
  <c r="T2077" i="1"/>
  <c r="U2077" i="1"/>
  <c r="Q2078" i="1"/>
  <c r="R2078" i="1"/>
  <c r="S2078" i="1"/>
  <c r="T2078" i="1"/>
  <c r="U2078" i="1"/>
  <c r="Q2079" i="1"/>
  <c r="R2079" i="1"/>
  <c r="S2079" i="1"/>
  <c r="T2079" i="1"/>
  <c r="U2079" i="1"/>
  <c r="Q2080" i="1"/>
  <c r="R2080" i="1"/>
  <c r="S2080" i="1"/>
  <c r="T2080" i="1"/>
  <c r="U2080" i="1"/>
  <c r="Q2082" i="1"/>
  <c r="R2082" i="1"/>
  <c r="S2082" i="1"/>
  <c r="U2082" i="1"/>
  <c r="Q2084" i="1"/>
  <c r="R2084" i="1"/>
  <c r="S2084" i="1"/>
  <c r="T2084" i="1"/>
  <c r="U2084" i="1"/>
  <c r="Q2085" i="1"/>
  <c r="R2085" i="1"/>
  <c r="S2085" i="1"/>
  <c r="T2085" i="1"/>
  <c r="U2085" i="1"/>
  <c r="Q2086" i="1"/>
  <c r="R2086" i="1"/>
  <c r="S2086" i="1"/>
  <c r="T2086" i="1"/>
  <c r="U2086" i="1"/>
  <c r="Q2088" i="1"/>
  <c r="R2088" i="1"/>
  <c r="S2088" i="1"/>
  <c r="T2088" i="1"/>
  <c r="U2088" i="1"/>
  <c r="Q2089" i="1"/>
  <c r="R2089" i="1"/>
  <c r="S2089" i="1"/>
  <c r="T2089" i="1"/>
  <c r="U2089" i="1"/>
  <c r="Q2090" i="1"/>
  <c r="R2090" i="1"/>
  <c r="S2090" i="1"/>
  <c r="T2090" i="1"/>
  <c r="U2090" i="1"/>
  <c r="Q2092" i="1"/>
  <c r="R2092" i="1"/>
  <c r="S2092" i="1"/>
  <c r="T2092" i="1"/>
  <c r="U2092" i="1"/>
  <c r="Q2094" i="1"/>
  <c r="R2094" i="1"/>
  <c r="S2094" i="1"/>
  <c r="T2094" i="1"/>
  <c r="U2094" i="1"/>
  <c r="Q2095" i="1"/>
  <c r="R2095" i="1"/>
  <c r="S2095" i="1"/>
  <c r="T2095" i="1"/>
  <c r="U2095" i="1"/>
  <c r="Q2096" i="1"/>
  <c r="R2096" i="1"/>
  <c r="S2096" i="1"/>
  <c r="T2096" i="1"/>
  <c r="U2096" i="1"/>
  <c r="Q2098" i="1"/>
  <c r="R2098" i="1"/>
  <c r="S2098" i="1"/>
  <c r="T2098" i="1"/>
  <c r="U2098" i="1"/>
  <c r="Q2099" i="1"/>
  <c r="R2099" i="1"/>
  <c r="S2099" i="1"/>
  <c r="T2099" i="1"/>
  <c r="U2099" i="1"/>
  <c r="Q2100" i="1"/>
  <c r="R2100" i="1"/>
  <c r="S2100" i="1"/>
  <c r="T2100" i="1"/>
  <c r="U2100" i="1"/>
  <c r="Q2102" i="1"/>
  <c r="R2102" i="1"/>
  <c r="S2102" i="1"/>
  <c r="T2102" i="1"/>
  <c r="U2102" i="1"/>
  <c r="Q2104" i="1"/>
  <c r="R2104" i="1"/>
  <c r="S2104" i="1"/>
  <c r="T2104" i="1"/>
  <c r="U2104" i="1"/>
  <c r="Q2105" i="1"/>
  <c r="R2105" i="1"/>
  <c r="S2105" i="1"/>
  <c r="T2105" i="1"/>
  <c r="U2105" i="1"/>
  <c r="Q2106" i="1"/>
  <c r="R2106" i="1"/>
  <c r="S2106" i="1"/>
  <c r="T2106" i="1"/>
  <c r="U2106" i="1"/>
  <c r="Q2108" i="1"/>
  <c r="R2108" i="1"/>
  <c r="S2108" i="1"/>
  <c r="T2108" i="1"/>
  <c r="U2108" i="1"/>
  <c r="Q2109" i="1"/>
  <c r="R2109" i="1"/>
  <c r="S2109" i="1"/>
  <c r="T2109" i="1"/>
  <c r="U2109" i="1"/>
  <c r="Q2110" i="1"/>
  <c r="R2110" i="1"/>
  <c r="S2110" i="1"/>
  <c r="T2110" i="1"/>
  <c r="U2110" i="1"/>
  <c r="Q2112" i="1"/>
  <c r="R2112" i="1"/>
  <c r="S2112" i="1"/>
  <c r="T2112" i="1"/>
  <c r="U2112" i="1"/>
  <c r="Q2114" i="1"/>
  <c r="R2114" i="1"/>
  <c r="S2114" i="1"/>
  <c r="T2114" i="1"/>
  <c r="U2114" i="1"/>
  <c r="Q2115" i="1"/>
  <c r="R2115" i="1"/>
  <c r="S2115" i="1"/>
  <c r="T2115" i="1"/>
  <c r="U2115" i="1"/>
  <c r="Q2116" i="1"/>
  <c r="R2116" i="1"/>
  <c r="S2116" i="1"/>
  <c r="T2116" i="1"/>
  <c r="U2116" i="1"/>
  <c r="Q2118" i="1"/>
  <c r="R2118" i="1"/>
  <c r="S2118" i="1"/>
  <c r="T2118" i="1"/>
  <c r="U2118" i="1"/>
  <c r="Q2119" i="1"/>
  <c r="R2119" i="1"/>
  <c r="S2119" i="1"/>
  <c r="T2119" i="1"/>
  <c r="U2119" i="1"/>
  <c r="Q2120" i="1"/>
  <c r="R2120" i="1"/>
  <c r="S2120" i="1"/>
  <c r="T2120" i="1"/>
  <c r="U2120" i="1"/>
  <c r="Q2122" i="1"/>
  <c r="R2122" i="1"/>
  <c r="S2122" i="1"/>
  <c r="T2122" i="1"/>
  <c r="U2122" i="1"/>
  <c r="Q2124" i="1"/>
  <c r="R2124" i="1"/>
  <c r="S2124" i="1"/>
  <c r="T2124" i="1"/>
  <c r="U2124" i="1"/>
  <c r="Q2125" i="1"/>
  <c r="R2125" i="1"/>
  <c r="S2125" i="1"/>
  <c r="T2125" i="1"/>
  <c r="U2125" i="1"/>
  <c r="Q2126" i="1"/>
  <c r="R2126" i="1"/>
  <c r="S2126" i="1"/>
  <c r="T2126" i="1"/>
  <c r="U2126" i="1"/>
  <c r="Q2128" i="1"/>
  <c r="R2128" i="1"/>
  <c r="S2128" i="1"/>
  <c r="T2128" i="1"/>
  <c r="U2128" i="1"/>
  <c r="Q2129" i="1"/>
  <c r="R2129" i="1"/>
  <c r="S2129" i="1"/>
  <c r="T2129" i="1"/>
  <c r="U2129" i="1"/>
  <c r="Q2130" i="1"/>
  <c r="R2130" i="1"/>
  <c r="S2130" i="1"/>
  <c r="T2130" i="1"/>
  <c r="U2130" i="1"/>
  <c r="H2066" i="1"/>
  <c r="F2060" i="1"/>
  <c r="O2041" i="1"/>
  <c r="O2049" i="1" s="1"/>
  <c r="N2041" i="1"/>
  <c r="N2049" i="1" s="1"/>
  <c r="L2041" i="1"/>
  <c r="L2049" i="1" s="1"/>
  <c r="P2041" i="1"/>
  <c r="P2049" i="1" s="1"/>
  <c r="F2040" i="1"/>
  <c r="F2039" i="1"/>
  <c r="T1756" i="1"/>
  <c r="S1756" i="1"/>
  <c r="R1756" i="1"/>
  <c r="L1752" i="1"/>
  <c r="L1760" i="1" s="1"/>
  <c r="F1751" i="1"/>
  <c r="P1837" i="1"/>
  <c r="P1833" i="1" s="1"/>
  <c r="P1841" i="1" s="1"/>
  <c r="O1837" i="1"/>
  <c r="T1837" i="1" s="1"/>
  <c r="N1837" i="1"/>
  <c r="S1837" i="1" s="1"/>
  <c r="M1837" i="1"/>
  <c r="R1837" i="1" s="1"/>
  <c r="L1837" i="1"/>
  <c r="L1833" i="1" s="1"/>
  <c r="L1841" i="1" s="1"/>
  <c r="F1832" i="1"/>
  <c r="P1823" i="1"/>
  <c r="P1831" i="1" s="1"/>
  <c r="O1823" i="1"/>
  <c r="O1831" i="1" s="1"/>
  <c r="N1823" i="1"/>
  <c r="N1831" i="1" s="1"/>
  <c r="M1823" i="1"/>
  <c r="M1831" i="1" s="1"/>
  <c r="L1823" i="1"/>
  <c r="L1831" i="1" s="1"/>
  <c r="F1822" i="1"/>
  <c r="F1821" i="1"/>
  <c r="P1645" i="1"/>
  <c r="U1645" i="1" s="1"/>
  <c r="O1645" i="1"/>
  <c r="O1641" i="1" s="1"/>
  <c r="O1649" i="1" s="1"/>
  <c r="S1645" i="1"/>
  <c r="L1645" i="1"/>
  <c r="Q1645" i="1" s="1"/>
  <c r="F1640" i="1"/>
  <c r="P1635" i="1"/>
  <c r="U1635" i="1" s="1"/>
  <c r="O1635" i="1"/>
  <c r="T1635" i="1" s="1"/>
  <c r="N1635" i="1"/>
  <c r="M1635" i="1"/>
  <c r="L1631" i="1"/>
  <c r="L1639" i="1" s="1"/>
  <c r="F1630" i="1"/>
  <c r="P1625" i="1"/>
  <c r="P1621" i="1" s="1"/>
  <c r="P1629" i="1" s="1"/>
  <c r="O1625" i="1"/>
  <c r="N1625" i="1"/>
  <c r="M1625" i="1"/>
  <c r="R1625" i="1" s="1"/>
  <c r="Q1625" i="1"/>
  <c r="F1620" i="1"/>
  <c r="P1601" i="1"/>
  <c r="P1609" i="1" s="1"/>
  <c r="O1601" i="1"/>
  <c r="O1609" i="1" s="1"/>
  <c r="N1601" i="1"/>
  <c r="N1609" i="1" s="1"/>
  <c r="M1601" i="1"/>
  <c r="M1609" i="1" s="1"/>
  <c r="L1601" i="1"/>
  <c r="L1609" i="1" s="1"/>
  <c r="F1600" i="1"/>
  <c r="D167" i="5" l="1"/>
  <c r="E166" i="5"/>
  <c r="E162" i="5"/>
  <c r="F161" i="5"/>
  <c r="G167" i="5"/>
  <c r="C167" i="5"/>
  <c r="D166" i="5"/>
  <c r="D162" i="5"/>
  <c r="E161" i="5"/>
  <c r="F167" i="5"/>
  <c r="G166" i="5"/>
  <c r="C166" i="5"/>
  <c r="G162" i="5"/>
  <c r="C162" i="5"/>
  <c r="D161" i="5"/>
  <c r="E167" i="5"/>
  <c r="F166" i="5"/>
  <c r="F162" i="5"/>
  <c r="G161" i="5"/>
  <c r="C161" i="5"/>
  <c r="F101" i="5"/>
  <c r="G100" i="5"/>
  <c r="D99" i="5"/>
  <c r="E97" i="5"/>
  <c r="F96" i="5"/>
  <c r="G95" i="5"/>
  <c r="C95" i="5"/>
  <c r="D93" i="5"/>
  <c r="E101" i="5"/>
  <c r="F100" i="5"/>
  <c r="G99" i="5"/>
  <c r="C99" i="5"/>
  <c r="D97" i="5"/>
  <c r="E96" i="5"/>
  <c r="F95" i="5"/>
  <c r="G93" i="5"/>
  <c r="C93" i="5"/>
  <c r="D101" i="5"/>
  <c r="E100" i="5"/>
  <c r="F99" i="5"/>
  <c r="G97" i="5"/>
  <c r="C97" i="5"/>
  <c r="D96" i="5"/>
  <c r="E95" i="5"/>
  <c r="F93" i="5"/>
  <c r="G101" i="5"/>
  <c r="C101" i="5"/>
  <c r="D100" i="5"/>
  <c r="E99" i="5"/>
  <c r="F97" i="5"/>
  <c r="G96" i="5"/>
  <c r="C96" i="5"/>
  <c r="D95" i="5"/>
  <c r="E93" i="5"/>
  <c r="T2267" i="1"/>
  <c r="F729" i="5" s="1"/>
  <c r="F721" i="5"/>
  <c r="G398" i="5"/>
  <c r="C398" i="5"/>
  <c r="D397" i="5"/>
  <c r="E396" i="5"/>
  <c r="F394" i="5"/>
  <c r="G393" i="5"/>
  <c r="C393" i="5"/>
  <c r="D392" i="5"/>
  <c r="E390" i="5"/>
  <c r="F398" i="5"/>
  <c r="G397" i="5"/>
  <c r="C397" i="5"/>
  <c r="D396" i="5"/>
  <c r="E394" i="5"/>
  <c r="F393" i="5"/>
  <c r="G392" i="5"/>
  <c r="C392" i="5"/>
  <c r="D390" i="5"/>
  <c r="E398" i="5"/>
  <c r="F397" i="5"/>
  <c r="G396" i="5"/>
  <c r="C396" i="5"/>
  <c r="D394" i="5"/>
  <c r="E393" i="5"/>
  <c r="F392" i="5"/>
  <c r="G390" i="5"/>
  <c r="C390" i="5"/>
  <c r="D398" i="5"/>
  <c r="E397" i="5"/>
  <c r="F396" i="5"/>
  <c r="G394" i="5"/>
  <c r="C394" i="5"/>
  <c r="D393" i="5"/>
  <c r="E392" i="5"/>
  <c r="F390" i="5"/>
  <c r="V1771" i="1"/>
  <c r="T1774" i="1"/>
  <c r="T1773" i="1"/>
  <c r="U1774" i="1"/>
  <c r="U1773" i="1"/>
  <c r="N1941" i="1"/>
  <c r="N1936" i="1" s="1"/>
  <c r="N1944" i="1" s="1"/>
  <c r="P1937" i="1"/>
  <c r="U1937" i="1" s="1"/>
  <c r="E640" i="5"/>
  <c r="F639" i="5"/>
  <c r="G638" i="5"/>
  <c r="C638" i="5"/>
  <c r="D640" i="5"/>
  <c r="E639" i="5"/>
  <c r="F638" i="5"/>
  <c r="L1941" i="1"/>
  <c r="U2237" i="1"/>
  <c r="U2215" i="1" s="1"/>
  <c r="U2267" i="1"/>
  <c r="G729" i="5" s="1"/>
  <c r="D662" i="5"/>
  <c r="E661" i="5"/>
  <c r="F660" i="5"/>
  <c r="D658" i="5"/>
  <c r="E657" i="5"/>
  <c r="F656" i="5"/>
  <c r="G654" i="5"/>
  <c r="G662" i="5"/>
  <c r="C662" i="5"/>
  <c r="D661" i="5"/>
  <c r="E660" i="5"/>
  <c r="G658" i="5"/>
  <c r="C658" i="5"/>
  <c r="D657" i="5"/>
  <c r="E656" i="5"/>
  <c r="F654" i="5"/>
  <c r="Q374" i="1"/>
  <c r="V374" i="1" s="1"/>
  <c r="V366" i="1"/>
  <c r="F662" i="5"/>
  <c r="G661" i="5"/>
  <c r="C661" i="5"/>
  <c r="D660" i="5"/>
  <c r="F658" i="5"/>
  <c r="G657" i="5"/>
  <c r="C657" i="5"/>
  <c r="D656" i="5"/>
  <c r="E654" i="5"/>
  <c r="C654" i="5"/>
  <c r="E662" i="5"/>
  <c r="F661" i="5"/>
  <c r="G660" i="5"/>
  <c r="C660" i="5"/>
  <c r="E658" i="5"/>
  <c r="F657" i="5"/>
  <c r="G656" i="5"/>
  <c r="C656" i="5"/>
  <c r="D654" i="5"/>
  <c r="D636" i="5"/>
  <c r="E635" i="5"/>
  <c r="F634" i="5"/>
  <c r="G632" i="5"/>
  <c r="C632" i="5"/>
  <c r="G640" i="5"/>
  <c r="C640" i="5"/>
  <c r="D639" i="5"/>
  <c r="E638" i="5"/>
  <c r="G636" i="5"/>
  <c r="C636" i="5"/>
  <c r="D635" i="5"/>
  <c r="E634" i="5"/>
  <c r="F632" i="5"/>
  <c r="E636" i="5"/>
  <c r="F635" i="5"/>
  <c r="G634" i="5"/>
  <c r="C634" i="5"/>
  <c r="D632" i="5"/>
  <c r="F640" i="5"/>
  <c r="G639" i="5"/>
  <c r="C639" i="5"/>
  <c r="D638" i="5"/>
  <c r="F636" i="5"/>
  <c r="G635" i="5"/>
  <c r="C635" i="5"/>
  <c r="D634" i="5"/>
  <c r="E632" i="5"/>
  <c r="T1527" i="1"/>
  <c r="S1527" i="1"/>
  <c r="R1527" i="1"/>
  <c r="U1527" i="1"/>
  <c r="T2215" i="1"/>
  <c r="D145" i="5"/>
  <c r="E144" i="5"/>
  <c r="F143" i="5"/>
  <c r="G141" i="5"/>
  <c r="C141" i="5"/>
  <c r="D140" i="5"/>
  <c r="E139" i="5"/>
  <c r="F137" i="5"/>
  <c r="F145" i="5"/>
  <c r="G144" i="5"/>
  <c r="C144" i="5"/>
  <c r="D143" i="5"/>
  <c r="E141" i="5"/>
  <c r="F140" i="5"/>
  <c r="G139" i="5"/>
  <c r="C139" i="5"/>
  <c r="D137" i="5"/>
  <c r="E145" i="5"/>
  <c r="F144" i="5"/>
  <c r="G143" i="5"/>
  <c r="C143" i="5"/>
  <c r="D141" i="5"/>
  <c r="E140" i="5"/>
  <c r="F139" i="5"/>
  <c r="G137" i="5"/>
  <c r="C137" i="5"/>
  <c r="R1940" i="1"/>
  <c r="S1937" i="1"/>
  <c r="G145" i="5"/>
  <c r="C145" i="5"/>
  <c r="D144" i="5"/>
  <c r="E143" i="5"/>
  <c r="F141" i="5"/>
  <c r="G140" i="5"/>
  <c r="C140" i="5"/>
  <c r="D139" i="5"/>
  <c r="E137" i="5"/>
  <c r="R1937" i="1"/>
  <c r="S1943" i="1"/>
  <c r="R1939" i="1"/>
  <c r="R1938" i="1"/>
  <c r="Q2267" i="1"/>
  <c r="C729" i="5" s="1"/>
  <c r="E688" i="5"/>
  <c r="T1940" i="1"/>
  <c r="U1938" i="1"/>
  <c r="U1939" i="1"/>
  <c r="Q1943" i="1"/>
  <c r="S1938" i="1"/>
  <c r="T1939" i="1"/>
  <c r="U1940" i="1"/>
  <c r="R2164" i="1"/>
  <c r="R2142" i="1" s="1"/>
  <c r="R2194" i="1"/>
  <c r="D696" i="5" s="1"/>
  <c r="S2267" i="1"/>
  <c r="E729" i="5" s="1"/>
  <c r="S2237" i="1"/>
  <c r="S2215" i="1" s="1"/>
  <c r="Q2237" i="1"/>
  <c r="C719" i="5" s="1"/>
  <c r="U1941" i="1"/>
  <c r="Q1942" i="1"/>
  <c r="T1942" i="1"/>
  <c r="Q1938" i="1"/>
  <c r="T1943" i="1"/>
  <c r="S1939" i="1"/>
  <c r="R1943" i="1"/>
  <c r="R2267" i="1"/>
  <c r="D729" i="5" s="1"/>
  <c r="E696" i="5"/>
  <c r="S2164" i="1"/>
  <c r="S2142" i="1" s="1"/>
  <c r="R2237" i="1"/>
  <c r="D719" i="5" s="1"/>
  <c r="V2259" i="1"/>
  <c r="H721" i="5" s="1"/>
  <c r="S1942" i="1"/>
  <c r="U1942" i="1"/>
  <c r="U1943" i="1"/>
  <c r="Q1937" i="1"/>
  <c r="S1940" i="1"/>
  <c r="Q1939" i="1"/>
  <c r="R1942" i="1"/>
  <c r="S1935" i="1"/>
  <c r="T1941" i="1"/>
  <c r="T1938" i="1"/>
  <c r="Q2164" i="1"/>
  <c r="C686" i="5" s="1"/>
  <c r="C688" i="5"/>
  <c r="G696" i="5"/>
  <c r="F688" i="5"/>
  <c r="T2164" i="1"/>
  <c r="T2142" i="1" s="1"/>
  <c r="F696" i="5"/>
  <c r="F364" i="5"/>
  <c r="G357" i="5"/>
  <c r="E365" i="5"/>
  <c r="G363" i="5"/>
  <c r="C363" i="5"/>
  <c r="V2186" i="1"/>
  <c r="H688" i="5" s="1"/>
  <c r="U2164" i="1"/>
  <c r="U2142" i="1" s="1"/>
  <c r="G688" i="5"/>
  <c r="C359" i="5"/>
  <c r="E364" i="5"/>
  <c r="D365" i="5"/>
  <c r="F363" i="5"/>
  <c r="D361" i="5"/>
  <c r="F359" i="5"/>
  <c r="D364" i="5"/>
  <c r="G360" i="5"/>
  <c r="G365" i="5"/>
  <c r="C365" i="5"/>
  <c r="E363" i="5"/>
  <c r="G361" i="5"/>
  <c r="C361" i="5"/>
  <c r="E359" i="5"/>
  <c r="E361" i="5"/>
  <c r="G359" i="5"/>
  <c r="G364" i="5"/>
  <c r="C364" i="5"/>
  <c r="F365" i="5"/>
  <c r="D363" i="5"/>
  <c r="F361" i="5"/>
  <c r="D359" i="5"/>
  <c r="P1865" i="1"/>
  <c r="P1873" i="1" s="1"/>
  <c r="U1872" i="1"/>
  <c r="U1865" i="1" s="1"/>
  <c r="U1873" i="1" s="1"/>
  <c r="M1873" i="1"/>
  <c r="R1915" i="1"/>
  <c r="U1915" i="1"/>
  <c r="V1919" i="1"/>
  <c r="V1920" i="1"/>
  <c r="V1918" i="1"/>
  <c r="O1937" i="1"/>
  <c r="T1935" i="1"/>
  <c r="L1921" i="1"/>
  <c r="Q1915" i="1"/>
  <c r="S1881" i="1"/>
  <c r="T1877" i="1"/>
  <c r="R1877" i="1"/>
  <c r="S1876" i="1"/>
  <c r="Q1876" i="1"/>
  <c r="T1880" i="1"/>
  <c r="S1877" i="1"/>
  <c r="R1876" i="1"/>
  <c r="Q1882" i="1"/>
  <c r="U1877" i="1"/>
  <c r="Q1877" i="1"/>
  <c r="R1882" i="1"/>
  <c r="R1881" i="1"/>
  <c r="U1880" i="1"/>
  <c r="U1881" i="1"/>
  <c r="T1882" i="1"/>
  <c r="T1881" i="1"/>
  <c r="U1882" i="1"/>
  <c r="Q1881" i="1"/>
  <c r="S1882" i="1"/>
  <c r="V1922" i="1"/>
  <c r="V1923" i="1"/>
  <c r="T1933" i="1"/>
  <c r="T1932" i="1"/>
  <c r="T1931" i="1"/>
  <c r="R1932" i="1"/>
  <c r="S1930" i="1"/>
  <c r="U1933" i="1"/>
  <c r="T1929" i="1"/>
  <c r="R1929" i="1"/>
  <c r="U1928" i="1"/>
  <c r="S1928" i="1"/>
  <c r="Q1928" i="1"/>
  <c r="S1927" i="1"/>
  <c r="Q1927" i="1"/>
  <c r="R1933" i="1"/>
  <c r="U1930" i="1"/>
  <c r="U1929" i="1"/>
  <c r="Q1929" i="1"/>
  <c r="R1928" i="1"/>
  <c r="R1927" i="1"/>
  <c r="Q1930" i="1"/>
  <c r="S1929" i="1"/>
  <c r="T1928" i="1"/>
  <c r="T1930" i="1"/>
  <c r="Q1932" i="1"/>
  <c r="U1932" i="1"/>
  <c r="S1933" i="1"/>
  <c r="R1930" i="1"/>
  <c r="U1931" i="1"/>
  <c r="S1932" i="1"/>
  <c r="Q1933" i="1"/>
  <c r="U1925" i="1"/>
  <c r="U1927" i="1" s="1"/>
  <c r="Q1864" i="1"/>
  <c r="M1941" i="1"/>
  <c r="R1935" i="1"/>
  <c r="T1915" i="1"/>
  <c r="R1671" i="1"/>
  <c r="T1671" i="1"/>
  <c r="Q1673" i="1"/>
  <c r="S1673" i="1"/>
  <c r="U1673" i="1"/>
  <c r="R1674" i="1"/>
  <c r="T1674" i="1"/>
  <c r="Q1675" i="1"/>
  <c r="S1675" i="1"/>
  <c r="U1675" i="1"/>
  <c r="Q1676" i="1"/>
  <c r="R1677" i="1"/>
  <c r="T1677" i="1"/>
  <c r="Q1678" i="1"/>
  <c r="S1678" i="1"/>
  <c r="U1678" i="1"/>
  <c r="R1679" i="1"/>
  <c r="T1679" i="1"/>
  <c r="Q1671" i="1"/>
  <c r="S1671" i="1"/>
  <c r="U1671" i="1"/>
  <c r="R1673" i="1"/>
  <c r="T1673" i="1"/>
  <c r="Q1674" i="1"/>
  <c r="S1674" i="1"/>
  <c r="U1674" i="1"/>
  <c r="R1675" i="1"/>
  <c r="T1675" i="1"/>
  <c r="R1676" i="1"/>
  <c r="Q1677" i="1"/>
  <c r="S1677" i="1"/>
  <c r="U1677" i="1"/>
  <c r="R1678" i="1"/>
  <c r="T1678" i="1"/>
  <c r="Q1679" i="1"/>
  <c r="S1679" i="1"/>
  <c r="U1679" i="1"/>
  <c r="U1676" i="1"/>
  <c r="S1676" i="1"/>
  <c r="T1676" i="1"/>
  <c r="N1921" i="1"/>
  <c r="S1915" i="1"/>
  <c r="T1925" i="1"/>
  <c r="T1927" i="1" s="1"/>
  <c r="S1865" i="1"/>
  <c r="N1865" i="1"/>
  <c r="N1873" i="1" s="1"/>
  <c r="T1873" i="1"/>
  <c r="R1921" i="1"/>
  <c r="R1916" i="1" s="1"/>
  <c r="M1916" i="1"/>
  <c r="M1924" i="1" s="1"/>
  <c r="P1916" i="1"/>
  <c r="P1924" i="1" s="1"/>
  <c r="U1917" i="1"/>
  <c r="U1916" i="1" s="1"/>
  <c r="P1926" i="1"/>
  <c r="P1934" i="1" s="1"/>
  <c r="L1873" i="1"/>
  <c r="V1548" i="1"/>
  <c r="V1661" i="1"/>
  <c r="V2137" i="1"/>
  <c r="V2140" i="1"/>
  <c r="V2132" i="1"/>
  <c r="R2133" i="1"/>
  <c r="R2141" i="1" s="1"/>
  <c r="V2135" i="1"/>
  <c r="U2133" i="1"/>
  <c r="U2141" i="1" s="1"/>
  <c r="E741" i="5"/>
  <c r="Q1527" i="1"/>
  <c r="V1519" i="1"/>
  <c r="Q1669" i="1"/>
  <c r="V1669" i="1" s="1"/>
  <c r="S2133" i="1"/>
  <c r="S2141" i="1" s="1"/>
  <c r="V2134" i="1"/>
  <c r="Q2133" i="1"/>
  <c r="V2138" i="1"/>
  <c r="T2133" i="1"/>
  <c r="T2141" i="1" s="1"/>
  <c r="V2136" i="1"/>
  <c r="V2139" i="1"/>
  <c r="U1759" i="1"/>
  <c r="V1757" i="1"/>
  <c r="V1754" i="1"/>
  <c r="V1751" i="1"/>
  <c r="V1748" i="1"/>
  <c r="V1745" i="1"/>
  <c r="V1743" i="1"/>
  <c r="V1731" i="1"/>
  <c r="V1709" i="1"/>
  <c r="V1707" i="1"/>
  <c r="V1704" i="1"/>
  <c r="V1701" i="1"/>
  <c r="V1647" i="1"/>
  <c r="V1644" i="1"/>
  <c r="V1642" i="1"/>
  <c r="V1537" i="1"/>
  <c r="V1533" i="1"/>
  <c r="V1531" i="1"/>
  <c r="G431" i="5"/>
  <c r="E431" i="5"/>
  <c r="C431" i="5"/>
  <c r="F430" i="5"/>
  <c r="D430" i="5"/>
  <c r="G429" i="5"/>
  <c r="E429" i="5"/>
  <c r="C429" i="5"/>
  <c r="F427" i="5"/>
  <c r="D427" i="5"/>
  <c r="G426" i="5"/>
  <c r="E426" i="5"/>
  <c r="C426" i="5"/>
  <c r="F425" i="5"/>
  <c r="D425" i="5"/>
  <c r="G423" i="5"/>
  <c r="E423" i="5"/>
  <c r="C423" i="5"/>
  <c r="V1758" i="1"/>
  <c r="V1755" i="1"/>
  <c r="V1753" i="1"/>
  <c r="V1749" i="1"/>
  <c r="V1747" i="1"/>
  <c r="V1744" i="1"/>
  <c r="V1741" i="1"/>
  <c r="V1711" i="1"/>
  <c r="V1708" i="1"/>
  <c r="V1705" i="1"/>
  <c r="V1703" i="1"/>
  <c r="V1648" i="1"/>
  <c r="V1646" i="1"/>
  <c r="V1643" i="1"/>
  <c r="V1640" i="1"/>
  <c r="V1536" i="1"/>
  <c r="V1532" i="1"/>
  <c r="F431" i="5"/>
  <c r="D431" i="5"/>
  <c r="G430" i="5"/>
  <c r="E430" i="5"/>
  <c r="C430" i="5"/>
  <c r="F429" i="5"/>
  <c r="D429" i="5"/>
  <c r="G427" i="5"/>
  <c r="E427" i="5"/>
  <c r="C427" i="5"/>
  <c r="F426" i="5"/>
  <c r="D426" i="5"/>
  <c r="G425" i="5"/>
  <c r="E425" i="5"/>
  <c r="C425" i="5"/>
  <c r="F423" i="5"/>
  <c r="D423" i="5"/>
  <c r="F73" i="3"/>
  <c r="V1558" i="1"/>
  <c r="D519" i="5"/>
  <c r="E518" i="5"/>
  <c r="V1578" i="1"/>
  <c r="V1699" i="1"/>
  <c r="V1694" i="1"/>
  <c r="V1634" i="1"/>
  <c r="V1628" i="1"/>
  <c r="V1623" i="1"/>
  <c r="F530" i="5"/>
  <c r="G529" i="5"/>
  <c r="C529" i="5"/>
  <c r="V1607" i="1"/>
  <c r="D528" i="5"/>
  <c r="F526" i="5"/>
  <c r="G525" i="5"/>
  <c r="C525" i="5"/>
  <c r="V1603" i="1"/>
  <c r="D524" i="5"/>
  <c r="E522" i="5"/>
  <c r="V1596" i="1"/>
  <c r="V1591" i="1"/>
  <c r="E519" i="5"/>
  <c r="F518" i="5"/>
  <c r="G517" i="5"/>
  <c r="V1585" i="1"/>
  <c r="C517" i="5"/>
  <c r="D515" i="5"/>
  <c r="E514" i="5"/>
  <c r="F513" i="5"/>
  <c r="G511" i="5"/>
  <c r="V1579" i="1"/>
  <c r="V1453" i="1"/>
  <c r="V1448" i="1"/>
  <c r="V1442" i="1"/>
  <c r="V1437" i="1"/>
  <c r="V1698" i="1"/>
  <c r="V1693" i="1"/>
  <c r="V1638" i="1"/>
  <c r="V1633" i="1"/>
  <c r="V1627" i="1"/>
  <c r="V1622" i="1"/>
  <c r="E530" i="5"/>
  <c r="F529" i="5"/>
  <c r="G528" i="5"/>
  <c r="V1606" i="1"/>
  <c r="C528" i="5"/>
  <c r="E526" i="5"/>
  <c r="F525" i="5"/>
  <c r="G524" i="5"/>
  <c r="C524" i="5"/>
  <c r="V1602" i="1"/>
  <c r="D522" i="5"/>
  <c r="V1595" i="1"/>
  <c r="V1589" i="1"/>
  <c r="F517" i="5"/>
  <c r="G515" i="5"/>
  <c r="V1583" i="1"/>
  <c r="C515" i="5"/>
  <c r="D514" i="5"/>
  <c r="E513" i="5"/>
  <c r="F511" i="5"/>
  <c r="V1452" i="1"/>
  <c r="V1447" i="1"/>
  <c r="V1441" i="1"/>
  <c r="V1697" i="1"/>
  <c r="V1691" i="1"/>
  <c r="V1637" i="1"/>
  <c r="V1632" i="1"/>
  <c r="V1626" i="1"/>
  <c r="V1620" i="1"/>
  <c r="D530" i="5"/>
  <c r="E529" i="5"/>
  <c r="F528" i="5"/>
  <c r="V1605" i="1"/>
  <c r="D526" i="5"/>
  <c r="E525" i="5"/>
  <c r="F524" i="5"/>
  <c r="G522" i="5"/>
  <c r="V1593" i="1"/>
  <c r="G519" i="5"/>
  <c r="V1587" i="1"/>
  <c r="C519" i="5"/>
  <c r="D518" i="5"/>
  <c r="E517" i="5"/>
  <c r="F515" i="5"/>
  <c r="G514" i="5"/>
  <c r="V1582" i="1"/>
  <c r="C514" i="5"/>
  <c r="D513" i="5"/>
  <c r="E511" i="5"/>
  <c r="V1451" i="1"/>
  <c r="V1445" i="1"/>
  <c r="V1439" i="1"/>
  <c r="V1695" i="1"/>
  <c r="V1636" i="1"/>
  <c r="V1630" i="1"/>
  <c r="V1624" i="1"/>
  <c r="G530" i="5"/>
  <c r="C530" i="5"/>
  <c r="V1608" i="1"/>
  <c r="D529" i="5"/>
  <c r="E528" i="5"/>
  <c r="G526" i="5"/>
  <c r="C526" i="5"/>
  <c r="V1604" i="1"/>
  <c r="D525" i="5"/>
  <c r="E524" i="5"/>
  <c r="F522" i="5"/>
  <c r="V1597" i="1"/>
  <c r="V1592" i="1"/>
  <c r="F519" i="5"/>
  <c r="G518" i="5"/>
  <c r="V1586" i="1"/>
  <c r="C518" i="5"/>
  <c r="D517" i="5"/>
  <c r="E515" i="5"/>
  <c r="F514" i="5"/>
  <c r="G513" i="5"/>
  <c r="V1581" i="1"/>
  <c r="C513" i="5"/>
  <c r="D511" i="5"/>
  <c r="V1456" i="1"/>
  <c r="V1449" i="1"/>
  <c r="V1443" i="1"/>
  <c r="V1438" i="1"/>
  <c r="C511" i="5"/>
  <c r="V1155" i="1"/>
  <c r="H377" i="5" s="1"/>
  <c r="D409" i="5"/>
  <c r="E408" i="5"/>
  <c r="F407" i="5"/>
  <c r="G405" i="5"/>
  <c r="C405" i="5"/>
  <c r="D404" i="5"/>
  <c r="E403" i="5"/>
  <c r="E409" i="5"/>
  <c r="F408" i="5"/>
  <c r="G407" i="5"/>
  <c r="C407" i="5"/>
  <c r="D405" i="5"/>
  <c r="E404" i="5"/>
  <c r="F403" i="5"/>
  <c r="G401" i="5"/>
  <c r="C401" i="5"/>
  <c r="F401" i="5"/>
  <c r="G409" i="5"/>
  <c r="C409" i="5"/>
  <c r="D408" i="5"/>
  <c r="E407" i="5"/>
  <c r="F405" i="5"/>
  <c r="G404" i="5"/>
  <c r="C404" i="5"/>
  <c r="D403" i="5"/>
  <c r="E401" i="5"/>
  <c r="F409" i="5"/>
  <c r="G408" i="5"/>
  <c r="C408" i="5"/>
  <c r="D407" i="5"/>
  <c r="E405" i="5"/>
  <c r="F404" i="5"/>
  <c r="G403" i="5"/>
  <c r="C403" i="5"/>
  <c r="D401" i="5"/>
  <c r="F741" i="5"/>
  <c r="G73" i="3"/>
  <c r="D73" i="3"/>
  <c r="V2329" i="1"/>
  <c r="H751" i="5" s="1"/>
  <c r="C741" i="5"/>
  <c r="V2309" i="1"/>
  <c r="H73" i="3" s="1"/>
  <c r="E474" i="5"/>
  <c r="G486" i="5"/>
  <c r="C486" i="5"/>
  <c r="E178" i="5"/>
  <c r="V2184" i="1"/>
  <c r="E108" i="5"/>
  <c r="D485" i="5"/>
  <c r="E475" i="5"/>
  <c r="F474" i="5"/>
  <c r="G473" i="5"/>
  <c r="C473" i="5"/>
  <c r="D471" i="5"/>
  <c r="E470" i="5"/>
  <c r="F469" i="5"/>
  <c r="F177" i="5"/>
  <c r="G176" i="5"/>
  <c r="F473" i="5"/>
  <c r="G471" i="5"/>
  <c r="C471" i="5"/>
  <c r="F629" i="5"/>
  <c r="G628" i="5"/>
  <c r="C628" i="5"/>
  <c r="D627" i="5"/>
  <c r="E625" i="5"/>
  <c r="F624" i="5"/>
  <c r="G623" i="5"/>
  <c r="C623" i="5"/>
  <c r="D621" i="5"/>
  <c r="E596" i="5"/>
  <c r="F595" i="5"/>
  <c r="G594" i="5"/>
  <c r="C594" i="5"/>
  <c r="D592" i="5"/>
  <c r="E591" i="5"/>
  <c r="F590" i="5"/>
  <c r="G588" i="5"/>
  <c r="F552" i="5"/>
  <c r="G551" i="5"/>
  <c r="C551" i="5"/>
  <c r="D550" i="5"/>
  <c r="E549" i="5"/>
  <c r="C547" i="5"/>
  <c r="G629" i="5"/>
  <c r="C629" i="5"/>
  <c r="D628" i="5"/>
  <c r="E627" i="5"/>
  <c r="F625" i="5"/>
  <c r="G624" i="5"/>
  <c r="C624" i="5"/>
  <c r="D623" i="5"/>
  <c r="E621" i="5"/>
  <c r="F596" i="5"/>
  <c r="G595" i="5"/>
  <c r="C595" i="5"/>
  <c r="D594" i="5"/>
  <c r="E592" i="5"/>
  <c r="F591" i="5"/>
  <c r="G590" i="5"/>
  <c r="C590" i="5"/>
  <c r="D588" i="5"/>
  <c r="G552" i="5"/>
  <c r="C552" i="5"/>
  <c r="D551" i="5"/>
  <c r="E550" i="5"/>
  <c r="F549" i="5"/>
  <c r="G548" i="5"/>
  <c r="C548" i="5"/>
  <c r="D547" i="5"/>
  <c r="E546" i="5"/>
  <c r="F544" i="5"/>
  <c r="F486" i="5"/>
  <c r="G485" i="5"/>
  <c r="C485" i="5"/>
  <c r="D484" i="5"/>
  <c r="E482" i="5"/>
  <c r="F481" i="5"/>
  <c r="G480" i="5"/>
  <c r="C480" i="5"/>
  <c r="D478" i="5"/>
  <c r="D475" i="5"/>
  <c r="D470" i="5"/>
  <c r="E469" i="5"/>
  <c r="F467" i="5"/>
  <c r="E486" i="5"/>
  <c r="F485" i="5"/>
  <c r="G484" i="5"/>
  <c r="C484" i="5"/>
  <c r="D482" i="5"/>
  <c r="E481" i="5"/>
  <c r="F480" i="5"/>
  <c r="G478" i="5"/>
  <c r="C478" i="5"/>
  <c r="G475" i="5"/>
  <c r="C475" i="5"/>
  <c r="D474" i="5"/>
  <c r="E473" i="5"/>
  <c r="F471" i="5"/>
  <c r="G470" i="5"/>
  <c r="C470" i="5"/>
  <c r="D469" i="5"/>
  <c r="E467" i="5"/>
  <c r="G547" i="5"/>
  <c r="E544" i="5"/>
  <c r="E629" i="5"/>
  <c r="F628" i="5"/>
  <c r="G627" i="5"/>
  <c r="C627" i="5"/>
  <c r="D625" i="5"/>
  <c r="E624" i="5"/>
  <c r="F623" i="5"/>
  <c r="G621" i="5"/>
  <c r="C621" i="5"/>
  <c r="D596" i="5"/>
  <c r="E595" i="5"/>
  <c r="F594" i="5"/>
  <c r="G592" i="5"/>
  <c r="C592" i="5"/>
  <c r="D591" i="5"/>
  <c r="E590" i="5"/>
  <c r="F588" i="5"/>
  <c r="E552" i="5"/>
  <c r="F551" i="5"/>
  <c r="G550" i="5"/>
  <c r="C550" i="5"/>
  <c r="D549" i="5"/>
  <c r="E548" i="5"/>
  <c r="F547" i="5"/>
  <c r="G546" i="5"/>
  <c r="C546" i="5"/>
  <c r="D544" i="5"/>
  <c r="C522" i="5"/>
  <c r="D486" i="5"/>
  <c r="E485" i="5"/>
  <c r="F484" i="5"/>
  <c r="G482" i="5"/>
  <c r="C482" i="5"/>
  <c r="D481" i="5"/>
  <c r="E480" i="5"/>
  <c r="F478" i="5"/>
  <c r="F475" i="5"/>
  <c r="G474" i="5"/>
  <c r="C474" i="5"/>
  <c r="D473" i="5"/>
  <c r="E471" i="5"/>
  <c r="F470" i="5"/>
  <c r="G469" i="5"/>
  <c r="C469" i="5"/>
  <c r="D467" i="5"/>
  <c r="F548" i="5"/>
  <c r="D546" i="5"/>
  <c r="D629" i="5"/>
  <c r="E628" i="5"/>
  <c r="F627" i="5"/>
  <c r="G625" i="5"/>
  <c r="C625" i="5"/>
  <c r="D624" i="5"/>
  <c r="E623" i="5"/>
  <c r="F621" i="5"/>
  <c r="G596" i="5"/>
  <c r="C596" i="5"/>
  <c r="D595" i="5"/>
  <c r="E594" i="5"/>
  <c r="F592" i="5"/>
  <c r="G591" i="5"/>
  <c r="C591" i="5"/>
  <c r="D590" i="5"/>
  <c r="E588" i="5"/>
  <c r="D552" i="5"/>
  <c r="E551" i="5"/>
  <c r="F550" i="5"/>
  <c r="D548" i="5"/>
  <c r="E547" i="5"/>
  <c r="F546" i="5"/>
  <c r="G544" i="5"/>
  <c r="C544" i="5"/>
  <c r="E484" i="5"/>
  <c r="F482" i="5"/>
  <c r="G481" i="5"/>
  <c r="C481" i="5"/>
  <c r="D480" i="5"/>
  <c r="E478" i="5"/>
  <c r="G467" i="5"/>
  <c r="C467" i="5"/>
  <c r="D442" i="5"/>
  <c r="E441" i="5"/>
  <c r="F440" i="5"/>
  <c r="G438" i="5"/>
  <c r="C438" i="5"/>
  <c r="D437" i="5"/>
  <c r="E436" i="5"/>
  <c r="F434" i="5"/>
  <c r="F299" i="5"/>
  <c r="G298" i="5"/>
  <c r="C298" i="5"/>
  <c r="D297" i="5"/>
  <c r="E295" i="5"/>
  <c r="F294" i="5"/>
  <c r="G293" i="5"/>
  <c r="C293" i="5"/>
  <c r="D291" i="5"/>
  <c r="F178" i="5"/>
  <c r="G177" i="5"/>
  <c r="C177" i="5"/>
  <c r="D176" i="5"/>
  <c r="E174" i="5"/>
  <c r="F173" i="5"/>
  <c r="F112" i="5"/>
  <c r="G111" i="5"/>
  <c r="C111" i="5"/>
  <c r="D110" i="5"/>
  <c r="F107" i="5"/>
  <c r="G106" i="5"/>
  <c r="C106" i="5"/>
  <c r="D104" i="5"/>
  <c r="E79" i="5"/>
  <c r="F78" i="5"/>
  <c r="G77" i="5"/>
  <c r="E75" i="5"/>
  <c r="F74" i="5"/>
  <c r="G73" i="5"/>
  <c r="C73" i="5"/>
  <c r="G442" i="5"/>
  <c r="C442" i="5"/>
  <c r="D441" i="5"/>
  <c r="E440" i="5"/>
  <c r="F438" i="5"/>
  <c r="G437" i="5"/>
  <c r="C437" i="5"/>
  <c r="D436" i="5"/>
  <c r="E434" i="5"/>
  <c r="E299" i="5"/>
  <c r="F298" i="5"/>
  <c r="G297" i="5"/>
  <c r="C297" i="5"/>
  <c r="D295" i="5"/>
  <c r="E294" i="5"/>
  <c r="F293" i="5"/>
  <c r="G291" i="5"/>
  <c r="C291" i="5"/>
  <c r="C176" i="5"/>
  <c r="D174" i="5"/>
  <c r="E173" i="5"/>
  <c r="E112" i="5"/>
  <c r="F111" i="5"/>
  <c r="G110" i="5"/>
  <c r="C110" i="5"/>
  <c r="D108" i="5"/>
  <c r="E107" i="5"/>
  <c r="F106" i="5"/>
  <c r="G104" i="5"/>
  <c r="C104" i="5"/>
  <c r="D79" i="5"/>
  <c r="E78" i="5"/>
  <c r="F77" i="5"/>
  <c r="D75" i="5"/>
  <c r="E74" i="5"/>
  <c r="F73" i="5"/>
  <c r="F442" i="5"/>
  <c r="G441" i="5"/>
  <c r="C441" i="5"/>
  <c r="D440" i="5"/>
  <c r="E438" i="5"/>
  <c r="F437" i="5"/>
  <c r="G436" i="5"/>
  <c r="C436" i="5"/>
  <c r="D434" i="5"/>
  <c r="D299" i="5"/>
  <c r="E298" i="5"/>
  <c r="F297" i="5"/>
  <c r="G295" i="5"/>
  <c r="C295" i="5"/>
  <c r="D294" i="5"/>
  <c r="E293" i="5"/>
  <c r="F291" i="5"/>
  <c r="D178" i="5"/>
  <c r="E177" i="5"/>
  <c r="F176" i="5"/>
  <c r="G174" i="5"/>
  <c r="C174" i="5"/>
  <c r="D173" i="5"/>
  <c r="D112" i="5"/>
  <c r="E111" i="5"/>
  <c r="F110" i="5"/>
  <c r="G108" i="5"/>
  <c r="C108" i="5"/>
  <c r="D107" i="5"/>
  <c r="E106" i="5"/>
  <c r="F104" i="5"/>
  <c r="G79" i="5"/>
  <c r="C79" i="5"/>
  <c r="D78" i="5"/>
  <c r="F76" i="5"/>
  <c r="C75" i="5"/>
  <c r="D74" i="5"/>
  <c r="E73" i="5"/>
  <c r="E442" i="5"/>
  <c r="F441" i="5"/>
  <c r="G440" i="5"/>
  <c r="C440" i="5"/>
  <c r="D438" i="5"/>
  <c r="E437" i="5"/>
  <c r="F436" i="5"/>
  <c r="G434" i="5"/>
  <c r="C434" i="5"/>
  <c r="G299" i="5"/>
  <c r="C299" i="5"/>
  <c r="D298" i="5"/>
  <c r="E297" i="5"/>
  <c r="F295" i="5"/>
  <c r="G294" i="5"/>
  <c r="C294" i="5"/>
  <c r="D293" i="5"/>
  <c r="E291" i="5"/>
  <c r="G178" i="5"/>
  <c r="C178" i="5"/>
  <c r="D177" i="5"/>
  <c r="E176" i="5"/>
  <c r="F174" i="5"/>
  <c r="G173" i="5"/>
  <c r="C173" i="5"/>
  <c r="G112" i="5"/>
  <c r="C112" i="5"/>
  <c r="D111" i="5"/>
  <c r="E110" i="5"/>
  <c r="F108" i="5"/>
  <c r="G107" i="5"/>
  <c r="C107" i="5"/>
  <c r="D106" i="5"/>
  <c r="E104" i="5"/>
  <c r="F79" i="5"/>
  <c r="G78" i="5"/>
  <c r="C78" i="5"/>
  <c r="G74" i="5"/>
  <c r="C74" i="5"/>
  <c r="D73" i="5"/>
  <c r="A55" i="3"/>
  <c r="A543" i="5"/>
  <c r="P1752" i="1"/>
  <c r="P1760" i="1" s="1"/>
  <c r="A63" i="3"/>
  <c r="A631" i="5"/>
  <c r="G719" i="5"/>
  <c r="D71" i="3"/>
  <c r="E71" i="3"/>
  <c r="H67" i="3"/>
  <c r="H675" i="5"/>
  <c r="F686" i="5"/>
  <c r="F71" i="3"/>
  <c r="F719" i="5"/>
  <c r="E68" i="3"/>
  <c r="O1631" i="1"/>
  <c r="O1639" i="1" s="1"/>
  <c r="N1641" i="1"/>
  <c r="N1649" i="1" s="1"/>
  <c r="P1641" i="1"/>
  <c r="P1649" i="1" s="1"/>
  <c r="U1837" i="1"/>
  <c r="U1833" i="1" s="1"/>
  <c r="Q1823" i="1"/>
  <c r="T1046" i="1"/>
  <c r="S252" i="1"/>
  <c r="U1631" i="1"/>
  <c r="U1639" i="1" s="1"/>
  <c r="S1833" i="1"/>
  <c r="Q1837" i="1"/>
  <c r="Q1833" i="1" s="1"/>
  <c r="U1601" i="1"/>
  <c r="Q1601" i="1"/>
  <c r="S1641" i="1"/>
  <c r="S1649" i="1" s="1"/>
  <c r="S2073" i="1"/>
  <c r="R2073" i="1"/>
  <c r="R2061" i="1"/>
  <c r="R2069" i="1" s="1"/>
  <c r="Q1635" i="1"/>
  <c r="C527" i="5" s="1"/>
  <c r="U2073" i="1"/>
  <c r="S2061" i="1"/>
  <c r="S2069" i="1" s="1"/>
  <c r="U2061" i="1"/>
  <c r="U2069" i="1" s="1"/>
  <c r="N1621" i="1"/>
  <c r="N1629" i="1" s="1"/>
  <c r="S1625" i="1"/>
  <c r="S1621" i="1" s="1"/>
  <c r="S1629" i="1" s="1"/>
  <c r="R1199" i="1"/>
  <c r="M1631" i="1"/>
  <c r="M1639" i="1" s="1"/>
  <c r="R1635" i="1"/>
  <c r="R1631" i="1" s="1"/>
  <c r="R1639" i="1" s="1"/>
  <c r="Q2073" i="1"/>
  <c r="Q2061" i="1"/>
  <c r="Q2069" i="1" s="1"/>
  <c r="N1631" i="1"/>
  <c r="N1639" i="1" s="1"/>
  <c r="S1635" i="1"/>
  <c r="S1631" i="1" s="1"/>
  <c r="S1639" i="1" s="1"/>
  <c r="M1641" i="1"/>
  <c r="M1649" i="1" s="1"/>
  <c r="R1645" i="1"/>
  <c r="R1641" i="1" s="1"/>
  <c r="R1649" i="1" s="1"/>
  <c r="U1823" i="1"/>
  <c r="T1645" i="1"/>
  <c r="T1641" i="1" s="1"/>
  <c r="T1649" i="1" s="1"/>
  <c r="U1625" i="1"/>
  <c r="U1621" i="1" s="1"/>
  <c r="U1629" i="1" s="1"/>
  <c r="O1621" i="1"/>
  <c r="O1629" i="1" s="1"/>
  <c r="T1625" i="1"/>
  <c r="T1621" i="1" s="1"/>
  <c r="T1629" i="1" s="1"/>
  <c r="P1631" i="1"/>
  <c r="P1639" i="1" s="1"/>
  <c r="T2073" i="1"/>
  <c r="T2061" i="1"/>
  <c r="T2069" i="1" s="1"/>
  <c r="U2041" i="1"/>
  <c r="Q2041" i="1"/>
  <c r="S1823" i="1"/>
  <c r="U1756" i="1"/>
  <c r="Q1756" i="1"/>
  <c r="S1601" i="1"/>
  <c r="T1199" i="1"/>
  <c r="T1207" i="1" s="1"/>
  <c r="S1199" i="1"/>
  <c r="S1207" i="1" s="1"/>
  <c r="R1046" i="1"/>
  <c r="Q252" i="1"/>
  <c r="R190" i="1"/>
  <c r="S398" i="1"/>
  <c r="R252" i="1"/>
  <c r="U190" i="1"/>
  <c r="R210" i="1"/>
  <c r="R218" i="1" s="1"/>
  <c r="Q210" i="1"/>
  <c r="Q218" i="1" s="1"/>
  <c r="S190" i="1"/>
  <c r="R67" i="1"/>
  <c r="R75" i="1" s="1"/>
  <c r="R346" i="1"/>
  <c r="S346" i="1"/>
  <c r="Q2216" i="1"/>
  <c r="C708" i="5" s="1"/>
  <c r="D708" i="5"/>
  <c r="S2041" i="1"/>
  <c r="T1823" i="1"/>
  <c r="Q1621" i="1"/>
  <c r="T1601" i="1"/>
  <c r="T2041" i="1"/>
  <c r="R1833" i="1"/>
  <c r="R1621" i="1"/>
  <c r="R1629" i="1" s="1"/>
  <c r="R2041" i="1"/>
  <c r="T1833" i="1"/>
  <c r="S1752" i="1"/>
  <c r="R1823" i="1"/>
  <c r="U1641" i="1"/>
  <c r="U1649" i="1" s="1"/>
  <c r="Q1641" i="1"/>
  <c r="T1631" i="1"/>
  <c r="T1639" i="1" s="1"/>
  <c r="R1601" i="1"/>
  <c r="S1046" i="1"/>
  <c r="U1199" i="1"/>
  <c r="Q1199" i="1"/>
  <c r="U1046" i="1"/>
  <c r="Q1046" i="1"/>
  <c r="T303" i="1"/>
  <c r="T311" i="1" s="1"/>
  <c r="R303" i="1"/>
  <c r="R311" i="1" s="1"/>
  <c r="S303" i="1"/>
  <c r="S311" i="1" s="1"/>
  <c r="U398" i="1"/>
  <c r="Q398" i="1"/>
  <c r="U303" i="1"/>
  <c r="U311" i="1" s="1"/>
  <c r="Q303" i="1"/>
  <c r="Q311" i="1" s="1"/>
  <c r="T398" i="1"/>
  <c r="U346" i="1"/>
  <c r="Q346" i="1"/>
  <c r="S67" i="1"/>
  <c r="S75" i="1" s="1"/>
  <c r="Q190" i="1"/>
  <c r="Q98" i="1"/>
  <c r="T346" i="1"/>
  <c r="R398" i="1"/>
  <c r="U210" i="1"/>
  <c r="U218" i="1" s="1"/>
  <c r="T190" i="1"/>
  <c r="R98" i="1"/>
  <c r="T210" i="1"/>
  <c r="T218" i="1" s="1"/>
  <c r="U67" i="1"/>
  <c r="U75" i="1" s="1"/>
  <c r="Q67" i="1"/>
  <c r="Q75" i="1" s="1"/>
  <c r="S210" i="1"/>
  <c r="S218" i="1" s="1"/>
  <c r="T67" i="1"/>
  <c r="T75" i="1" s="1"/>
  <c r="V2063" i="1"/>
  <c r="V2064" i="1"/>
  <c r="V2068" i="1"/>
  <c r="V2066" i="1"/>
  <c r="V2067" i="1"/>
  <c r="V2060" i="1"/>
  <c r="V2062" i="1"/>
  <c r="V2040" i="1"/>
  <c r="V2046" i="1"/>
  <c r="V2048" i="1"/>
  <c r="V2043" i="1"/>
  <c r="V2047" i="1"/>
  <c r="V2044" i="1"/>
  <c r="V2042" i="1"/>
  <c r="M2041" i="1"/>
  <c r="M2049" i="1" s="1"/>
  <c r="O1833" i="1"/>
  <c r="O1841" i="1" s="1"/>
  <c r="V1834" i="1"/>
  <c r="V1840" i="1"/>
  <c r="N1752" i="1"/>
  <c r="M1833" i="1"/>
  <c r="M1841" i="1" s="1"/>
  <c r="V1835" i="1"/>
  <c r="N1833" i="1"/>
  <c r="N1841" i="1" s="1"/>
  <c r="V1836" i="1"/>
  <c r="V1838" i="1"/>
  <c r="V1839" i="1"/>
  <c r="V1824" i="1"/>
  <c r="V1828" i="1"/>
  <c r="V1825" i="1"/>
  <c r="V1829" i="1"/>
  <c r="V1822" i="1"/>
  <c r="V1826" i="1"/>
  <c r="V1827" i="1"/>
  <c r="V1830" i="1"/>
  <c r="V1832" i="1"/>
  <c r="L1641" i="1"/>
  <c r="L1649" i="1" s="1"/>
  <c r="L1621" i="1"/>
  <c r="L1629" i="1" s="1"/>
  <c r="M1621" i="1"/>
  <c r="M1629" i="1" s="1"/>
  <c r="V1600" i="1"/>
  <c r="K870" i="1"/>
  <c r="P855" i="1"/>
  <c r="O855" i="1"/>
  <c r="N855" i="1"/>
  <c r="M855" i="1"/>
  <c r="L855" i="1"/>
  <c r="P845" i="1"/>
  <c r="O845" i="1"/>
  <c r="N845" i="1"/>
  <c r="M845" i="1"/>
  <c r="L845" i="1"/>
  <c r="P820" i="1"/>
  <c r="P922" i="1" s="1"/>
  <c r="H825" i="1"/>
  <c r="H875" i="1"/>
  <c r="M252" i="4"/>
  <c r="I252" i="4"/>
  <c r="H252" i="4"/>
  <c r="M251" i="4"/>
  <c r="I251" i="4"/>
  <c r="H251" i="4"/>
  <c r="M250" i="4"/>
  <c r="I250" i="4"/>
  <c r="H250" i="4"/>
  <c r="M249" i="4"/>
  <c r="I249" i="4"/>
  <c r="H249" i="4"/>
  <c r="D258" i="4"/>
  <c r="H855" i="1" s="1"/>
  <c r="D255" i="4"/>
  <c r="D254" i="4"/>
  <c r="D251" i="4"/>
  <c r="D250" i="4"/>
  <c r="I240" i="4"/>
  <c r="C240" i="4"/>
  <c r="C242" i="4" s="1"/>
  <c r="K840" i="1" s="1"/>
  <c r="I238" i="4"/>
  <c r="C238" i="4"/>
  <c r="D237" i="4"/>
  <c r="I233" i="4"/>
  <c r="I234" i="4" s="1"/>
  <c r="H233" i="4"/>
  <c r="H234" i="4" s="1"/>
  <c r="G233" i="4"/>
  <c r="G234" i="4" s="1"/>
  <c r="F233" i="4"/>
  <c r="F234" i="4" s="1"/>
  <c r="E233" i="4"/>
  <c r="E234" i="4" s="1"/>
  <c r="D233" i="4"/>
  <c r="D234" i="4" s="1"/>
  <c r="D235" i="4" s="1"/>
  <c r="C233" i="4"/>
  <c r="C234" i="4" s="1"/>
  <c r="C235" i="4" s="1"/>
  <c r="F313" i="1"/>
  <c r="F312" i="1"/>
  <c r="H2118" i="1"/>
  <c r="H2108" i="1"/>
  <c r="H2098" i="1"/>
  <c r="H2088" i="1"/>
  <c r="H1717" i="1"/>
  <c r="H1585" i="1"/>
  <c r="H1451" i="1"/>
  <c r="H1441" i="1"/>
  <c r="H1101" i="1"/>
  <c r="H1081" i="1"/>
  <c r="H1071" i="1"/>
  <c r="H1051" i="1"/>
  <c r="H876" i="1"/>
  <c r="H866" i="1"/>
  <c r="H856" i="1"/>
  <c r="H846" i="1"/>
  <c r="H836" i="1"/>
  <c r="H330" i="1"/>
  <c r="H433" i="1"/>
  <c r="H277" i="1"/>
  <c r="H257" i="1"/>
  <c r="U203" i="1"/>
  <c r="G75" i="5" s="1"/>
  <c r="T203" i="1"/>
  <c r="T200" i="1" s="1"/>
  <c r="R205" i="1"/>
  <c r="D77" i="5" s="1"/>
  <c r="S205" i="1"/>
  <c r="E77" i="5" s="1"/>
  <c r="Q205" i="1"/>
  <c r="C77" i="5" s="1"/>
  <c r="R199" i="1"/>
  <c r="D71" i="5" s="1"/>
  <c r="S199" i="1"/>
  <c r="E71" i="5" s="1"/>
  <c r="T199" i="1"/>
  <c r="F71" i="5" s="1"/>
  <c r="U199" i="1"/>
  <c r="G71" i="5" s="1"/>
  <c r="Q199" i="1"/>
  <c r="C71" i="5" s="1"/>
  <c r="M158" i="1"/>
  <c r="N158" i="1"/>
  <c r="O158" i="1"/>
  <c r="P158" i="1"/>
  <c r="L158" i="1"/>
  <c r="C71" i="3" l="1"/>
  <c r="L168" i="1"/>
  <c r="G71" i="3"/>
  <c r="G580" i="5"/>
  <c r="C580" i="5"/>
  <c r="P1936" i="1"/>
  <c r="P1944" i="1" s="1"/>
  <c r="U1935" i="1"/>
  <c r="G577" i="5" s="1"/>
  <c r="N1772" i="1"/>
  <c r="M1772" i="1"/>
  <c r="L1772" i="1"/>
  <c r="S1779" i="1"/>
  <c r="T1778" i="1"/>
  <c r="T1776" i="1"/>
  <c r="U1775" i="1"/>
  <c r="Q1775" i="1"/>
  <c r="S1773" i="1"/>
  <c r="R1779" i="1"/>
  <c r="U1777" i="1"/>
  <c r="S1776" i="1"/>
  <c r="T1775" i="1"/>
  <c r="S1774" i="1"/>
  <c r="R1773" i="1"/>
  <c r="U1779" i="1"/>
  <c r="Q1779" i="1"/>
  <c r="T1777" i="1"/>
  <c r="R1776" i="1"/>
  <c r="S1775" i="1"/>
  <c r="R1774" i="1"/>
  <c r="Q1773" i="1"/>
  <c r="T1779" i="1"/>
  <c r="U1778" i="1"/>
  <c r="U1776" i="1"/>
  <c r="Q1776" i="1"/>
  <c r="R1775" i="1"/>
  <c r="Q1774" i="1"/>
  <c r="R2215" i="1"/>
  <c r="C68" i="3"/>
  <c r="D686" i="5"/>
  <c r="Q1935" i="1"/>
  <c r="G581" i="5"/>
  <c r="D584" i="5"/>
  <c r="F581" i="5"/>
  <c r="E719" i="5"/>
  <c r="D579" i="5"/>
  <c r="V1527" i="1"/>
  <c r="D580" i="5"/>
  <c r="D68" i="3"/>
  <c r="C584" i="5"/>
  <c r="V1940" i="1"/>
  <c r="V1943" i="1"/>
  <c r="G583" i="5"/>
  <c r="E579" i="5"/>
  <c r="D581" i="5"/>
  <c r="F583" i="5"/>
  <c r="V2237" i="1"/>
  <c r="H719" i="5" s="1"/>
  <c r="C585" i="5"/>
  <c r="E580" i="5"/>
  <c r="C579" i="5"/>
  <c r="V2194" i="1"/>
  <c r="H696" i="5" s="1"/>
  <c r="F68" i="3"/>
  <c r="E585" i="5"/>
  <c r="V1938" i="1"/>
  <c r="V1939" i="1"/>
  <c r="V1942" i="1"/>
  <c r="V2267" i="1"/>
  <c r="H729" i="5" s="1"/>
  <c r="E686" i="5"/>
  <c r="E584" i="5"/>
  <c r="F585" i="5"/>
  <c r="F580" i="5"/>
  <c r="D585" i="5"/>
  <c r="G585" i="5"/>
  <c r="F584" i="5"/>
  <c r="U1936" i="1"/>
  <c r="G584" i="5"/>
  <c r="E581" i="5"/>
  <c r="C581" i="5"/>
  <c r="P973" i="1"/>
  <c r="U973" i="1" s="1"/>
  <c r="G68" i="3"/>
  <c r="G686" i="5"/>
  <c r="S1941" i="1"/>
  <c r="S1936" i="1" s="1"/>
  <c r="S1944" i="1" s="1"/>
  <c r="P1875" i="1"/>
  <c r="U1876" i="1"/>
  <c r="T1876" i="1"/>
  <c r="O1875" i="1"/>
  <c r="V1872" i="1"/>
  <c r="V1870" i="1"/>
  <c r="R1924" i="1"/>
  <c r="F577" i="5"/>
  <c r="U1924" i="1"/>
  <c r="O168" i="1"/>
  <c r="O178" i="1"/>
  <c r="O187" i="1" s="1"/>
  <c r="N168" i="1"/>
  <c r="N178" i="1"/>
  <c r="M168" i="1"/>
  <c r="M178" i="1"/>
  <c r="P178" i="1"/>
  <c r="P187" i="1" s="1"/>
  <c r="P168" i="1"/>
  <c r="G579" i="5"/>
  <c r="F235" i="4"/>
  <c r="U1987" i="1"/>
  <c r="T1987" i="1"/>
  <c r="G235" i="4"/>
  <c r="T1995" i="1"/>
  <c r="F607" i="5" s="1"/>
  <c r="Q1992" i="1"/>
  <c r="T1990" i="1"/>
  <c r="F602" i="5" s="1"/>
  <c r="R1995" i="1"/>
  <c r="D607" i="5" s="1"/>
  <c r="T1991" i="1"/>
  <c r="F603" i="5" s="1"/>
  <c r="Q1990" i="1"/>
  <c r="U1994" i="1"/>
  <c r="G606" i="5" s="1"/>
  <c r="S1994" i="1"/>
  <c r="E606" i="5" s="1"/>
  <c r="T1992" i="1"/>
  <c r="Q1991" i="1"/>
  <c r="S1990" i="1"/>
  <c r="E602" i="5" s="1"/>
  <c r="U1993" i="1"/>
  <c r="G605" i="5" s="1"/>
  <c r="T1994" i="1"/>
  <c r="F606" i="5" s="1"/>
  <c r="U1991" i="1"/>
  <c r="G603" i="5" s="1"/>
  <c r="R1990" i="1"/>
  <c r="D602" i="5" s="1"/>
  <c r="R1994" i="1"/>
  <c r="D606" i="5" s="1"/>
  <c r="R1991" i="1"/>
  <c r="D603" i="5" s="1"/>
  <c r="R1989" i="1"/>
  <c r="D601" i="5" s="1"/>
  <c r="S1995" i="1"/>
  <c r="E607" i="5" s="1"/>
  <c r="Q1995" i="1"/>
  <c r="R1992" i="1"/>
  <c r="U1992" i="1"/>
  <c r="Q1989" i="1"/>
  <c r="C601" i="5" s="1"/>
  <c r="U1995" i="1"/>
  <c r="G607" i="5" s="1"/>
  <c r="Q1994" i="1"/>
  <c r="T1993" i="1"/>
  <c r="F605" i="5" s="1"/>
  <c r="S1991" i="1"/>
  <c r="E603" i="5" s="1"/>
  <c r="S1989" i="1"/>
  <c r="S1992" i="1"/>
  <c r="U1990" i="1"/>
  <c r="G602" i="5" s="1"/>
  <c r="H235" i="4"/>
  <c r="L1993" i="1"/>
  <c r="Q1987" i="1"/>
  <c r="E235" i="4"/>
  <c r="I235" i="4"/>
  <c r="N1993" i="1"/>
  <c r="S1987" i="1"/>
  <c r="M1993" i="1"/>
  <c r="R1987" i="1"/>
  <c r="T1672" i="1"/>
  <c r="U1672" i="1"/>
  <c r="R1865" i="1"/>
  <c r="R1873" i="1" s="1"/>
  <c r="V1877" i="1"/>
  <c r="U1926" i="1"/>
  <c r="U1934" i="1" s="1"/>
  <c r="S1873" i="1"/>
  <c r="V1933" i="1"/>
  <c r="R1874" i="1"/>
  <c r="R1880" i="1" s="1"/>
  <c r="U1686" i="1"/>
  <c r="S1683" i="1"/>
  <c r="Q1685" i="1"/>
  <c r="R1689" i="1"/>
  <c r="R1684" i="1"/>
  <c r="T1689" i="1"/>
  <c r="T1687" i="1"/>
  <c r="U1689" i="1"/>
  <c r="R1685" i="1"/>
  <c r="S1684" i="1"/>
  <c r="T1683" i="1"/>
  <c r="F535" i="5" s="1"/>
  <c r="T1681" i="1"/>
  <c r="F533" i="5" s="1"/>
  <c r="U1681" i="1"/>
  <c r="G533" i="5" s="1"/>
  <c r="U1683" i="1"/>
  <c r="G535" i="5" s="1"/>
  <c r="S1685" i="1"/>
  <c r="R1688" i="1"/>
  <c r="D540" i="5" s="1"/>
  <c r="T1686" i="1"/>
  <c r="U1687" i="1"/>
  <c r="S1688" i="1"/>
  <c r="E540" i="5" s="1"/>
  <c r="Q1689" i="1"/>
  <c r="U1685" i="1"/>
  <c r="T1688" i="1"/>
  <c r="S1686" i="1"/>
  <c r="T1685" i="1"/>
  <c r="U1684" i="1"/>
  <c r="G536" i="5" s="1"/>
  <c r="Q1684" i="1"/>
  <c r="R1683" i="1"/>
  <c r="Q1683" i="1"/>
  <c r="T1684" i="1"/>
  <c r="F536" i="5" s="1"/>
  <c r="Q1686" i="1"/>
  <c r="R1686" i="1"/>
  <c r="Q1688" i="1"/>
  <c r="C540" i="5" s="1"/>
  <c r="U1688" i="1"/>
  <c r="S1689" i="1"/>
  <c r="M1926" i="1"/>
  <c r="M1934" i="1" s="1"/>
  <c r="O1926" i="1"/>
  <c r="O1934" i="1" s="1"/>
  <c r="T1926" i="1"/>
  <c r="T1934" i="1" s="1"/>
  <c r="Q1941" i="1"/>
  <c r="L1936" i="1"/>
  <c r="L1944" i="1" s="1"/>
  <c r="N1916" i="1"/>
  <c r="N1924" i="1" s="1"/>
  <c r="S1921" i="1"/>
  <c r="S1916" i="1" s="1"/>
  <c r="S1924" i="1" s="1"/>
  <c r="V1679" i="1"/>
  <c r="V1671" i="1"/>
  <c r="V1676" i="1"/>
  <c r="Q1672" i="1"/>
  <c r="V1673" i="1"/>
  <c r="R1941" i="1"/>
  <c r="R1936" i="1" s="1"/>
  <c r="R1944" i="1" s="1"/>
  <c r="M1936" i="1"/>
  <c r="M1944" i="1" s="1"/>
  <c r="V1929" i="1"/>
  <c r="V1928" i="1"/>
  <c r="Q1931" i="1"/>
  <c r="Q1926" i="1" s="1"/>
  <c r="L1926" i="1"/>
  <c r="L1934" i="1" s="1"/>
  <c r="V1882" i="1"/>
  <c r="S1925" i="1"/>
  <c r="V1915" i="1"/>
  <c r="L1916" i="1"/>
  <c r="L1924" i="1" s="1"/>
  <c r="Q1921" i="1"/>
  <c r="Q1880" i="1"/>
  <c r="S1874" i="1"/>
  <c r="S1880" i="1" s="1"/>
  <c r="R1925" i="1"/>
  <c r="V1677" i="1"/>
  <c r="V1674" i="1"/>
  <c r="R1672" i="1"/>
  <c r="V1678" i="1"/>
  <c r="V1675" i="1"/>
  <c r="S1672" i="1"/>
  <c r="O1916" i="1"/>
  <c r="O1924" i="1" s="1"/>
  <c r="T1917" i="1"/>
  <c r="V1864" i="1"/>
  <c r="V1932" i="1"/>
  <c r="V1930" i="1"/>
  <c r="Q1925" i="1"/>
  <c r="V1881" i="1"/>
  <c r="N1926" i="1"/>
  <c r="N1934" i="1" s="1"/>
  <c r="T1937" i="1"/>
  <c r="O1936" i="1"/>
  <c r="O1944" i="1" s="1"/>
  <c r="H513" i="5"/>
  <c r="H522" i="5"/>
  <c r="H518" i="5"/>
  <c r="V2133" i="1"/>
  <c r="Q2141" i="1"/>
  <c r="V2141" i="1" s="1"/>
  <c r="U1752" i="1"/>
  <c r="U1760" i="1" s="1"/>
  <c r="R1759" i="1"/>
  <c r="T1759" i="1"/>
  <c r="Q1649" i="1"/>
  <c r="V1649" i="1" s="1"/>
  <c r="V1641" i="1"/>
  <c r="Q1752" i="1"/>
  <c r="Q1760" i="1" s="1"/>
  <c r="V1756" i="1"/>
  <c r="V1645" i="1"/>
  <c r="H526" i="5"/>
  <c r="V1621" i="1"/>
  <c r="H530" i="5"/>
  <c r="D523" i="5"/>
  <c r="R1599" i="1"/>
  <c r="V1625" i="1"/>
  <c r="H514" i="5"/>
  <c r="H524" i="5"/>
  <c r="V1601" i="1"/>
  <c r="F527" i="5"/>
  <c r="D527" i="5"/>
  <c r="H529" i="5"/>
  <c r="H547" i="5"/>
  <c r="T1599" i="1"/>
  <c r="F523" i="5"/>
  <c r="G523" i="5"/>
  <c r="U1599" i="1"/>
  <c r="H519" i="5"/>
  <c r="H515" i="5"/>
  <c r="S1599" i="1"/>
  <c r="E523" i="5"/>
  <c r="Q1631" i="1"/>
  <c r="Q1599" i="1" s="1"/>
  <c r="V1635" i="1"/>
  <c r="G527" i="5"/>
  <c r="H528" i="5"/>
  <c r="H525" i="5"/>
  <c r="E527" i="5"/>
  <c r="R1841" i="1"/>
  <c r="R1821" i="1"/>
  <c r="U1841" i="1"/>
  <c r="U1821" i="1"/>
  <c r="H550" i="5"/>
  <c r="T1841" i="1"/>
  <c r="T1821" i="1"/>
  <c r="S1841" i="1"/>
  <c r="S1821" i="1"/>
  <c r="H741" i="5"/>
  <c r="O167" i="1"/>
  <c r="L167" i="1"/>
  <c r="P167" i="1"/>
  <c r="N167" i="1"/>
  <c r="M167" i="1"/>
  <c r="E156" i="5"/>
  <c r="C155" i="5"/>
  <c r="F617" i="5"/>
  <c r="E613" i="5"/>
  <c r="C151" i="5"/>
  <c r="Q1609" i="1"/>
  <c r="F156" i="5"/>
  <c r="F155" i="5"/>
  <c r="D155" i="5"/>
  <c r="G170" i="5"/>
  <c r="C172" i="5"/>
  <c r="C150" i="5" s="1"/>
  <c r="D172" i="5"/>
  <c r="D150" i="5" s="1"/>
  <c r="C170" i="5"/>
  <c r="D170" i="5"/>
  <c r="E172" i="5"/>
  <c r="E150" i="5" s="1"/>
  <c r="C156" i="5"/>
  <c r="G156" i="5"/>
  <c r="H551" i="5"/>
  <c r="H548" i="5"/>
  <c r="D545" i="5"/>
  <c r="H552" i="5"/>
  <c r="G155" i="5"/>
  <c r="E170" i="5"/>
  <c r="F172" i="5"/>
  <c r="F150" i="5" s="1"/>
  <c r="F151" i="5"/>
  <c r="H544" i="5"/>
  <c r="H546" i="5"/>
  <c r="F545" i="5"/>
  <c r="U2049" i="1"/>
  <c r="T1054" i="1"/>
  <c r="C549" i="5"/>
  <c r="S1609" i="1"/>
  <c r="E531" i="5" s="1"/>
  <c r="U1831" i="1"/>
  <c r="G545" i="5"/>
  <c r="Q2081" i="1"/>
  <c r="Q1831" i="1"/>
  <c r="C545" i="5"/>
  <c r="E151" i="5"/>
  <c r="G549" i="5"/>
  <c r="F170" i="5"/>
  <c r="G172" i="5"/>
  <c r="G150" i="5" s="1"/>
  <c r="Q1054" i="1"/>
  <c r="E545" i="5"/>
  <c r="T2081" i="1"/>
  <c r="U2081" i="1"/>
  <c r="U1609" i="1"/>
  <c r="G531" i="5" s="1"/>
  <c r="F75" i="5"/>
  <c r="G151" i="5"/>
  <c r="E155" i="5"/>
  <c r="T188" i="1"/>
  <c r="F72" i="5"/>
  <c r="U1054" i="1"/>
  <c r="R2049" i="1"/>
  <c r="R1054" i="1"/>
  <c r="Q2049" i="1"/>
  <c r="S2081" i="1"/>
  <c r="D151" i="5"/>
  <c r="D156" i="5"/>
  <c r="Q1629" i="1"/>
  <c r="V1629" i="1" s="1"/>
  <c r="S1760" i="1"/>
  <c r="D613" i="5"/>
  <c r="C617" i="5"/>
  <c r="E617" i="5"/>
  <c r="G613" i="5"/>
  <c r="A16" i="3"/>
  <c r="A114" i="5"/>
  <c r="U198" i="1"/>
  <c r="R198" i="1"/>
  <c r="S260" i="1"/>
  <c r="S198" i="1"/>
  <c r="Q260" i="1"/>
  <c r="S354" i="1"/>
  <c r="F613" i="5"/>
  <c r="G617" i="5"/>
  <c r="T354" i="1"/>
  <c r="U354" i="1"/>
  <c r="Q354" i="1"/>
  <c r="R354" i="1"/>
  <c r="R260" i="1"/>
  <c r="C613" i="5"/>
  <c r="D617" i="5"/>
  <c r="T406" i="1"/>
  <c r="S406" i="1"/>
  <c r="D238" i="4"/>
  <c r="K1105" i="1"/>
  <c r="D70" i="3"/>
  <c r="Q2215" i="1"/>
  <c r="C70" i="3"/>
  <c r="Q1841" i="1"/>
  <c r="Q1821" i="1"/>
  <c r="C253" i="4"/>
  <c r="H845" i="1" s="1"/>
  <c r="R848" i="1" s="1"/>
  <c r="T208" i="1"/>
  <c r="S855" i="1"/>
  <c r="Q875" i="1"/>
  <c r="Q870" i="1"/>
  <c r="R875" i="1"/>
  <c r="R870" i="1"/>
  <c r="S1831" i="1"/>
  <c r="P823" i="1"/>
  <c r="U823" i="1" s="1"/>
  <c r="U820" i="1"/>
  <c r="T855" i="1"/>
  <c r="U875" i="1"/>
  <c r="U870" i="1"/>
  <c r="R854" i="1"/>
  <c r="R858" i="1"/>
  <c r="S854" i="1"/>
  <c r="S858" i="1"/>
  <c r="T854" i="1"/>
  <c r="U854" i="1"/>
  <c r="Q858" i="1"/>
  <c r="Q854" i="1"/>
  <c r="T858" i="1"/>
  <c r="U858" i="1"/>
  <c r="Q855" i="1"/>
  <c r="U855" i="1"/>
  <c r="T870" i="1"/>
  <c r="T822" i="1"/>
  <c r="T826" i="1"/>
  <c r="S827" i="1"/>
  <c r="R828" i="1"/>
  <c r="Q822" i="1"/>
  <c r="U822" i="1"/>
  <c r="Q826" i="1"/>
  <c r="U826" i="1"/>
  <c r="T827" i="1"/>
  <c r="S828" i="1"/>
  <c r="R826" i="1"/>
  <c r="U827" i="1"/>
  <c r="S826" i="1"/>
  <c r="Q828" i="1"/>
  <c r="R822" i="1"/>
  <c r="T828" i="1"/>
  <c r="S822" i="1"/>
  <c r="U828" i="1"/>
  <c r="Q827" i="1"/>
  <c r="R827" i="1"/>
  <c r="T872" i="1"/>
  <c r="S873" i="1"/>
  <c r="R874" i="1"/>
  <c r="T876" i="1"/>
  <c r="S877" i="1"/>
  <c r="R878" i="1"/>
  <c r="Q872" i="1"/>
  <c r="U872" i="1"/>
  <c r="T873" i="1"/>
  <c r="S874" i="1"/>
  <c r="Q876" i="1"/>
  <c r="U876" i="1"/>
  <c r="T877" i="1"/>
  <c r="S878" i="1"/>
  <c r="Q873" i="1"/>
  <c r="T874" i="1"/>
  <c r="R876" i="1"/>
  <c r="U877" i="1"/>
  <c r="R873" i="1"/>
  <c r="U874" i="1"/>
  <c r="S876" i="1"/>
  <c r="Q878" i="1"/>
  <c r="U873" i="1"/>
  <c r="Q877" i="1"/>
  <c r="Q874" i="1"/>
  <c r="R877" i="1"/>
  <c r="R872" i="1"/>
  <c r="T878" i="1"/>
  <c r="S872" i="1"/>
  <c r="U878" i="1"/>
  <c r="R855" i="1"/>
  <c r="S875" i="1"/>
  <c r="S870" i="1"/>
  <c r="R1207" i="1"/>
  <c r="R2081" i="1"/>
  <c r="E708" i="5"/>
  <c r="R406" i="1"/>
  <c r="Q198" i="1"/>
  <c r="T2049" i="1"/>
  <c r="T1609" i="1"/>
  <c r="F531" i="5" s="1"/>
  <c r="R106" i="1"/>
  <c r="T198" i="1"/>
  <c r="Q406" i="1"/>
  <c r="S1054" i="1"/>
  <c r="S2049" i="1"/>
  <c r="Q106" i="1"/>
  <c r="U1207" i="1"/>
  <c r="T1831" i="1"/>
  <c r="U406" i="1"/>
  <c r="Q1207" i="1"/>
  <c r="R1609" i="1"/>
  <c r="D531" i="5" s="1"/>
  <c r="R1831" i="1"/>
  <c r="O2061" i="1"/>
  <c r="O2069" i="1" s="1"/>
  <c r="L2061" i="1"/>
  <c r="L2069" i="1" s="1"/>
  <c r="P2061" i="1"/>
  <c r="P2069" i="1" s="1"/>
  <c r="V2041" i="1"/>
  <c r="V2045" i="1"/>
  <c r="V1837" i="1"/>
  <c r="H549" i="5" s="1"/>
  <c r="V1823" i="1"/>
  <c r="P825" i="1"/>
  <c r="U825" i="1" s="1"/>
  <c r="I242" i="4"/>
  <c r="T875" i="1"/>
  <c r="C249" i="4"/>
  <c r="H835" i="1" s="1"/>
  <c r="C257" i="4"/>
  <c r="K251" i="4"/>
  <c r="P824" i="1"/>
  <c r="U824" i="1" s="1"/>
  <c r="K250" i="4"/>
  <c r="K249" i="4"/>
  <c r="C241" i="4"/>
  <c r="K830" i="1" s="1"/>
  <c r="K252" i="4"/>
  <c r="E237" i="4"/>
  <c r="D240" i="4"/>
  <c r="I241" i="4"/>
  <c r="P830" i="1" s="1"/>
  <c r="V1249" i="1"/>
  <c r="V1168" i="1"/>
  <c r="V1412" i="1"/>
  <c r="V2029" i="1"/>
  <c r="V1125" i="1"/>
  <c r="V1498" i="1"/>
  <c r="H500" i="5" s="1"/>
  <c r="V2019" i="1"/>
  <c r="V2082" i="1"/>
  <c r="V2122" i="1"/>
  <c r="V1259" i="1"/>
  <c r="V1361" i="1"/>
  <c r="V2050" i="1"/>
  <c r="H632" i="5" s="1"/>
  <c r="V1198" i="1"/>
  <c r="V1466" i="1"/>
  <c r="V2092" i="1"/>
  <c r="V345" i="1"/>
  <c r="V1085" i="1"/>
  <c r="V209" i="1"/>
  <c r="V231" i="1"/>
  <c r="V302" i="1"/>
  <c r="V1229" i="1"/>
  <c r="V1045" i="1"/>
  <c r="V1095" i="1"/>
  <c r="V1341" i="1"/>
  <c r="V1310" i="1"/>
  <c r="H412" i="5" s="1"/>
  <c r="V2009" i="1"/>
  <c r="V2072" i="1"/>
  <c r="V1115" i="1"/>
  <c r="V1055" i="1"/>
  <c r="V2112" i="1"/>
  <c r="V251" i="1"/>
  <c r="V407" i="1"/>
  <c r="V437" i="1"/>
  <c r="V282" i="1"/>
  <c r="V313" i="1"/>
  <c r="H115" i="5" s="1"/>
  <c r="V335" i="1"/>
  <c r="V1065" i="1"/>
  <c r="V199" i="1"/>
  <c r="V397" i="1"/>
  <c r="V417" i="1"/>
  <c r="V447" i="1"/>
  <c r="V292" i="1"/>
  <c r="V355" i="1"/>
  <c r="V1075" i="1"/>
  <c r="V189" i="1"/>
  <c r="V221" i="1"/>
  <c r="V271" i="1"/>
  <c r="V147" i="1"/>
  <c r="V1402" i="1"/>
  <c r="V1381" i="1"/>
  <c r="V1208" i="1"/>
  <c r="V1435" i="1"/>
  <c r="V1476" i="1"/>
  <c r="V1529" i="1"/>
  <c r="H511" i="5" s="1"/>
  <c r="V2102" i="1"/>
  <c r="D536" i="5" l="1"/>
  <c r="E535" i="5"/>
  <c r="F540" i="5"/>
  <c r="F539" i="5"/>
  <c r="E536" i="5"/>
  <c r="D541" i="5"/>
  <c r="C541" i="5"/>
  <c r="C497" i="5" s="1"/>
  <c r="F537" i="5"/>
  <c r="C535" i="5"/>
  <c r="C536" i="5"/>
  <c r="G540" i="5"/>
  <c r="E537" i="5"/>
  <c r="G541" i="5"/>
  <c r="C537" i="5"/>
  <c r="E541" i="5"/>
  <c r="D537" i="5"/>
  <c r="F541" i="5"/>
  <c r="D535" i="5"/>
  <c r="G539" i="5"/>
  <c r="G537" i="5"/>
  <c r="U1680" i="1"/>
  <c r="T1680" i="1"/>
  <c r="H93" i="5"/>
  <c r="V1935" i="1"/>
  <c r="F559" i="5"/>
  <c r="G559" i="5"/>
  <c r="Q1772" i="1"/>
  <c r="Q1780" i="1" s="1"/>
  <c r="H390" i="5"/>
  <c r="U1944" i="1"/>
  <c r="O1772" i="1"/>
  <c r="O1780" i="1" s="1"/>
  <c r="V1774" i="1"/>
  <c r="P1772" i="1"/>
  <c r="P1780" i="1" s="1"/>
  <c r="U1772" i="1"/>
  <c r="U1780" i="1" s="1"/>
  <c r="V1777" i="1"/>
  <c r="T1772" i="1"/>
  <c r="T1780" i="1" s="1"/>
  <c r="R1772" i="1"/>
  <c r="R1780" i="1" s="1"/>
  <c r="M1780" i="1"/>
  <c r="V1776" i="1"/>
  <c r="V1773" i="1"/>
  <c r="L1780" i="1"/>
  <c r="V1779" i="1"/>
  <c r="S1772" i="1"/>
  <c r="S1780" i="1" s="1"/>
  <c r="V1775" i="1"/>
  <c r="N1780" i="1"/>
  <c r="H654" i="5"/>
  <c r="R1681" i="1"/>
  <c r="D533" i="5" s="1"/>
  <c r="Q1681" i="1"/>
  <c r="S1681" i="1"/>
  <c r="E533" i="5" s="1"/>
  <c r="H71" i="3"/>
  <c r="D559" i="5"/>
  <c r="H137" i="5"/>
  <c r="P982" i="1"/>
  <c r="E559" i="5"/>
  <c r="S185" i="1"/>
  <c r="R185" i="1"/>
  <c r="Q1865" i="1"/>
  <c r="Q1873" i="1" s="1"/>
  <c r="D577" i="5"/>
  <c r="R1931" i="1"/>
  <c r="R1926" i="1" s="1"/>
  <c r="R1934" i="1" s="1"/>
  <c r="E577" i="5"/>
  <c r="S1931" i="1"/>
  <c r="S1926" i="1" s="1"/>
  <c r="S1934" i="1" s="1"/>
  <c r="R1993" i="1"/>
  <c r="M1988" i="1"/>
  <c r="M1996" i="1" s="1"/>
  <c r="U984" i="1"/>
  <c r="V1987" i="1"/>
  <c r="H599" i="5" s="1"/>
  <c r="C599" i="5"/>
  <c r="P1988" i="1"/>
  <c r="P1996" i="1" s="1"/>
  <c r="E599" i="5"/>
  <c r="L1988" i="1"/>
  <c r="L1996" i="1" s="1"/>
  <c r="Q1993" i="1"/>
  <c r="V1991" i="1"/>
  <c r="C603" i="5"/>
  <c r="C559" i="5" s="1"/>
  <c r="V1990" i="1"/>
  <c r="C602" i="5"/>
  <c r="V1992" i="1"/>
  <c r="O1988" i="1"/>
  <c r="O1996" i="1" s="1"/>
  <c r="N1988" i="1"/>
  <c r="N1996" i="1" s="1"/>
  <c r="S1993" i="1"/>
  <c r="E605" i="5" s="1"/>
  <c r="V1994" i="1"/>
  <c r="C606" i="5"/>
  <c r="F599" i="5"/>
  <c r="D599" i="5"/>
  <c r="E601" i="5"/>
  <c r="V1995" i="1"/>
  <c r="C607" i="5"/>
  <c r="G599" i="5"/>
  <c r="S1680" i="1"/>
  <c r="R1680" i="1"/>
  <c r="V1672" i="1"/>
  <c r="T1936" i="1"/>
  <c r="T1944" i="1" s="1"/>
  <c r="V1937" i="1"/>
  <c r="V1925" i="1"/>
  <c r="Q1934" i="1"/>
  <c r="T1916" i="1"/>
  <c r="T1924" i="1" s="1"/>
  <c r="V1917" i="1"/>
  <c r="F579" i="5"/>
  <c r="L1875" i="1"/>
  <c r="L1883" i="1" s="1"/>
  <c r="V1921" i="1"/>
  <c r="Q1916" i="1"/>
  <c r="Q1680" i="1"/>
  <c r="V1688" i="1"/>
  <c r="T1682" i="1"/>
  <c r="T1690" i="1" s="1"/>
  <c r="U1682" i="1"/>
  <c r="U1690" i="1" s="1"/>
  <c r="P1883" i="1"/>
  <c r="G568" i="5"/>
  <c r="N1875" i="1"/>
  <c r="N1883" i="1" s="1"/>
  <c r="Q1874" i="1"/>
  <c r="O1883" i="1"/>
  <c r="V1927" i="1"/>
  <c r="V1941" i="1"/>
  <c r="Q1936" i="1"/>
  <c r="V1686" i="1"/>
  <c r="V1683" i="1"/>
  <c r="V1684" i="1"/>
  <c r="V1689" i="1"/>
  <c r="V1685" i="1"/>
  <c r="S1887" i="1"/>
  <c r="S1886" i="1"/>
  <c r="E568" i="5" s="1"/>
  <c r="T1890" i="1"/>
  <c r="T1887" i="1"/>
  <c r="S1884" i="1"/>
  <c r="S1890" i="1" s="1"/>
  <c r="Q1886" i="1"/>
  <c r="U1887" i="1"/>
  <c r="R1891" i="1"/>
  <c r="U1890" i="1"/>
  <c r="S1891" i="1"/>
  <c r="R1884" i="1"/>
  <c r="R1890" i="1" s="1"/>
  <c r="T1891" i="1"/>
  <c r="F573" i="5" s="1"/>
  <c r="R1887" i="1"/>
  <c r="R1886" i="1"/>
  <c r="T1884" i="1"/>
  <c r="Q1887" i="1"/>
  <c r="C569" i="5" s="1"/>
  <c r="Q1891" i="1"/>
  <c r="C573" i="5" s="1"/>
  <c r="U1891" i="1"/>
  <c r="M1875" i="1"/>
  <c r="M1883" i="1" s="1"/>
  <c r="O1752" i="1"/>
  <c r="O1760" i="1" s="1"/>
  <c r="D553" i="5"/>
  <c r="E553" i="5"/>
  <c r="C583" i="5"/>
  <c r="C577" i="5"/>
  <c r="T1752" i="1"/>
  <c r="T1760" i="1" s="1"/>
  <c r="R1752" i="1"/>
  <c r="R1760" i="1" s="1"/>
  <c r="V1759" i="1"/>
  <c r="H423" i="5"/>
  <c r="M1752" i="1"/>
  <c r="M1760" i="1" s="1"/>
  <c r="F553" i="5"/>
  <c r="G553" i="5"/>
  <c r="H527" i="5"/>
  <c r="Q1639" i="1"/>
  <c r="V1639" i="1" s="1"/>
  <c r="V1631" i="1"/>
  <c r="H523" i="5" s="1"/>
  <c r="V1609" i="1"/>
  <c r="C523" i="5"/>
  <c r="H401" i="5"/>
  <c r="U982" i="1"/>
  <c r="E39" i="3"/>
  <c r="F367" i="5"/>
  <c r="H467" i="5"/>
  <c r="V1599" i="1"/>
  <c r="F80" i="5"/>
  <c r="C39" i="3"/>
  <c r="H71" i="5"/>
  <c r="H434" i="5"/>
  <c r="H621" i="5"/>
  <c r="G39" i="3"/>
  <c r="H170" i="5"/>
  <c r="H478" i="5"/>
  <c r="H588" i="5"/>
  <c r="H104" i="5"/>
  <c r="H291" i="5"/>
  <c r="C553" i="5"/>
  <c r="G647" i="5"/>
  <c r="D53" i="3"/>
  <c r="D521" i="5"/>
  <c r="D55" i="3"/>
  <c r="D543" i="5"/>
  <c r="D69" i="3"/>
  <c r="D697" i="5"/>
  <c r="G53" i="3"/>
  <c r="G521" i="5"/>
  <c r="C53" i="3"/>
  <c r="C521" i="5"/>
  <c r="E55" i="3"/>
  <c r="E543" i="5"/>
  <c r="C55" i="3"/>
  <c r="C543" i="5"/>
  <c r="C69" i="3"/>
  <c r="C697" i="5"/>
  <c r="F55" i="3"/>
  <c r="F543" i="5"/>
  <c r="F53" i="3"/>
  <c r="F521" i="5"/>
  <c r="G55" i="3"/>
  <c r="G543" i="5"/>
  <c r="E53" i="3"/>
  <c r="E521" i="5"/>
  <c r="L820" i="1"/>
  <c r="L1105" i="1"/>
  <c r="P833" i="1"/>
  <c r="U833" i="1" s="1"/>
  <c r="P832" i="1"/>
  <c r="U832" i="1" s="1"/>
  <c r="E70" i="3"/>
  <c r="V1831" i="1"/>
  <c r="Q845" i="1"/>
  <c r="S844" i="1"/>
  <c r="U848" i="1"/>
  <c r="U844" i="1"/>
  <c r="T846" i="1"/>
  <c r="R845" i="1"/>
  <c r="S846" i="1"/>
  <c r="T844" i="1"/>
  <c r="T845" i="1"/>
  <c r="T848" i="1"/>
  <c r="U846" i="1"/>
  <c r="R844" i="1"/>
  <c r="U845" i="1"/>
  <c r="S845" i="1"/>
  <c r="Q844" i="1"/>
  <c r="Q848" i="1"/>
  <c r="R846" i="1"/>
  <c r="Q846" i="1"/>
  <c r="S848" i="1"/>
  <c r="R834" i="1"/>
  <c r="T836" i="1"/>
  <c r="R838" i="1"/>
  <c r="S834" i="1"/>
  <c r="Q836" i="1"/>
  <c r="U836" i="1"/>
  <c r="S838" i="1"/>
  <c r="T834" i="1"/>
  <c r="R836" i="1"/>
  <c r="U834" i="1"/>
  <c r="S836" i="1"/>
  <c r="Q838" i="1"/>
  <c r="Q834" i="1"/>
  <c r="T838" i="1"/>
  <c r="U838" i="1"/>
  <c r="U830" i="1"/>
  <c r="U871" i="1"/>
  <c r="S871" i="1"/>
  <c r="T871" i="1"/>
  <c r="U821" i="1"/>
  <c r="Q871" i="1"/>
  <c r="R871" i="1"/>
  <c r="V2065" i="1"/>
  <c r="V2049" i="1"/>
  <c r="V1833" i="1"/>
  <c r="H545" i="5" s="1"/>
  <c r="V1841" i="1"/>
  <c r="V870" i="1"/>
  <c r="C243" i="4"/>
  <c r="K850" i="1" s="1"/>
  <c r="U837" i="1"/>
  <c r="C260" i="4"/>
  <c r="H865" i="1" s="1"/>
  <c r="P840" i="1"/>
  <c r="I243" i="4"/>
  <c r="D241" i="4"/>
  <c r="D242" i="4"/>
  <c r="E240" i="4"/>
  <c r="F237" i="4"/>
  <c r="E238" i="4"/>
  <c r="H541" i="5" l="1"/>
  <c r="C533" i="5"/>
  <c r="C489" i="5" s="1"/>
  <c r="H537" i="5"/>
  <c r="H535" i="5"/>
  <c r="H536" i="5"/>
  <c r="H577" i="5"/>
  <c r="F566" i="5"/>
  <c r="F555" i="5" s="1"/>
  <c r="T1886" i="1"/>
  <c r="D568" i="5"/>
  <c r="D557" i="5" s="1"/>
  <c r="R1885" i="1"/>
  <c r="R1893" i="1" s="1"/>
  <c r="C568" i="5"/>
  <c r="C557" i="5" s="1"/>
  <c r="Q1885" i="1"/>
  <c r="Q1893" i="1" s="1"/>
  <c r="L912" i="1"/>
  <c r="L919" i="1" s="1"/>
  <c r="Q919" i="1" s="1"/>
  <c r="C331" i="5" s="1"/>
  <c r="L922" i="1"/>
  <c r="N1682" i="1"/>
  <c r="N1690" i="1" s="1"/>
  <c r="S1687" i="1"/>
  <c r="E539" i="5" s="1"/>
  <c r="L1682" i="1"/>
  <c r="L1690" i="1" s="1"/>
  <c r="Q1687" i="1"/>
  <c r="C539" i="5" s="1"/>
  <c r="M1682" i="1"/>
  <c r="M1690" i="1" s="1"/>
  <c r="R1687" i="1"/>
  <c r="D539" i="5" s="1"/>
  <c r="R184" i="1"/>
  <c r="R179" i="1" s="1"/>
  <c r="M179" i="1"/>
  <c r="M187" i="1" s="1"/>
  <c r="V185" i="1"/>
  <c r="N179" i="1"/>
  <c r="N187" i="1" s="1"/>
  <c r="S184" i="1"/>
  <c r="S179" i="1" s="1"/>
  <c r="E583" i="5"/>
  <c r="V1926" i="1"/>
  <c r="V1931" i="1"/>
  <c r="D583" i="5"/>
  <c r="V1865" i="1"/>
  <c r="G569" i="5"/>
  <c r="G558" i="5" s="1"/>
  <c r="U1885" i="1"/>
  <c r="U1893" i="1" s="1"/>
  <c r="E572" i="5"/>
  <c r="D566" i="5"/>
  <c r="D555" i="5" s="1"/>
  <c r="C574" i="5"/>
  <c r="C563" i="5" s="1"/>
  <c r="U987" i="1"/>
  <c r="U986" i="1"/>
  <c r="V1760" i="1"/>
  <c r="S1988" i="1"/>
  <c r="S1986" i="1" s="1"/>
  <c r="V1934" i="1"/>
  <c r="V1989" i="1"/>
  <c r="T1988" i="1"/>
  <c r="F601" i="5"/>
  <c r="U1988" i="1"/>
  <c r="G601" i="5"/>
  <c r="G557" i="5" s="1"/>
  <c r="R1000" i="1"/>
  <c r="V1752" i="1"/>
  <c r="Q1988" i="1"/>
  <c r="V1993" i="1"/>
  <c r="C605" i="5"/>
  <c r="R1988" i="1"/>
  <c r="D605" i="5"/>
  <c r="C566" i="5"/>
  <c r="C555" i="5" s="1"/>
  <c r="E574" i="5"/>
  <c r="E563" i="5" s="1"/>
  <c r="D569" i="5"/>
  <c r="D558" i="5" s="1"/>
  <c r="G572" i="5"/>
  <c r="F572" i="5"/>
  <c r="D574" i="5"/>
  <c r="D563" i="5" s="1"/>
  <c r="F568" i="5"/>
  <c r="C572" i="5"/>
  <c r="E566" i="5"/>
  <c r="E555" i="5" s="1"/>
  <c r="G573" i="5"/>
  <c r="G562" i="5" s="1"/>
  <c r="G574" i="5"/>
  <c r="G563" i="5" s="1"/>
  <c r="E573" i="5"/>
  <c r="E562" i="5" s="1"/>
  <c r="D573" i="5"/>
  <c r="D562" i="5" s="1"/>
  <c r="F569" i="5"/>
  <c r="F558" i="5" s="1"/>
  <c r="F574" i="5"/>
  <c r="F563" i="5" s="1"/>
  <c r="E569" i="5"/>
  <c r="E558" i="5" s="1"/>
  <c r="V1873" i="1"/>
  <c r="V1680" i="1"/>
  <c r="G566" i="5"/>
  <c r="G555" i="5" s="1"/>
  <c r="V1891" i="1"/>
  <c r="H573" i="5" s="1"/>
  <c r="C562" i="5"/>
  <c r="V1887" i="1"/>
  <c r="H569" i="5" s="1"/>
  <c r="C558" i="5"/>
  <c r="T1885" i="1"/>
  <c r="T1893" i="1" s="1"/>
  <c r="F562" i="5"/>
  <c r="R1875" i="1"/>
  <c r="V1886" i="1"/>
  <c r="V1884" i="1"/>
  <c r="E557" i="5"/>
  <c r="V1936" i="1"/>
  <c r="Q1944" i="1"/>
  <c r="V1944" i="1" s="1"/>
  <c r="T1875" i="1"/>
  <c r="V1876" i="1"/>
  <c r="V1874" i="1"/>
  <c r="S1875" i="1"/>
  <c r="U1875" i="1"/>
  <c r="V1916" i="1"/>
  <c r="Q1924" i="1"/>
  <c r="V1924" i="1" s="1"/>
  <c r="V1880" i="1"/>
  <c r="Q1875" i="1"/>
  <c r="V1681" i="1"/>
  <c r="H533" i="5" s="1"/>
  <c r="C531" i="5"/>
  <c r="H531" i="5"/>
  <c r="Q820" i="1"/>
  <c r="L973" i="1"/>
  <c r="E367" i="5"/>
  <c r="F39" i="3"/>
  <c r="C367" i="5"/>
  <c r="D367" i="5"/>
  <c r="L823" i="1"/>
  <c r="Q823" i="1" s="1"/>
  <c r="G367" i="5"/>
  <c r="H553" i="5"/>
  <c r="Q879" i="1"/>
  <c r="U879" i="1"/>
  <c r="G643" i="5"/>
  <c r="E69" i="3"/>
  <c r="E697" i="5"/>
  <c r="R879" i="1"/>
  <c r="S879" i="1"/>
  <c r="T879" i="1"/>
  <c r="L825" i="1"/>
  <c r="Q825" i="1" s="1"/>
  <c r="U829" i="1"/>
  <c r="L824" i="1"/>
  <c r="Q824" i="1" s="1"/>
  <c r="L1110" i="1"/>
  <c r="Q1110" i="1" s="1"/>
  <c r="Q1105" i="1"/>
  <c r="C357" i="5" s="1"/>
  <c r="L1108" i="1"/>
  <c r="M820" i="1"/>
  <c r="M1105" i="1"/>
  <c r="U840" i="1"/>
  <c r="P843" i="1"/>
  <c r="U843" i="1" s="1"/>
  <c r="P842" i="1"/>
  <c r="U842" i="1" s="1"/>
  <c r="Q860" i="1"/>
  <c r="U860" i="1"/>
  <c r="T862" i="1"/>
  <c r="S863" i="1"/>
  <c r="R864" i="1"/>
  <c r="T866" i="1"/>
  <c r="S867" i="1"/>
  <c r="R868" i="1"/>
  <c r="D310" i="5" s="1"/>
  <c r="D277" i="5" s="1"/>
  <c r="R860" i="1"/>
  <c r="Q862" i="1"/>
  <c r="U862" i="1"/>
  <c r="T863" i="1"/>
  <c r="S864" i="1"/>
  <c r="Q866" i="1"/>
  <c r="U866" i="1"/>
  <c r="T867" i="1"/>
  <c r="S868" i="1"/>
  <c r="E310" i="5" s="1"/>
  <c r="E277" i="5" s="1"/>
  <c r="S860" i="1"/>
  <c r="Q863" i="1"/>
  <c r="T864" i="1"/>
  <c r="R866" i="1"/>
  <c r="U867" i="1"/>
  <c r="T860" i="1"/>
  <c r="R863" i="1"/>
  <c r="U864" i="1"/>
  <c r="G306" i="5" s="1"/>
  <c r="G273" i="5" s="1"/>
  <c r="S866" i="1"/>
  <c r="Q868" i="1"/>
  <c r="C310" i="5" s="1"/>
  <c r="C277" i="5" s="1"/>
  <c r="R862" i="1"/>
  <c r="T868" i="1"/>
  <c r="F310" i="5" s="1"/>
  <c r="F277" i="5" s="1"/>
  <c r="S862" i="1"/>
  <c r="U868" i="1"/>
  <c r="G310" i="5" s="1"/>
  <c r="G277" i="5" s="1"/>
  <c r="U863" i="1"/>
  <c r="Q867" i="1"/>
  <c r="Q864" i="1"/>
  <c r="R867" i="1"/>
  <c r="V2069" i="1"/>
  <c r="V2061" i="1"/>
  <c r="U847" i="1"/>
  <c r="P850" i="1"/>
  <c r="D243" i="4"/>
  <c r="F238" i="4"/>
  <c r="F240" i="4"/>
  <c r="G237" i="4"/>
  <c r="E241" i="4"/>
  <c r="E242" i="4"/>
  <c r="Q912" i="1" l="1"/>
  <c r="C324" i="5" s="1"/>
  <c r="L918" i="1"/>
  <c r="Q918" i="1" s="1"/>
  <c r="C330" i="5" s="1"/>
  <c r="M912" i="1"/>
  <c r="M918" i="1" s="1"/>
  <c r="R918" i="1" s="1"/>
  <c r="D330" i="5" s="1"/>
  <c r="M922" i="1"/>
  <c r="L979" i="1"/>
  <c r="L980" i="1"/>
  <c r="Q980" i="1" s="1"/>
  <c r="V1687" i="1"/>
  <c r="Q1682" i="1"/>
  <c r="R1682" i="1"/>
  <c r="S1682" i="1"/>
  <c r="S1885" i="1"/>
  <c r="M919" i="1"/>
  <c r="R919" i="1" s="1"/>
  <c r="D331" i="5" s="1"/>
  <c r="Q984" i="1"/>
  <c r="Q991" i="1"/>
  <c r="V1890" i="1"/>
  <c r="H572" i="5" s="1"/>
  <c r="D572" i="5"/>
  <c r="D561" i="5" s="1"/>
  <c r="V1892" i="1"/>
  <c r="H574" i="5" s="1"/>
  <c r="E561" i="5"/>
  <c r="F561" i="5"/>
  <c r="G561" i="5"/>
  <c r="Q1001" i="1"/>
  <c r="Q986" i="1"/>
  <c r="P985" i="1"/>
  <c r="P993" i="1" s="1"/>
  <c r="U985" i="1"/>
  <c r="S1996" i="1"/>
  <c r="C561" i="5"/>
  <c r="F557" i="5"/>
  <c r="F567" i="5"/>
  <c r="R1986" i="1"/>
  <c r="R1996" i="1"/>
  <c r="V1988" i="1"/>
  <c r="V1986" i="1" s="1"/>
  <c r="Q1986" i="1"/>
  <c r="Q1996" i="1"/>
  <c r="U1024" i="1"/>
  <c r="U1029" i="1"/>
  <c r="G351" i="5" s="1"/>
  <c r="U1986" i="1"/>
  <c r="U1996" i="1"/>
  <c r="H568" i="5"/>
  <c r="Q1000" i="1"/>
  <c r="Q994" i="1"/>
  <c r="U1017" i="1"/>
  <c r="U1014" i="1"/>
  <c r="T1986" i="1"/>
  <c r="T1996" i="1"/>
  <c r="C567" i="5"/>
  <c r="G567" i="5"/>
  <c r="H566" i="5"/>
  <c r="H555" i="5" s="1"/>
  <c r="D567" i="5"/>
  <c r="U1883" i="1"/>
  <c r="G575" i="5" s="1"/>
  <c r="U1843" i="1"/>
  <c r="R1883" i="1"/>
  <c r="D575" i="5" s="1"/>
  <c r="R1843" i="1"/>
  <c r="V1875" i="1"/>
  <c r="Q1843" i="1"/>
  <c r="S1883" i="1"/>
  <c r="Q1883" i="1"/>
  <c r="C575" i="5" s="1"/>
  <c r="T1883" i="1"/>
  <c r="F575" i="5" s="1"/>
  <c r="T1843" i="1"/>
  <c r="R820" i="1"/>
  <c r="M973" i="1"/>
  <c r="Q973" i="1"/>
  <c r="D39" i="3"/>
  <c r="C306" i="5"/>
  <c r="C273" i="5" s="1"/>
  <c r="C647" i="5"/>
  <c r="Q821" i="1"/>
  <c r="M823" i="1"/>
  <c r="R823" i="1" s="1"/>
  <c r="N820" i="1"/>
  <c r="N1105" i="1"/>
  <c r="M825" i="1"/>
  <c r="R825" i="1" s="1"/>
  <c r="L1106" i="1"/>
  <c r="Q1108" i="1"/>
  <c r="C360" i="5" s="1"/>
  <c r="M824" i="1"/>
  <c r="R824" i="1" s="1"/>
  <c r="D306" i="5" s="1"/>
  <c r="D273" i="5" s="1"/>
  <c r="M1108" i="1"/>
  <c r="R1105" i="1"/>
  <c r="D357" i="5" s="1"/>
  <c r="M1110" i="1"/>
  <c r="R1110" i="1" s="1"/>
  <c r="U850" i="1"/>
  <c r="G302" i="5" s="1"/>
  <c r="G269" i="5" s="1"/>
  <c r="P853" i="1"/>
  <c r="U853" i="1" s="1"/>
  <c r="G305" i="5" s="1"/>
  <c r="G272" i="5" s="1"/>
  <c r="P852" i="1"/>
  <c r="U852" i="1" s="1"/>
  <c r="G704" i="5" s="1"/>
  <c r="E243" i="4"/>
  <c r="L850" i="1" s="1"/>
  <c r="U841" i="1"/>
  <c r="V860" i="1"/>
  <c r="L840" i="1"/>
  <c r="L830" i="1"/>
  <c r="U857" i="1"/>
  <c r="G309" i="5" s="1"/>
  <c r="G276" i="5" s="1"/>
  <c r="U856" i="1"/>
  <c r="G308" i="5" s="1"/>
  <c r="G275" i="5" s="1"/>
  <c r="G238" i="4"/>
  <c r="G240" i="4"/>
  <c r="H237" i="4"/>
  <c r="F241" i="4"/>
  <c r="F242" i="4"/>
  <c r="H539" i="5" l="1"/>
  <c r="S1690" i="1"/>
  <c r="R1690" i="1"/>
  <c r="R912" i="1"/>
  <c r="D324" i="5" s="1"/>
  <c r="S1893" i="1"/>
  <c r="V1893" i="1" s="1"/>
  <c r="N912" i="1"/>
  <c r="N918" i="1" s="1"/>
  <c r="S918" i="1" s="1"/>
  <c r="E330" i="5" s="1"/>
  <c r="N922" i="1"/>
  <c r="Q929" i="1"/>
  <c r="Q922" i="1"/>
  <c r="M980" i="1"/>
  <c r="R980" i="1" s="1"/>
  <c r="M979" i="1"/>
  <c r="Q979" i="1"/>
  <c r="L974" i="1"/>
  <c r="L982" i="1" s="1"/>
  <c r="V1885" i="1"/>
  <c r="H567" i="5" s="1"/>
  <c r="S1843" i="1"/>
  <c r="E575" i="5"/>
  <c r="Q1690" i="1"/>
  <c r="V1682" i="1"/>
  <c r="E567" i="5"/>
  <c r="R997" i="1"/>
  <c r="R996" i="1"/>
  <c r="R1001" i="1"/>
  <c r="R994" i="1"/>
  <c r="G346" i="5"/>
  <c r="Q985" i="1"/>
  <c r="U993" i="1"/>
  <c r="R984" i="1"/>
  <c r="L995" i="1"/>
  <c r="L1003" i="1" s="1"/>
  <c r="L985" i="1"/>
  <c r="L993" i="1" s="1"/>
  <c r="U1016" i="1"/>
  <c r="G348" i="5" s="1"/>
  <c r="P1015" i="1"/>
  <c r="P1023" i="1" s="1"/>
  <c r="V990" i="1"/>
  <c r="Q996" i="1"/>
  <c r="P1025" i="1"/>
  <c r="P1033" i="1" s="1"/>
  <c r="U1027" i="1"/>
  <c r="U1025" i="1" s="1"/>
  <c r="U1033" i="1" s="1"/>
  <c r="Q1014" i="1"/>
  <c r="Q1020" i="1"/>
  <c r="C352" i="5" s="1"/>
  <c r="Q1021" i="1"/>
  <c r="C353" i="5" s="1"/>
  <c r="R1020" i="1"/>
  <c r="D352" i="5" s="1"/>
  <c r="V1996" i="1"/>
  <c r="Q1029" i="1"/>
  <c r="C351" i="5" s="1"/>
  <c r="Q1024" i="1"/>
  <c r="S1000" i="1"/>
  <c r="V1883" i="1"/>
  <c r="S820" i="1"/>
  <c r="N973" i="1"/>
  <c r="R973" i="1"/>
  <c r="G304" i="5"/>
  <c r="G271" i="5" s="1"/>
  <c r="Q829" i="1"/>
  <c r="C643" i="5"/>
  <c r="U849" i="1"/>
  <c r="G668" i="5"/>
  <c r="D647" i="5"/>
  <c r="R821" i="1"/>
  <c r="N824" i="1"/>
  <c r="S824" i="1" s="1"/>
  <c r="E306" i="5" s="1"/>
  <c r="E273" i="5" s="1"/>
  <c r="N823" i="1"/>
  <c r="S823" i="1" s="1"/>
  <c r="N825" i="1"/>
  <c r="S825" i="1" s="1"/>
  <c r="O820" i="1"/>
  <c r="O922" i="1" s="1"/>
  <c r="O1105" i="1"/>
  <c r="R1108" i="1"/>
  <c r="D360" i="5" s="1"/>
  <c r="M1106" i="1"/>
  <c r="N1108" i="1"/>
  <c r="S1105" i="1"/>
  <c r="E357" i="5" s="1"/>
  <c r="N1110" i="1"/>
  <c r="S1110" i="1" s="1"/>
  <c r="Q830" i="1"/>
  <c r="L833" i="1"/>
  <c r="Q833" i="1" s="1"/>
  <c r="L832" i="1"/>
  <c r="Q832" i="1" s="1"/>
  <c r="Q840" i="1"/>
  <c r="L843" i="1"/>
  <c r="Q843" i="1" s="1"/>
  <c r="L842" i="1"/>
  <c r="Q842" i="1" s="1"/>
  <c r="Q850" i="1"/>
  <c r="L853" i="1"/>
  <c r="Q853" i="1" s="1"/>
  <c r="L852" i="1"/>
  <c r="Q852" i="1" s="1"/>
  <c r="Q856" i="1"/>
  <c r="C308" i="5" s="1"/>
  <c r="F243" i="4"/>
  <c r="M850" i="1" s="1"/>
  <c r="Q857" i="1"/>
  <c r="U851" i="1"/>
  <c r="M840" i="1"/>
  <c r="Q837" i="1"/>
  <c r="M830" i="1"/>
  <c r="Q847" i="1"/>
  <c r="H238" i="4"/>
  <c r="H240" i="4"/>
  <c r="G242" i="4"/>
  <c r="G241" i="4"/>
  <c r="V1690" i="1" l="1"/>
  <c r="S912" i="1"/>
  <c r="E324" i="5" s="1"/>
  <c r="N919" i="1"/>
  <c r="S919" i="1" s="1"/>
  <c r="E331" i="5" s="1"/>
  <c r="H575" i="5"/>
  <c r="L923" i="1"/>
  <c r="L931" i="1" s="1"/>
  <c r="Q928" i="1"/>
  <c r="R929" i="1"/>
  <c r="R922" i="1"/>
  <c r="V1843" i="1"/>
  <c r="N979" i="1"/>
  <c r="N980" i="1"/>
  <c r="S980" i="1" s="1"/>
  <c r="M974" i="1"/>
  <c r="M982" i="1" s="1"/>
  <c r="R979" i="1"/>
  <c r="Q974" i="1"/>
  <c r="R995" i="1"/>
  <c r="R1003" i="1" s="1"/>
  <c r="S1001" i="1"/>
  <c r="V1001" i="1" s="1"/>
  <c r="S994" i="1"/>
  <c r="S996" i="1"/>
  <c r="S997" i="1"/>
  <c r="O912" i="1"/>
  <c r="T912" i="1" s="1"/>
  <c r="F324" i="5" s="1"/>
  <c r="P912" i="1"/>
  <c r="U912" i="1" s="1"/>
  <c r="G324" i="5" s="1"/>
  <c r="M995" i="1"/>
  <c r="M1003" i="1" s="1"/>
  <c r="V1000" i="1"/>
  <c r="G349" i="5"/>
  <c r="C346" i="5"/>
  <c r="R986" i="1"/>
  <c r="R987" i="1"/>
  <c r="Q1027" i="1"/>
  <c r="C349" i="5" s="1"/>
  <c r="L1025" i="1"/>
  <c r="L1033" i="1" s="1"/>
  <c r="S1024" i="1"/>
  <c r="S1029" i="1"/>
  <c r="E351" i="5" s="1"/>
  <c r="S1020" i="1"/>
  <c r="E352" i="5" s="1"/>
  <c r="Q1016" i="1"/>
  <c r="C348" i="5" s="1"/>
  <c r="L1015" i="1"/>
  <c r="L1023" i="1" s="1"/>
  <c r="Q995" i="1"/>
  <c r="U1015" i="1"/>
  <c r="G347" i="5" s="1"/>
  <c r="C302" i="5"/>
  <c r="C269" i="5" s="1"/>
  <c r="S973" i="1"/>
  <c r="T820" i="1"/>
  <c r="V820" i="1" s="1"/>
  <c r="O973" i="1"/>
  <c r="C309" i="5"/>
  <c r="C304" i="5"/>
  <c r="C271" i="5" s="1"/>
  <c r="C305" i="5"/>
  <c r="C272" i="5" s="1"/>
  <c r="G674" i="5"/>
  <c r="U859" i="1"/>
  <c r="E647" i="5"/>
  <c r="C668" i="5"/>
  <c r="C704" i="5"/>
  <c r="D643" i="5"/>
  <c r="R829" i="1"/>
  <c r="O824" i="1"/>
  <c r="T824" i="1" s="1"/>
  <c r="F306" i="5" s="1"/>
  <c r="F273" i="5" s="1"/>
  <c r="O823" i="1"/>
  <c r="T823" i="1" s="1"/>
  <c r="O825" i="1"/>
  <c r="T825" i="1" s="1"/>
  <c r="S821" i="1"/>
  <c r="O1110" i="1"/>
  <c r="T1110" i="1" s="1"/>
  <c r="T1105" i="1"/>
  <c r="F357" i="5" s="1"/>
  <c r="O1108" i="1"/>
  <c r="N1106" i="1"/>
  <c r="S1108" i="1"/>
  <c r="E360" i="5" s="1"/>
  <c r="M853" i="1"/>
  <c r="R853" i="1" s="1"/>
  <c r="M852" i="1"/>
  <c r="R852" i="1" s="1"/>
  <c r="R840" i="1"/>
  <c r="M842" i="1"/>
  <c r="R842" i="1" s="1"/>
  <c r="M843" i="1"/>
  <c r="R843" i="1" s="1"/>
  <c r="R830" i="1"/>
  <c r="M833" i="1"/>
  <c r="R833" i="1" s="1"/>
  <c r="M832" i="1"/>
  <c r="R832" i="1" s="1"/>
  <c r="Q851" i="1"/>
  <c r="R850" i="1"/>
  <c r="R856" i="1"/>
  <c r="D308" i="5" s="1"/>
  <c r="D275" i="5" s="1"/>
  <c r="R857" i="1"/>
  <c r="Q841" i="1"/>
  <c r="R837" i="1"/>
  <c r="R847" i="1"/>
  <c r="N830" i="1"/>
  <c r="G243" i="4"/>
  <c r="N850" i="1" s="1"/>
  <c r="N840" i="1"/>
  <c r="H242" i="4"/>
  <c r="H241" i="4"/>
  <c r="Q923" i="1" l="1"/>
  <c r="R928" i="1"/>
  <c r="R923" i="1" s="1"/>
  <c r="R931" i="1" s="1"/>
  <c r="M923" i="1"/>
  <c r="M931" i="1" s="1"/>
  <c r="S922" i="1"/>
  <c r="S929" i="1"/>
  <c r="V929" i="1" s="1"/>
  <c r="R974" i="1"/>
  <c r="T997" i="1"/>
  <c r="V997" i="1" s="1"/>
  <c r="Q982" i="1"/>
  <c r="V980" i="1"/>
  <c r="N974" i="1"/>
  <c r="N982" i="1" s="1"/>
  <c r="S979" i="1"/>
  <c r="T1029" i="1"/>
  <c r="N995" i="1"/>
  <c r="N1003" i="1" s="1"/>
  <c r="S995" i="1"/>
  <c r="S1003" i="1" s="1"/>
  <c r="S984" i="1"/>
  <c r="S987" i="1"/>
  <c r="S991" i="1"/>
  <c r="V912" i="1"/>
  <c r="H324" i="5" s="1"/>
  <c r="S1021" i="1"/>
  <c r="S1017" i="1"/>
  <c r="S1014" i="1"/>
  <c r="R991" i="1"/>
  <c r="R1021" i="1"/>
  <c r="R1017" i="1"/>
  <c r="R1014" i="1"/>
  <c r="R1024" i="1"/>
  <c r="R1029" i="1"/>
  <c r="D351" i="5" s="1"/>
  <c r="M985" i="1"/>
  <c r="M993" i="1" s="1"/>
  <c r="Q1003" i="1"/>
  <c r="S1027" i="1"/>
  <c r="S1025" i="1" s="1"/>
  <c r="S1033" i="1" s="1"/>
  <c r="N1025" i="1"/>
  <c r="N1033" i="1" s="1"/>
  <c r="Q1025" i="1"/>
  <c r="Q993" i="1"/>
  <c r="V1020" i="1"/>
  <c r="H352" i="5" s="1"/>
  <c r="U1023" i="1"/>
  <c r="G355" i="5" s="1"/>
  <c r="U983" i="1"/>
  <c r="Q1015" i="1"/>
  <c r="S1016" i="1"/>
  <c r="T973" i="1"/>
  <c r="O982" i="1"/>
  <c r="D304" i="5"/>
  <c r="D271" i="5" s="1"/>
  <c r="D309" i="5"/>
  <c r="D276" i="5" s="1"/>
  <c r="D302" i="5"/>
  <c r="D269" i="5" s="1"/>
  <c r="V1105" i="1"/>
  <c r="H357" i="5" s="1"/>
  <c r="D305" i="5"/>
  <c r="D272" i="5" s="1"/>
  <c r="D704" i="5"/>
  <c r="E643" i="5"/>
  <c r="D668" i="5"/>
  <c r="F647" i="5"/>
  <c r="C674" i="5"/>
  <c r="Q849" i="1"/>
  <c r="Q859" i="1"/>
  <c r="S829" i="1"/>
  <c r="T821" i="1"/>
  <c r="T1108" i="1"/>
  <c r="F360" i="5" s="1"/>
  <c r="O1106" i="1"/>
  <c r="S830" i="1"/>
  <c r="N832" i="1"/>
  <c r="S832" i="1" s="1"/>
  <c r="N833" i="1"/>
  <c r="S833" i="1" s="1"/>
  <c r="S840" i="1"/>
  <c r="N843" i="1"/>
  <c r="S843" i="1" s="1"/>
  <c r="N842" i="1"/>
  <c r="S842" i="1" s="1"/>
  <c r="S850" i="1"/>
  <c r="N853" i="1"/>
  <c r="S853" i="1" s="1"/>
  <c r="N852" i="1"/>
  <c r="S852" i="1" s="1"/>
  <c r="R851" i="1"/>
  <c r="R841" i="1"/>
  <c r="O840" i="1"/>
  <c r="S856" i="1"/>
  <c r="E308" i="5" s="1"/>
  <c r="E275" i="5" s="1"/>
  <c r="S857" i="1"/>
  <c r="S847" i="1"/>
  <c r="O830" i="1"/>
  <c r="S837" i="1"/>
  <c r="H243" i="4"/>
  <c r="T1014" i="1" l="1"/>
  <c r="Q931" i="1"/>
  <c r="S923" i="1"/>
  <c r="V923" i="1" s="1"/>
  <c r="N923" i="1"/>
  <c r="N931" i="1" s="1"/>
  <c r="T1024" i="1"/>
  <c r="T994" i="1"/>
  <c r="V994" i="1" s="1"/>
  <c r="O995" i="1"/>
  <c r="O1003" i="1" s="1"/>
  <c r="S974" i="1"/>
  <c r="V979" i="1"/>
  <c r="R982" i="1"/>
  <c r="T1016" i="1"/>
  <c r="T1017" i="1"/>
  <c r="V1017" i="1" s="1"/>
  <c r="E353" i="5"/>
  <c r="V991" i="1"/>
  <c r="T984" i="1"/>
  <c r="V984" i="1" s="1"/>
  <c r="T987" i="1"/>
  <c r="V987" i="1" s="1"/>
  <c r="E346" i="5"/>
  <c r="S986" i="1"/>
  <c r="S985" i="1" s="1"/>
  <c r="S993" i="1" s="1"/>
  <c r="N985" i="1"/>
  <c r="N993" i="1" s="1"/>
  <c r="N1015" i="1"/>
  <c r="N1023" i="1" s="1"/>
  <c r="V1029" i="1"/>
  <c r="H351" i="5" s="1"/>
  <c r="F351" i="5"/>
  <c r="V1024" i="1"/>
  <c r="D353" i="5"/>
  <c r="D346" i="5"/>
  <c r="E349" i="5"/>
  <c r="Q983" i="1"/>
  <c r="C347" i="5"/>
  <c r="V1021" i="1"/>
  <c r="V1014" i="1"/>
  <c r="R1027" i="1"/>
  <c r="D349" i="5" s="1"/>
  <c r="M1025" i="1"/>
  <c r="M1033" i="1" s="1"/>
  <c r="R985" i="1"/>
  <c r="R1016" i="1"/>
  <c r="D348" i="5" s="1"/>
  <c r="M1015" i="1"/>
  <c r="M1023" i="1" s="1"/>
  <c r="Q1033" i="1"/>
  <c r="Q1023" i="1"/>
  <c r="T1027" i="1"/>
  <c r="O1025" i="1"/>
  <c r="O1033" i="1" s="1"/>
  <c r="S1015" i="1"/>
  <c r="T982" i="1"/>
  <c r="V973" i="1"/>
  <c r="E305" i="5"/>
  <c r="E272" i="5" s="1"/>
  <c r="E304" i="5"/>
  <c r="E271" i="5" s="1"/>
  <c r="E302" i="5"/>
  <c r="E269" i="5" s="1"/>
  <c r="E309" i="5"/>
  <c r="E276" i="5" s="1"/>
  <c r="E704" i="5"/>
  <c r="R849" i="1"/>
  <c r="R859" i="1"/>
  <c r="E674" i="5"/>
  <c r="E668" i="5"/>
  <c r="F643" i="5"/>
  <c r="D674" i="5"/>
  <c r="T829" i="1"/>
  <c r="T840" i="1"/>
  <c r="O843" i="1"/>
  <c r="T843" i="1" s="1"/>
  <c r="O842" i="1"/>
  <c r="T842" i="1" s="1"/>
  <c r="T830" i="1"/>
  <c r="O833" i="1"/>
  <c r="T833" i="1" s="1"/>
  <c r="O832" i="1"/>
  <c r="T832" i="1" s="1"/>
  <c r="S851" i="1"/>
  <c r="S841" i="1"/>
  <c r="O850" i="1"/>
  <c r="T837" i="1"/>
  <c r="T847" i="1"/>
  <c r="H173" i="1"/>
  <c r="R117" i="1"/>
  <c r="S117" i="1"/>
  <c r="T117" i="1"/>
  <c r="U117" i="1"/>
  <c r="Q117" i="1"/>
  <c r="F2216" i="1"/>
  <c r="F1986" i="1"/>
  <c r="F1955" i="1"/>
  <c r="F1914" i="1"/>
  <c r="F1843" i="1"/>
  <c r="F2071" i="1"/>
  <c r="F2008" i="1"/>
  <c r="F2164" i="1"/>
  <c r="A54" i="3"/>
  <c r="F1599" i="1"/>
  <c r="F1528" i="1"/>
  <c r="F1487" i="1"/>
  <c r="F1455" i="1"/>
  <c r="F1434" i="1"/>
  <c r="F983" i="1"/>
  <c r="F911" i="1"/>
  <c r="F1340" i="1"/>
  <c r="F1401" i="1"/>
  <c r="F1044" i="1"/>
  <c r="F1228" i="1"/>
  <c r="F819" i="1"/>
  <c r="F758" i="1"/>
  <c r="F667" i="1"/>
  <c r="F478" i="1"/>
  <c r="F457" i="1"/>
  <c r="F511" i="1"/>
  <c r="F334" i="1"/>
  <c r="F323" i="1"/>
  <c r="F281" i="1"/>
  <c r="F396" i="1"/>
  <c r="F220" i="1"/>
  <c r="F188" i="1"/>
  <c r="F157" i="1"/>
  <c r="F86" i="1"/>
  <c r="F45" i="1"/>
  <c r="F2215" i="1"/>
  <c r="F1842" i="1"/>
  <c r="F2070" i="1"/>
  <c r="F2007" i="1"/>
  <c r="F2142" i="1"/>
  <c r="F1486" i="1"/>
  <c r="F1433" i="1"/>
  <c r="F910" i="1"/>
  <c r="F1166" i="1"/>
  <c r="F666" i="1"/>
  <c r="A268" i="5" s="1"/>
  <c r="F510" i="1"/>
  <c r="F219" i="1"/>
  <c r="F1432" i="1"/>
  <c r="F509" i="1"/>
  <c r="F345" i="1"/>
  <c r="F2082" i="1"/>
  <c r="F2092" i="1"/>
  <c r="F2102" i="1"/>
  <c r="F2112" i="1"/>
  <c r="F2072" i="1"/>
  <c r="F2019" i="1"/>
  <c r="F2009" i="1"/>
  <c r="F1681" i="1"/>
  <c r="F1691" i="1"/>
  <c r="F1701" i="1"/>
  <c r="F1731" i="1"/>
  <c r="F1741" i="1"/>
  <c r="F1711" i="1"/>
  <c r="F1579" i="1"/>
  <c r="F1589" i="1"/>
  <c r="F1529" i="1"/>
  <c r="F1498" i="1"/>
  <c r="F1466" i="1"/>
  <c r="F1476" i="1"/>
  <c r="F1456" i="1"/>
  <c r="F1445" i="1"/>
  <c r="F1435" i="1"/>
  <c r="F1055" i="1"/>
  <c r="F1198" i="1"/>
  <c r="F1208" i="1"/>
  <c r="F912" i="1"/>
  <c r="F1115" i="1"/>
  <c r="F1125" i="1"/>
  <c r="F2050" i="1"/>
  <c r="F1105" i="1"/>
  <c r="F1412" i="1"/>
  <c r="F1361" i="1"/>
  <c r="F1381" i="1"/>
  <c r="F1310" i="1"/>
  <c r="F2029" i="1"/>
  <c r="F1341" i="1"/>
  <c r="F1402" i="1"/>
  <c r="F1168" i="1"/>
  <c r="F1065" i="1"/>
  <c r="F1075" i="1"/>
  <c r="F1085" i="1"/>
  <c r="F1095" i="1"/>
  <c r="F1045" i="1"/>
  <c r="F1229" i="1"/>
  <c r="F1249" i="1"/>
  <c r="F1259" i="1"/>
  <c r="F830" i="1"/>
  <c r="F840" i="1"/>
  <c r="F850" i="1"/>
  <c r="F860" i="1"/>
  <c r="F870" i="1"/>
  <c r="F820" i="1"/>
  <c r="F147" i="1"/>
  <c r="F335" i="1"/>
  <c r="F355" i="1"/>
  <c r="F25" i="1"/>
  <c r="F324" i="1"/>
  <c r="F302" i="1"/>
  <c r="F292" i="1"/>
  <c r="F282" i="1"/>
  <c r="F437" i="1"/>
  <c r="F447" i="1"/>
  <c r="F427" i="1"/>
  <c r="F407" i="1"/>
  <c r="F417" i="1"/>
  <c r="F397" i="1"/>
  <c r="F271" i="1"/>
  <c r="F251" i="1"/>
  <c r="F231" i="1"/>
  <c r="F221" i="1"/>
  <c r="F209" i="1"/>
  <c r="F199" i="1"/>
  <c r="F189" i="1"/>
  <c r="F168" i="1"/>
  <c r="F158" i="1"/>
  <c r="F127" i="1"/>
  <c r="F137" i="1"/>
  <c r="F107" i="1"/>
  <c r="F117" i="1"/>
  <c r="F97" i="1"/>
  <c r="F76" i="1"/>
  <c r="F66" i="1"/>
  <c r="F56" i="1"/>
  <c r="F46" i="1"/>
  <c r="F15" i="1"/>
  <c r="F2" i="1"/>
  <c r="F3" i="1"/>
  <c r="F4" i="1"/>
  <c r="F5" i="1"/>
  <c r="C87" i="1"/>
  <c r="F87" i="1" s="1"/>
  <c r="U2127" i="1"/>
  <c r="U2123" i="1" s="1"/>
  <c r="U2131" i="1" s="1"/>
  <c r="T2127" i="1"/>
  <c r="T2123" i="1" s="1"/>
  <c r="T2131" i="1" s="1"/>
  <c r="S2127" i="1"/>
  <c r="S2123" i="1" s="1"/>
  <c r="S2131" i="1" s="1"/>
  <c r="R2127" i="1"/>
  <c r="R2123" i="1" s="1"/>
  <c r="R2131" i="1" s="1"/>
  <c r="Q2127" i="1"/>
  <c r="Q2123" i="1" s="1"/>
  <c r="Q2131" i="1" s="1"/>
  <c r="U2117" i="1"/>
  <c r="U2113" i="1" s="1"/>
  <c r="U2121" i="1" s="1"/>
  <c r="T2117" i="1"/>
  <c r="T2113" i="1" s="1"/>
  <c r="T2121" i="1" s="1"/>
  <c r="S2117" i="1"/>
  <c r="S2113" i="1" s="1"/>
  <c r="S2121" i="1" s="1"/>
  <c r="R2117" i="1"/>
  <c r="R2113" i="1" s="1"/>
  <c r="R2121" i="1" s="1"/>
  <c r="Q2117" i="1"/>
  <c r="Q2113" i="1" s="1"/>
  <c r="Q2121" i="1" s="1"/>
  <c r="P2107" i="1"/>
  <c r="U2107" i="1" s="1"/>
  <c r="U2103" i="1" s="1"/>
  <c r="U2111" i="1" s="1"/>
  <c r="O2107" i="1"/>
  <c r="T2107" i="1" s="1"/>
  <c r="T2103" i="1" s="1"/>
  <c r="T2111" i="1" s="1"/>
  <c r="N2107" i="1"/>
  <c r="S2107" i="1" s="1"/>
  <c r="S2103" i="1" s="1"/>
  <c r="S2111" i="1" s="1"/>
  <c r="R2107" i="1"/>
  <c r="R2103" i="1" s="1"/>
  <c r="R2111" i="1" s="1"/>
  <c r="L2107" i="1"/>
  <c r="Q2107" i="1" s="1"/>
  <c r="Q2103" i="1" s="1"/>
  <c r="Q2111" i="1" s="1"/>
  <c r="U2097" i="1"/>
  <c r="U2093" i="1" s="1"/>
  <c r="U2101" i="1" s="1"/>
  <c r="T2097" i="1"/>
  <c r="T2093" i="1" s="1"/>
  <c r="T2101" i="1" s="1"/>
  <c r="S2097" i="1"/>
  <c r="S2093" i="1" s="1"/>
  <c r="S2101" i="1" s="1"/>
  <c r="R2097" i="1"/>
  <c r="R2093" i="1" s="1"/>
  <c r="R2101" i="1" s="1"/>
  <c r="Q2097" i="1"/>
  <c r="Q2093" i="1" s="1"/>
  <c r="Q2101" i="1" s="1"/>
  <c r="U2087" i="1"/>
  <c r="T2087" i="1"/>
  <c r="S2087" i="1"/>
  <c r="R2087" i="1"/>
  <c r="Q2087" i="1"/>
  <c r="P2024" i="1"/>
  <c r="U2024" i="1" s="1"/>
  <c r="U2020" i="1" s="1"/>
  <c r="U2028" i="1" s="1"/>
  <c r="O2024" i="1"/>
  <c r="T2024" i="1" s="1"/>
  <c r="T2020" i="1" s="1"/>
  <c r="T2028" i="1" s="1"/>
  <c r="S2024" i="1"/>
  <c r="S2020" i="1" s="1"/>
  <c r="S2028" i="1" s="1"/>
  <c r="M2024" i="1"/>
  <c r="R2024" i="1" s="1"/>
  <c r="R2020" i="1" s="1"/>
  <c r="R2028" i="1" s="1"/>
  <c r="L2024" i="1"/>
  <c r="Q2024" i="1" s="1"/>
  <c r="Q2020" i="1" s="1"/>
  <c r="Q2028" i="1" s="1"/>
  <c r="U2014" i="1"/>
  <c r="T2014" i="1"/>
  <c r="S2014" i="1"/>
  <c r="R2014" i="1"/>
  <c r="Q2014" i="1"/>
  <c r="P1706" i="1"/>
  <c r="U1706" i="1" s="1"/>
  <c r="U1702" i="1" s="1"/>
  <c r="U1710" i="1" s="1"/>
  <c r="O1706" i="1"/>
  <c r="T1706" i="1" s="1"/>
  <c r="T1702" i="1" s="1"/>
  <c r="T1710" i="1" s="1"/>
  <c r="N1706" i="1"/>
  <c r="S1706" i="1" s="1"/>
  <c r="S1702" i="1" s="1"/>
  <c r="S1710" i="1" s="1"/>
  <c r="R1706" i="1"/>
  <c r="R1702" i="1" s="1"/>
  <c r="R1710" i="1" s="1"/>
  <c r="L1706" i="1"/>
  <c r="Q1706" i="1" s="1"/>
  <c r="U1696" i="1"/>
  <c r="T1696" i="1"/>
  <c r="S1696" i="1"/>
  <c r="R1696" i="1"/>
  <c r="Q1696" i="1"/>
  <c r="O1692" i="1"/>
  <c r="O1700" i="1" s="1"/>
  <c r="U1746" i="1"/>
  <c r="U1742" i="1" s="1"/>
  <c r="U1750" i="1" s="1"/>
  <c r="T1746" i="1"/>
  <c r="T1742" i="1" s="1"/>
  <c r="T1750" i="1" s="1"/>
  <c r="S1746" i="1"/>
  <c r="S1742" i="1" s="1"/>
  <c r="S1750" i="1" s="1"/>
  <c r="R1746" i="1"/>
  <c r="R1742" i="1" s="1"/>
  <c r="R1750" i="1" s="1"/>
  <c r="Q1746" i="1"/>
  <c r="R1732" i="1"/>
  <c r="R1740" i="1" s="1"/>
  <c r="P1716" i="1"/>
  <c r="O1716" i="1"/>
  <c r="N1716" i="1"/>
  <c r="M1716" i="1"/>
  <c r="L1716" i="1"/>
  <c r="U1594" i="1"/>
  <c r="U1590" i="1" s="1"/>
  <c r="U1598" i="1" s="1"/>
  <c r="T1594" i="1"/>
  <c r="T1590" i="1" s="1"/>
  <c r="T1598" i="1" s="1"/>
  <c r="S1594" i="1"/>
  <c r="S1590" i="1" s="1"/>
  <c r="S1598" i="1" s="1"/>
  <c r="R1594" i="1"/>
  <c r="R1590" i="1" s="1"/>
  <c r="R1598" i="1" s="1"/>
  <c r="Q1594" i="1"/>
  <c r="U1584" i="1"/>
  <c r="T1584" i="1"/>
  <c r="S1584" i="1"/>
  <c r="R1584" i="1"/>
  <c r="Q1584" i="1"/>
  <c r="P1534" i="1"/>
  <c r="U1534" i="1" s="1"/>
  <c r="O1534" i="1"/>
  <c r="T1534" i="1" s="1"/>
  <c r="T1530" i="1" s="1"/>
  <c r="S1534" i="1"/>
  <c r="R1534" i="1"/>
  <c r="U1503" i="1"/>
  <c r="G505" i="5" s="1"/>
  <c r="T1503" i="1"/>
  <c r="F505" i="5" s="1"/>
  <c r="S1503" i="1"/>
  <c r="E505" i="5" s="1"/>
  <c r="R1503" i="1"/>
  <c r="D505" i="5" s="1"/>
  <c r="Q1503" i="1"/>
  <c r="C505" i="5" s="1"/>
  <c r="U1481" i="1"/>
  <c r="U1477" i="1" s="1"/>
  <c r="U1485" i="1" s="1"/>
  <c r="T1481" i="1"/>
  <c r="T1477" i="1" s="1"/>
  <c r="T1485" i="1" s="1"/>
  <c r="S1481" i="1"/>
  <c r="S1477" i="1" s="1"/>
  <c r="S1485" i="1" s="1"/>
  <c r="R1481" i="1"/>
  <c r="R1477" i="1" s="1"/>
  <c r="R1485" i="1" s="1"/>
  <c r="Q1481" i="1"/>
  <c r="Q1477" i="1" s="1"/>
  <c r="Q1485" i="1" s="1"/>
  <c r="U1471" i="1"/>
  <c r="U1467" i="1" s="1"/>
  <c r="U1475" i="1" s="1"/>
  <c r="T1471" i="1"/>
  <c r="T1467" i="1" s="1"/>
  <c r="T1475" i="1" s="1"/>
  <c r="S1471" i="1"/>
  <c r="S1467" i="1" s="1"/>
  <c r="S1475" i="1" s="1"/>
  <c r="R1471" i="1"/>
  <c r="R1467" i="1" s="1"/>
  <c r="R1475" i="1" s="1"/>
  <c r="Q1471" i="1"/>
  <c r="Q1467" i="1" s="1"/>
  <c r="Q1475" i="1" s="1"/>
  <c r="U1461" i="1"/>
  <c r="T1461" i="1"/>
  <c r="S1461" i="1"/>
  <c r="R1461" i="1"/>
  <c r="Q1461" i="1"/>
  <c r="U1450" i="1"/>
  <c r="U1446" i="1" s="1"/>
  <c r="U1454" i="1" s="1"/>
  <c r="T1450" i="1"/>
  <c r="T1446" i="1" s="1"/>
  <c r="S1450" i="1"/>
  <c r="S1446" i="1" s="1"/>
  <c r="S1454" i="1" s="1"/>
  <c r="R1450" i="1"/>
  <c r="R1446" i="1" s="1"/>
  <c r="R1454" i="1" s="1"/>
  <c r="Q1450" i="1"/>
  <c r="U1060" i="1"/>
  <c r="T1060" i="1"/>
  <c r="S1060" i="1"/>
  <c r="R1060" i="1"/>
  <c r="Q1060" i="1"/>
  <c r="P917" i="1"/>
  <c r="U917" i="1" s="1"/>
  <c r="G329" i="5" s="1"/>
  <c r="O917" i="1"/>
  <c r="T917" i="1" s="1"/>
  <c r="F329" i="5" s="1"/>
  <c r="N917" i="1"/>
  <c r="S917" i="1" s="1"/>
  <c r="E329" i="5" s="1"/>
  <c r="R917" i="1"/>
  <c r="D329" i="5" s="1"/>
  <c r="Q917" i="1"/>
  <c r="C329" i="5" s="1"/>
  <c r="U1213" i="1"/>
  <c r="U1209" i="1" s="1"/>
  <c r="T1213" i="1"/>
  <c r="T1209" i="1" s="1"/>
  <c r="S1213" i="1"/>
  <c r="S1209" i="1" s="1"/>
  <c r="R1213" i="1"/>
  <c r="R1209" i="1" s="1"/>
  <c r="Q1213" i="1"/>
  <c r="Q1209" i="1" s="1"/>
  <c r="H1131" i="1"/>
  <c r="U1130" i="1"/>
  <c r="U1126" i="1" s="1"/>
  <c r="T1130" i="1"/>
  <c r="T1126" i="1" s="1"/>
  <c r="S1130" i="1"/>
  <c r="S1126" i="1" s="1"/>
  <c r="R1130" i="1"/>
  <c r="R1126" i="1" s="1"/>
  <c r="Q1130" i="1"/>
  <c r="Q1126" i="1" s="1"/>
  <c r="P1120" i="1"/>
  <c r="O1120" i="1"/>
  <c r="N1120" i="1"/>
  <c r="M1120" i="1"/>
  <c r="L1120" i="1"/>
  <c r="U1106" i="1"/>
  <c r="U1114" i="1" s="1"/>
  <c r="T1106" i="1"/>
  <c r="T1114" i="1" s="1"/>
  <c r="S1106" i="1"/>
  <c r="S1114" i="1" s="1"/>
  <c r="R1106" i="1"/>
  <c r="R1114" i="1" s="1"/>
  <c r="Q1106" i="1"/>
  <c r="Q1114" i="1" s="1"/>
  <c r="U2055" i="1"/>
  <c r="G637" i="5" s="1"/>
  <c r="T2055" i="1"/>
  <c r="F637" i="5" s="1"/>
  <c r="S2055" i="1"/>
  <c r="E637" i="5" s="1"/>
  <c r="R2055" i="1"/>
  <c r="D637" i="5" s="1"/>
  <c r="Q2055" i="1"/>
  <c r="C637" i="5" s="1"/>
  <c r="U2034" i="1"/>
  <c r="U2030" i="1" s="1"/>
  <c r="U2038" i="1" s="1"/>
  <c r="T2034" i="1"/>
  <c r="T2030" i="1" s="1"/>
  <c r="T2038" i="1" s="1"/>
  <c r="S2034" i="1"/>
  <c r="S2030" i="1" s="1"/>
  <c r="S2038" i="1" s="1"/>
  <c r="R2034" i="1"/>
  <c r="R2030" i="1" s="1"/>
  <c r="R2038" i="1" s="1"/>
  <c r="Q2034" i="1"/>
  <c r="Q2030" i="1" s="1"/>
  <c r="Q2038" i="1" s="1"/>
  <c r="U1315" i="1"/>
  <c r="T1315" i="1"/>
  <c r="S1315" i="1"/>
  <c r="R1315" i="1"/>
  <c r="Q1315" i="1"/>
  <c r="P1386" i="1"/>
  <c r="U1386" i="1" s="1"/>
  <c r="O1386" i="1"/>
  <c r="T1386" i="1" s="1"/>
  <c r="S1386" i="1"/>
  <c r="R1386" i="1"/>
  <c r="Q1386" i="1"/>
  <c r="U1366" i="1"/>
  <c r="U1362" i="1" s="1"/>
  <c r="U1370" i="1" s="1"/>
  <c r="T1366" i="1"/>
  <c r="T1362" i="1" s="1"/>
  <c r="T1370" i="1" s="1"/>
  <c r="S1366" i="1"/>
  <c r="S1362" i="1" s="1"/>
  <c r="S1370" i="1" s="1"/>
  <c r="R1366" i="1"/>
  <c r="R1362" i="1" s="1"/>
  <c r="R1370" i="1" s="1"/>
  <c r="Q1366" i="1"/>
  <c r="Q1362" i="1" s="1"/>
  <c r="Q1370" i="1" s="1"/>
  <c r="P1417" i="1"/>
  <c r="U1417" i="1" s="1"/>
  <c r="U1413" i="1" s="1"/>
  <c r="U1421" i="1" s="1"/>
  <c r="O1417" i="1"/>
  <c r="T1417" i="1" s="1"/>
  <c r="T1413" i="1" s="1"/>
  <c r="T1421" i="1" s="1"/>
  <c r="N1417" i="1"/>
  <c r="S1417" i="1" s="1"/>
  <c r="S1413" i="1" s="1"/>
  <c r="S1421" i="1" s="1"/>
  <c r="R1417" i="1"/>
  <c r="R1413" i="1" s="1"/>
  <c r="R1421" i="1" s="1"/>
  <c r="Q1417" i="1"/>
  <c r="Q1413" i="1" s="1"/>
  <c r="Q1421" i="1" s="1"/>
  <c r="P1346" i="1"/>
  <c r="U1346" i="1" s="1"/>
  <c r="O1346" i="1"/>
  <c r="T1346" i="1" s="1"/>
  <c r="S1346" i="1"/>
  <c r="R1346" i="1"/>
  <c r="L1346" i="1"/>
  <c r="O1342" i="1"/>
  <c r="O1350" i="1" s="1"/>
  <c r="U1407" i="1"/>
  <c r="T1407" i="1"/>
  <c r="S1407" i="1"/>
  <c r="R1407" i="1"/>
  <c r="Q1407" i="1"/>
  <c r="U1173" i="1"/>
  <c r="T1173" i="1"/>
  <c r="S1173" i="1"/>
  <c r="R1173" i="1"/>
  <c r="Q1173" i="1"/>
  <c r="U1100" i="1"/>
  <c r="U1096" i="1" s="1"/>
  <c r="U1104" i="1" s="1"/>
  <c r="T1100" i="1"/>
  <c r="T1096" i="1" s="1"/>
  <c r="T1104" i="1" s="1"/>
  <c r="S1100" i="1"/>
  <c r="S1096" i="1" s="1"/>
  <c r="S1104" i="1" s="1"/>
  <c r="R1100" i="1"/>
  <c r="R1096" i="1" s="1"/>
  <c r="R1104" i="1" s="1"/>
  <c r="Q1096" i="1"/>
  <c r="Q1104" i="1" s="1"/>
  <c r="U1090" i="1"/>
  <c r="U1086" i="1" s="1"/>
  <c r="U1094" i="1" s="1"/>
  <c r="T1090" i="1"/>
  <c r="T1086" i="1" s="1"/>
  <c r="T1094" i="1" s="1"/>
  <c r="S1090" i="1"/>
  <c r="S1086" i="1" s="1"/>
  <c r="S1094" i="1" s="1"/>
  <c r="R1090" i="1"/>
  <c r="R1086" i="1" s="1"/>
  <c r="R1094" i="1" s="1"/>
  <c r="Q1090" i="1"/>
  <c r="Q1086" i="1" s="1"/>
  <c r="Q1094" i="1" s="1"/>
  <c r="P1080" i="1"/>
  <c r="U1080" i="1" s="1"/>
  <c r="U1076" i="1" s="1"/>
  <c r="U1084" i="1" s="1"/>
  <c r="O1080" i="1"/>
  <c r="T1080" i="1" s="1"/>
  <c r="T1076" i="1" s="1"/>
  <c r="T1084" i="1" s="1"/>
  <c r="S1080" i="1"/>
  <c r="S1076" i="1" s="1"/>
  <c r="S1084" i="1" s="1"/>
  <c r="R1080" i="1"/>
  <c r="R1076" i="1" s="1"/>
  <c r="R1084" i="1" s="1"/>
  <c r="Q1080" i="1"/>
  <c r="Q1076" i="1" s="1"/>
  <c r="Q1084" i="1" s="1"/>
  <c r="P1070" i="1"/>
  <c r="U1070" i="1" s="1"/>
  <c r="O1070" i="1"/>
  <c r="T1070" i="1" s="1"/>
  <c r="S1070" i="1"/>
  <c r="R1070" i="1"/>
  <c r="Q1070" i="1"/>
  <c r="O1046" i="1"/>
  <c r="O1054" i="1" s="1"/>
  <c r="U1264" i="1"/>
  <c r="U1260" i="1" s="1"/>
  <c r="U1268" i="1" s="1"/>
  <c r="T1264" i="1"/>
  <c r="T1260" i="1" s="1"/>
  <c r="T1268" i="1" s="1"/>
  <c r="S1264" i="1"/>
  <c r="S1260" i="1" s="1"/>
  <c r="S1268" i="1" s="1"/>
  <c r="R1264" i="1"/>
  <c r="R1260" i="1" s="1"/>
  <c r="R1268" i="1" s="1"/>
  <c r="Q1264" i="1"/>
  <c r="Q1260" i="1" s="1"/>
  <c r="Q1268" i="1" s="1"/>
  <c r="O1260" i="1"/>
  <c r="O1268" i="1" s="1"/>
  <c r="U1254" i="1"/>
  <c r="U1250" i="1" s="1"/>
  <c r="T1254" i="1"/>
  <c r="T1250" i="1" s="1"/>
  <c r="S1254" i="1"/>
  <c r="S1250" i="1" s="1"/>
  <c r="R1254" i="1"/>
  <c r="R1250" i="1" s="1"/>
  <c r="Q1254" i="1"/>
  <c r="Q1250" i="1" s="1"/>
  <c r="U1234" i="1"/>
  <c r="T1234" i="1"/>
  <c r="S1234" i="1"/>
  <c r="R1234" i="1"/>
  <c r="Q1234" i="1"/>
  <c r="P865" i="1"/>
  <c r="P1193" i="1" s="1"/>
  <c r="N865" i="1"/>
  <c r="N1193" i="1" s="1"/>
  <c r="M865" i="1"/>
  <c r="M1193" i="1" s="1"/>
  <c r="L865" i="1"/>
  <c r="L1193" i="1" s="1"/>
  <c r="P835" i="1"/>
  <c r="U835" i="1" s="1"/>
  <c r="O835" i="1"/>
  <c r="T835" i="1" s="1"/>
  <c r="N835" i="1"/>
  <c r="S835" i="1" s="1"/>
  <c r="M835" i="1"/>
  <c r="R835" i="1" s="1"/>
  <c r="L835" i="1"/>
  <c r="Q835" i="1" s="1"/>
  <c r="H826" i="1"/>
  <c r="T109" i="1"/>
  <c r="U109" i="1"/>
  <c r="R109" i="1"/>
  <c r="S109" i="1"/>
  <c r="Q109" i="1"/>
  <c r="R107" i="1"/>
  <c r="S107" i="1"/>
  <c r="U107" i="1"/>
  <c r="Q107" i="1"/>
  <c r="U76" i="1"/>
  <c r="H61" i="1"/>
  <c r="H20" i="1"/>
  <c r="P8" i="1"/>
  <c r="O8" i="1"/>
  <c r="M5" i="1"/>
  <c r="N5" i="1"/>
  <c r="O5" i="1"/>
  <c r="P5" i="1"/>
  <c r="L5" i="1"/>
  <c r="L324" i="1" s="1"/>
  <c r="O169" i="1"/>
  <c r="S122" i="1"/>
  <c r="S118" i="1" s="1"/>
  <c r="P152" i="1"/>
  <c r="U152" i="1" s="1"/>
  <c r="U148" i="1" s="1"/>
  <c r="U156" i="1" s="1"/>
  <c r="O152" i="1"/>
  <c r="T152" i="1" s="1"/>
  <c r="T148" i="1" s="1"/>
  <c r="T156" i="1" s="1"/>
  <c r="S152" i="1"/>
  <c r="S148" i="1" s="1"/>
  <c r="S156" i="1" s="1"/>
  <c r="R152" i="1"/>
  <c r="R148" i="1" s="1"/>
  <c r="R156" i="1" s="1"/>
  <c r="L152" i="1"/>
  <c r="Q152" i="1" s="1"/>
  <c r="Q148" i="1" s="1"/>
  <c r="Q156" i="1" s="1"/>
  <c r="U360" i="1"/>
  <c r="T360" i="1"/>
  <c r="S360" i="1"/>
  <c r="R360" i="1"/>
  <c r="Q360" i="1"/>
  <c r="U340" i="1"/>
  <c r="T340" i="1"/>
  <c r="S340" i="1"/>
  <c r="R340" i="1"/>
  <c r="Q340" i="1"/>
  <c r="U318" i="1"/>
  <c r="G120" i="5" s="1"/>
  <c r="T318" i="1"/>
  <c r="F120" i="5" s="1"/>
  <c r="S318" i="1"/>
  <c r="E120" i="5" s="1"/>
  <c r="R318" i="1"/>
  <c r="D120" i="5" s="1"/>
  <c r="Q318" i="1"/>
  <c r="C120" i="5" s="1"/>
  <c r="U297" i="1"/>
  <c r="U293" i="1" s="1"/>
  <c r="U301" i="1" s="1"/>
  <c r="T297" i="1"/>
  <c r="T293" i="1" s="1"/>
  <c r="T301" i="1" s="1"/>
  <c r="S297" i="1"/>
  <c r="S293" i="1" s="1"/>
  <c r="S301" i="1" s="1"/>
  <c r="R297" i="1"/>
  <c r="R293" i="1" s="1"/>
  <c r="R301" i="1" s="1"/>
  <c r="Q297" i="1"/>
  <c r="Q293" i="1" s="1"/>
  <c r="Q301" i="1" s="1"/>
  <c r="U452" i="1"/>
  <c r="T452" i="1"/>
  <c r="S452" i="1"/>
  <c r="R452" i="1"/>
  <c r="Q452" i="1"/>
  <c r="U442" i="1"/>
  <c r="T442" i="1"/>
  <c r="S442" i="1"/>
  <c r="R442" i="1"/>
  <c r="Q442" i="1"/>
  <c r="U432" i="1"/>
  <c r="T432" i="1"/>
  <c r="S432" i="1"/>
  <c r="R432" i="1"/>
  <c r="Q432" i="1"/>
  <c r="U422" i="1"/>
  <c r="T422" i="1"/>
  <c r="S422" i="1"/>
  <c r="R422" i="1"/>
  <c r="Q422" i="1"/>
  <c r="U412" i="1"/>
  <c r="G164" i="5" s="1"/>
  <c r="T412" i="1"/>
  <c r="S412" i="1"/>
  <c r="R412" i="1"/>
  <c r="D164" i="5" s="1"/>
  <c r="Q412" i="1"/>
  <c r="C164" i="5" s="1"/>
  <c r="H403" i="1"/>
  <c r="U276" i="1"/>
  <c r="T276" i="1"/>
  <c r="S276" i="1"/>
  <c r="R276" i="1"/>
  <c r="Q276" i="1"/>
  <c r="U256" i="1"/>
  <c r="T256" i="1"/>
  <c r="U236" i="1"/>
  <c r="T236" i="1"/>
  <c r="S236" i="1"/>
  <c r="R236" i="1"/>
  <c r="Q236" i="1"/>
  <c r="U226" i="1"/>
  <c r="T226" i="1"/>
  <c r="S226" i="1"/>
  <c r="R226" i="1"/>
  <c r="Q226" i="1"/>
  <c r="H215" i="1"/>
  <c r="U204" i="1"/>
  <c r="G76" i="5" s="1"/>
  <c r="S204" i="1"/>
  <c r="E76" i="5" s="1"/>
  <c r="R204" i="1"/>
  <c r="D76" i="5" s="1"/>
  <c r="Q204" i="1"/>
  <c r="C76" i="5" s="1"/>
  <c r="U142" i="1"/>
  <c r="Q142" i="1"/>
  <c r="U132" i="1"/>
  <c r="U128" i="1" s="1"/>
  <c r="U136" i="1" s="1"/>
  <c r="T132" i="1"/>
  <c r="T128" i="1" s="1"/>
  <c r="T136" i="1" s="1"/>
  <c r="S132" i="1"/>
  <c r="S128" i="1" s="1"/>
  <c r="S136" i="1" s="1"/>
  <c r="R132" i="1"/>
  <c r="R128" i="1" s="1"/>
  <c r="R136" i="1" s="1"/>
  <c r="Q132" i="1"/>
  <c r="Q128" i="1" s="1"/>
  <c r="Q136" i="1" s="1"/>
  <c r="T112" i="1"/>
  <c r="R112" i="1"/>
  <c r="P102" i="1"/>
  <c r="U102" i="1" s="1"/>
  <c r="O102" i="1"/>
  <c r="T102" i="1" s="1"/>
  <c r="S102" i="1"/>
  <c r="M98" i="1"/>
  <c r="M106" i="1" s="1"/>
  <c r="L98" i="1"/>
  <c r="L106" i="1" s="1"/>
  <c r="O67" i="1"/>
  <c r="O75" i="1" s="1"/>
  <c r="N75" i="1"/>
  <c r="M67" i="1"/>
  <c r="M75" i="1" s="1"/>
  <c r="L67" i="1"/>
  <c r="L75" i="1" s="1"/>
  <c r="P67" i="1"/>
  <c r="P75" i="1" s="1"/>
  <c r="P1477" i="1"/>
  <c r="P1485" i="1" s="1"/>
  <c r="S88" i="1"/>
  <c r="T122" i="1"/>
  <c r="T118" i="1" s="1"/>
  <c r="U122" i="1"/>
  <c r="U118" i="1" s="1"/>
  <c r="U88" i="1"/>
  <c r="R122" i="1"/>
  <c r="R118" i="1" s="1"/>
  <c r="Q88" i="1"/>
  <c r="R88" i="1"/>
  <c r="T88" i="1"/>
  <c r="N169" i="1"/>
  <c r="N177" i="1" s="1"/>
  <c r="Q122" i="1"/>
  <c r="E164" i="5" l="1"/>
  <c r="F164" i="5"/>
  <c r="O1076" i="1"/>
  <c r="O1084" i="1" s="1"/>
  <c r="D98" i="5"/>
  <c r="F98" i="5"/>
  <c r="E98" i="5"/>
  <c r="C98" i="5"/>
  <c r="G98" i="5"/>
  <c r="L331" i="1"/>
  <c r="L330" i="1"/>
  <c r="Q330" i="1" s="1"/>
  <c r="C132" i="5" s="1"/>
  <c r="S931" i="1"/>
  <c r="O931" i="1"/>
  <c r="T922" i="1"/>
  <c r="P931" i="1"/>
  <c r="U922" i="1"/>
  <c r="U931" i="1" s="1"/>
  <c r="V928" i="1"/>
  <c r="E347" i="5"/>
  <c r="T996" i="1"/>
  <c r="S982" i="1"/>
  <c r="V974" i="1"/>
  <c r="D659" i="5"/>
  <c r="D648" i="5" s="1"/>
  <c r="E659" i="5"/>
  <c r="E648" i="5" s="1"/>
  <c r="F659" i="5"/>
  <c r="C659" i="5"/>
  <c r="C648" i="5" s="1"/>
  <c r="G659" i="5"/>
  <c r="G648" i="5" s="1"/>
  <c r="E142" i="5"/>
  <c r="C142" i="5"/>
  <c r="G142" i="5"/>
  <c r="F142" i="5"/>
  <c r="D142" i="5"/>
  <c r="F349" i="5"/>
  <c r="O1015" i="1"/>
  <c r="O1023" i="1" s="1"/>
  <c r="F346" i="5"/>
  <c r="E348" i="5"/>
  <c r="H353" i="5"/>
  <c r="T986" i="1"/>
  <c r="F348" i="5" s="1"/>
  <c r="O985" i="1"/>
  <c r="O993" i="1" s="1"/>
  <c r="Q1534" i="1"/>
  <c r="C516" i="5" s="1"/>
  <c r="V1535" i="1"/>
  <c r="H517" i="5" s="1"/>
  <c r="Q1346" i="1"/>
  <c r="C428" i="5" s="1"/>
  <c r="L1342" i="1"/>
  <c r="L1350" i="1" s="1"/>
  <c r="H346" i="5"/>
  <c r="C355" i="5"/>
  <c r="R993" i="1"/>
  <c r="R1015" i="1"/>
  <c r="R1025" i="1"/>
  <c r="R1033" i="1" s="1"/>
  <c r="T1015" i="1"/>
  <c r="V1016" i="1"/>
  <c r="S1023" i="1"/>
  <c r="E355" i="5" s="1"/>
  <c r="S983" i="1"/>
  <c r="T1025" i="1"/>
  <c r="V1027" i="1"/>
  <c r="H349" i="5" s="1"/>
  <c r="D428" i="5"/>
  <c r="F428" i="5"/>
  <c r="P324" i="1"/>
  <c r="P35" i="1"/>
  <c r="N324" i="1"/>
  <c r="N35" i="1"/>
  <c r="O324" i="1"/>
  <c r="T324" i="1" s="1"/>
  <c r="F126" i="5" s="1"/>
  <c r="O35" i="1"/>
  <c r="M324" i="1"/>
  <c r="M35" i="1"/>
  <c r="E428" i="5"/>
  <c r="G428" i="5"/>
  <c r="E516" i="5"/>
  <c r="G516" i="5"/>
  <c r="Q1742" i="1"/>
  <c r="V1746" i="1"/>
  <c r="Q1702" i="1"/>
  <c r="V1706" i="1"/>
  <c r="S1382" i="1"/>
  <c r="T1382" i="1"/>
  <c r="Q1382" i="1"/>
  <c r="U1382" i="1"/>
  <c r="R1382" i="1"/>
  <c r="D516" i="5"/>
  <c r="F516" i="5"/>
  <c r="Q1446" i="1"/>
  <c r="V1450" i="1"/>
  <c r="S1692" i="1"/>
  <c r="T1692" i="1"/>
  <c r="V1584" i="1"/>
  <c r="Q1692" i="1"/>
  <c r="V1696" i="1"/>
  <c r="U1692" i="1"/>
  <c r="Q1590" i="1"/>
  <c r="V1594" i="1"/>
  <c r="R1692" i="1"/>
  <c r="T1499" i="1"/>
  <c r="R1499" i="1"/>
  <c r="C406" i="5"/>
  <c r="G406" i="5"/>
  <c r="S1499" i="1"/>
  <c r="Q1499" i="1"/>
  <c r="U1499" i="1"/>
  <c r="R1580" i="1"/>
  <c r="R1588" i="1" s="1"/>
  <c r="S1580" i="1"/>
  <c r="S1588" i="1" s="1"/>
  <c r="T1580" i="1"/>
  <c r="Q1580" i="1"/>
  <c r="U1580" i="1"/>
  <c r="E406" i="5"/>
  <c r="P1189" i="1"/>
  <c r="P1197" i="1" s="1"/>
  <c r="U1193" i="1"/>
  <c r="U1189" i="1" s="1"/>
  <c r="U1197" i="1" s="1"/>
  <c r="L1189" i="1"/>
  <c r="L1197" i="1" s="1"/>
  <c r="Q1193" i="1"/>
  <c r="C395" i="5" s="1"/>
  <c r="M1189" i="1"/>
  <c r="M1197" i="1" s="1"/>
  <c r="R1193" i="1"/>
  <c r="R1189" i="1" s="1"/>
  <c r="R1197" i="1" s="1"/>
  <c r="N1189" i="1"/>
  <c r="N1197" i="1" s="1"/>
  <c r="S1193" i="1"/>
  <c r="S1189" i="1" s="1"/>
  <c r="S1197" i="1" s="1"/>
  <c r="F406" i="5"/>
  <c r="D406" i="5"/>
  <c r="L15" i="1"/>
  <c r="Q15" i="1" s="1"/>
  <c r="H30" i="1"/>
  <c r="S30" i="1" s="1"/>
  <c r="E582" i="5"/>
  <c r="U10" i="1"/>
  <c r="Q178" i="1"/>
  <c r="U178" i="1"/>
  <c r="U187" i="1" s="1"/>
  <c r="T178" i="1"/>
  <c r="T187" i="1" s="1"/>
  <c r="S178" i="1"/>
  <c r="S187" i="1" s="1"/>
  <c r="R178" i="1"/>
  <c r="R187" i="1" s="1"/>
  <c r="O6" i="1"/>
  <c r="O14" i="1" s="1"/>
  <c r="D582" i="5"/>
  <c r="N15" i="1"/>
  <c r="S15" i="1" s="1"/>
  <c r="F582" i="5"/>
  <c r="F648" i="5"/>
  <c r="C582" i="5"/>
  <c r="G582" i="5"/>
  <c r="S1066" i="1"/>
  <c r="T1066" i="1"/>
  <c r="T1074" i="1" s="1"/>
  <c r="Q1066" i="1"/>
  <c r="Q1074" i="1" s="1"/>
  <c r="U1066" i="1"/>
  <c r="R1066" i="1"/>
  <c r="C175" i="5"/>
  <c r="D296" i="5"/>
  <c r="E296" i="5"/>
  <c r="F296" i="5"/>
  <c r="C296" i="5"/>
  <c r="G296" i="5"/>
  <c r="T1230" i="1"/>
  <c r="Q1403" i="1"/>
  <c r="C439" i="5"/>
  <c r="U1403" i="1"/>
  <c r="U1401" i="1" s="1"/>
  <c r="G439" i="5"/>
  <c r="S1342" i="1"/>
  <c r="S1311" i="1"/>
  <c r="S1319" i="1" s="1"/>
  <c r="E421" i="5" s="1"/>
  <c r="E417" i="5"/>
  <c r="Q2051" i="1"/>
  <c r="U2051" i="1"/>
  <c r="S1056" i="1"/>
  <c r="S1457" i="1"/>
  <c r="E483" i="5"/>
  <c r="T2010" i="1"/>
  <c r="F626" i="5"/>
  <c r="R2083" i="1"/>
  <c r="C578" i="5"/>
  <c r="C589" i="5"/>
  <c r="C593" i="5"/>
  <c r="G593" i="5"/>
  <c r="C600" i="5"/>
  <c r="C604" i="5"/>
  <c r="G604" i="5"/>
  <c r="Q1230" i="1"/>
  <c r="U1230" i="1"/>
  <c r="R1403" i="1"/>
  <c r="R1401" i="1" s="1"/>
  <c r="D439" i="5"/>
  <c r="T1342" i="1"/>
  <c r="T1311" i="1"/>
  <c r="T1319" i="1" s="1"/>
  <c r="F421" i="5" s="1"/>
  <c r="F417" i="5"/>
  <c r="R2051" i="1"/>
  <c r="T1056" i="1"/>
  <c r="T1457" i="1"/>
  <c r="F483" i="5"/>
  <c r="U1530" i="1"/>
  <c r="Q2010" i="1"/>
  <c r="C622" i="5" s="1"/>
  <c r="C626" i="5"/>
  <c r="U2010" i="1"/>
  <c r="G626" i="5"/>
  <c r="S2083" i="1"/>
  <c r="D593" i="5"/>
  <c r="D604" i="5"/>
  <c r="S1403" i="1"/>
  <c r="S1401" i="1" s="1"/>
  <c r="E439" i="5"/>
  <c r="U1342" i="1"/>
  <c r="Q1311" i="1"/>
  <c r="Q1299" i="1" s="1"/>
  <c r="C411" i="5" s="1"/>
  <c r="C417" i="5"/>
  <c r="U1311" i="1"/>
  <c r="U1319" i="1" s="1"/>
  <c r="G421" i="5" s="1"/>
  <c r="G417" i="5"/>
  <c r="S2051" i="1"/>
  <c r="Q1056" i="1"/>
  <c r="U1056" i="1"/>
  <c r="Q1457" i="1"/>
  <c r="C479" i="5" s="1"/>
  <c r="C483" i="5"/>
  <c r="U1457" i="1"/>
  <c r="G483" i="5"/>
  <c r="R1530" i="1"/>
  <c r="R2010" i="1"/>
  <c r="D626" i="5"/>
  <c r="T2083" i="1"/>
  <c r="E593" i="5"/>
  <c r="E604" i="5"/>
  <c r="S1230" i="1"/>
  <c r="T1403" i="1"/>
  <c r="T1401" i="1" s="1"/>
  <c r="F439" i="5"/>
  <c r="R1342" i="1"/>
  <c r="R1311" i="1"/>
  <c r="R1299" i="1" s="1"/>
  <c r="D417" i="5"/>
  <c r="T2051" i="1"/>
  <c r="R1056" i="1"/>
  <c r="R1457" i="1"/>
  <c r="D483" i="5"/>
  <c r="S1530" i="1"/>
  <c r="S2010" i="1"/>
  <c r="E626" i="5"/>
  <c r="Q2083" i="1"/>
  <c r="U2083" i="1"/>
  <c r="F593" i="5"/>
  <c r="F604" i="5"/>
  <c r="R1230" i="1"/>
  <c r="Q1169" i="1"/>
  <c r="U1169" i="1"/>
  <c r="R1169" i="1"/>
  <c r="S1169" i="1"/>
  <c r="T1169" i="1"/>
  <c r="T126" i="1"/>
  <c r="U98" i="1"/>
  <c r="U106" i="1" s="1"/>
  <c r="G54" i="5"/>
  <c r="R200" i="1"/>
  <c r="R222" i="1"/>
  <c r="D86" i="5"/>
  <c r="Q232" i="1"/>
  <c r="U232" i="1"/>
  <c r="R272" i="1"/>
  <c r="T408" i="1"/>
  <c r="Q438" i="1"/>
  <c r="U438" i="1"/>
  <c r="T448" i="1"/>
  <c r="S287" i="1"/>
  <c r="E109" i="5" s="1"/>
  <c r="N283" i="1"/>
  <c r="N291" i="1" s="1"/>
  <c r="Q314" i="1"/>
  <c r="U314" i="1"/>
  <c r="U322" i="1" s="1"/>
  <c r="G124" i="5" s="1"/>
  <c r="R336" i="1"/>
  <c r="Q356" i="1"/>
  <c r="U356" i="1"/>
  <c r="U108" i="1"/>
  <c r="U116" i="1" s="1"/>
  <c r="D460" i="5"/>
  <c r="C665" i="5"/>
  <c r="G665" i="5"/>
  <c r="F614" i="5"/>
  <c r="D645" i="5"/>
  <c r="T913" i="1"/>
  <c r="T911" i="1" s="1"/>
  <c r="R1716" i="1"/>
  <c r="D538" i="5" s="1"/>
  <c r="Q1736" i="1"/>
  <c r="U1736" i="1"/>
  <c r="U1732" i="1" s="1"/>
  <c r="U1740" i="1" s="1"/>
  <c r="A7" i="3"/>
  <c r="A15" i="5"/>
  <c r="A23" i="3"/>
  <c r="A191" i="5"/>
  <c r="A30" i="3"/>
  <c r="A50" i="3"/>
  <c r="A488" i="5"/>
  <c r="A56" i="3"/>
  <c r="A554" i="5"/>
  <c r="A11" i="3"/>
  <c r="A59" i="5"/>
  <c r="A15" i="3"/>
  <c r="A103" i="5"/>
  <c r="A26" i="3"/>
  <c r="A224" i="5"/>
  <c r="A22" i="3"/>
  <c r="A180" i="5"/>
  <c r="A31" i="3"/>
  <c r="A279" i="5"/>
  <c r="A38" i="3"/>
  <c r="A356" i="5"/>
  <c r="A37" i="3"/>
  <c r="A345" i="5"/>
  <c r="A52" i="3"/>
  <c r="A510" i="5"/>
  <c r="A62" i="3"/>
  <c r="A620" i="5"/>
  <c r="A58" i="3"/>
  <c r="A576" i="5"/>
  <c r="S849" i="1"/>
  <c r="V830" i="1"/>
  <c r="Q118" i="1"/>
  <c r="Q126" i="1" s="1"/>
  <c r="C54" i="5"/>
  <c r="U252" i="1"/>
  <c r="R408" i="1"/>
  <c r="R448" i="1"/>
  <c r="Q287" i="1"/>
  <c r="C109" i="5" s="1"/>
  <c r="L283" i="1"/>
  <c r="L291" i="1" s="1"/>
  <c r="S314" i="1"/>
  <c r="S312" i="1" s="1"/>
  <c r="S200" i="1"/>
  <c r="S222" i="1"/>
  <c r="E86" i="5"/>
  <c r="R232" i="1"/>
  <c r="T252" i="1"/>
  <c r="S272" i="1"/>
  <c r="Q408" i="1"/>
  <c r="U408" i="1"/>
  <c r="R438" i="1"/>
  <c r="Q448" i="1"/>
  <c r="U448" i="1"/>
  <c r="T287" i="1"/>
  <c r="F109" i="5" s="1"/>
  <c r="O283" i="1"/>
  <c r="O291" i="1" s="1"/>
  <c r="R314" i="1"/>
  <c r="R312" i="1" s="1"/>
  <c r="S336" i="1"/>
  <c r="R356" i="1"/>
  <c r="Q108" i="1"/>
  <c r="Q116" i="1" s="1"/>
  <c r="E460" i="5"/>
  <c r="F646" i="5"/>
  <c r="F616" i="5"/>
  <c r="D665" i="5"/>
  <c r="C614" i="5"/>
  <c r="G614" i="5"/>
  <c r="E645" i="5"/>
  <c r="Q831" i="1"/>
  <c r="C667" i="5"/>
  <c r="U831" i="1"/>
  <c r="G667" i="5"/>
  <c r="Q913" i="1"/>
  <c r="U913" i="1"/>
  <c r="U911" i="1" s="1"/>
  <c r="S1716" i="1"/>
  <c r="S1712" i="1" s="1"/>
  <c r="A5" i="6"/>
  <c r="A4" i="5"/>
  <c r="A46" i="3"/>
  <c r="A444" i="5"/>
  <c r="A40" i="3"/>
  <c r="A378" i="5"/>
  <c r="A66" i="3"/>
  <c r="A664" i="5"/>
  <c r="A69" i="3"/>
  <c r="A697" i="5"/>
  <c r="A12" i="3"/>
  <c r="A70" i="5"/>
  <c r="A17" i="3"/>
  <c r="A125" i="5"/>
  <c r="A32" i="3"/>
  <c r="A290" i="5"/>
  <c r="A45" i="3"/>
  <c r="A433" i="5"/>
  <c r="A48" i="3"/>
  <c r="A466" i="5"/>
  <c r="A53" i="3"/>
  <c r="A521" i="5"/>
  <c r="A65" i="3"/>
  <c r="A653" i="5"/>
  <c r="A59" i="3"/>
  <c r="A587" i="5"/>
  <c r="S859" i="1"/>
  <c r="S232" i="1"/>
  <c r="D459" i="5"/>
  <c r="T1716" i="1"/>
  <c r="T1712" i="1" s="1"/>
  <c r="S1736" i="1"/>
  <c r="S1732" i="1" s="1"/>
  <c r="A13" i="3"/>
  <c r="A81" i="5"/>
  <c r="A34" i="3"/>
  <c r="A312" i="5"/>
  <c r="A61" i="3"/>
  <c r="A609" i="5"/>
  <c r="A9" i="3"/>
  <c r="A37" i="5"/>
  <c r="A14" i="3"/>
  <c r="A92" i="5"/>
  <c r="A18" i="3"/>
  <c r="A136" i="5"/>
  <c r="A33" i="3"/>
  <c r="A301" i="5"/>
  <c r="A44" i="3"/>
  <c r="A422" i="5"/>
  <c r="A49" i="3"/>
  <c r="A477" i="5"/>
  <c r="A60" i="3"/>
  <c r="A598" i="5"/>
  <c r="S98" i="1"/>
  <c r="S106" i="1" s="1"/>
  <c r="T222" i="1"/>
  <c r="F86" i="5"/>
  <c r="T272" i="1"/>
  <c r="S438" i="1"/>
  <c r="U287" i="1"/>
  <c r="G109" i="5" s="1"/>
  <c r="P283" i="1"/>
  <c r="P291" i="1" s="1"/>
  <c r="T336" i="1"/>
  <c r="S356" i="1"/>
  <c r="S108" i="1"/>
  <c r="S116" i="1" s="1"/>
  <c r="F458" i="5"/>
  <c r="F460" i="5"/>
  <c r="E665" i="5"/>
  <c r="D614" i="5"/>
  <c r="F645" i="5"/>
  <c r="R831" i="1"/>
  <c r="D667" i="5"/>
  <c r="R913" i="1"/>
  <c r="R911" i="1" s="1"/>
  <c r="S96" i="1"/>
  <c r="T98" i="1"/>
  <c r="T106" i="1" s="1"/>
  <c r="Q200" i="1"/>
  <c r="Q208" i="1" s="1"/>
  <c r="C80" i="5" s="1"/>
  <c r="U200" i="1"/>
  <c r="D84" i="5"/>
  <c r="Q222" i="1"/>
  <c r="C86" i="5"/>
  <c r="U222" i="1"/>
  <c r="G86" i="5"/>
  <c r="T232" i="1"/>
  <c r="U272" i="1"/>
  <c r="S408" i="1"/>
  <c r="T438" i="1"/>
  <c r="S448" i="1"/>
  <c r="R287" i="1"/>
  <c r="D109" i="5" s="1"/>
  <c r="M283" i="1"/>
  <c r="M291" i="1" s="1"/>
  <c r="T314" i="1"/>
  <c r="Q336" i="1"/>
  <c r="U336" i="1"/>
  <c r="T356" i="1"/>
  <c r="E385" i="5"/>
  <c r="C458" i="5"/>
  <c r="G458" i="5"/>
  <c r="C460" i="5"/>
  <c r="G460" i="5"/>
  <c r="F491" i="5"/>
  <c r="C666" i="5"/>
  <c r="G666" i="5"/>
  <c r="E614" i="5"/>
  <c r="C645" i="5"/>
  <c r="G645" i="5"/>
  <c r="S831" i="1"/>
  <c r="E667" i="5"/>
  <c r="S913" i="1"/>
  <c r="S911" i="1" s="1"/>
  <c r="Q1716" i="1"/>
  <c r="C538" i="5" s="1"/>
  <c r="U1716" i="1"/>
  <c r="U1712" i="1" s="1"/>
  <c r="T1736" i="1"/>
  <c r="T1732" i="1" s="1"/>
  <c r="T1740" i="1" s="1"/>
  <c r="A8" i="3"/>
  <c r="A26" i="5"/>
  <c r="A24" i="3"/>
  <c r="A202" i="5"/>
  <c r="A47" i="3"/>
  <c r="A455" i="5"/>
  <c r="A64" i="3"/>
  <c r="A642" i="5"/>
  <c r="A10" i="3"/>
  <c r="A48" i="5"/>
  <c r="A20" i="3"/>
  <c r="A158" i="5"/>
  <c r="A25" i="3"/>
  <c r="A213" i="5"/>
  <c r="A21" i="3"/>
  <c r="A169" i="5"/>
  <c r="A42" i="3"/>
  <c r="A400" i="5"/>
  <c r="A35" i="3"/>
  <c r="A323" i="5"/>
  <c r="A51" i="3"/>
  <c r="A499" i="5"/>
  <c r="A68" i="3"/>
  <c r="A686" i="5"/>
  <c r="A57" i="3"/>
  <c r="A565" i="5"/>
  <c r="A70" i="3"/>
  <c r="A708" i="5"/>
  <c r="V840" i="1"/>
  <c r="R142" i="1"/>
  <c r="D54" i="5" s="1"/>
  <c r="S142" i="1"/>
  <c r="E54" i="5" s="1"/>
  <c r="T142" i="1"/>
  <c r="F54" i="5" s="1"/>
  <c r="R1120" i="1"/>
  <c r="Q865" i="1"/>
  <c r="C307" i="5" s="1"/>
  <c r="L861" i="1"/>
  <c r="L869" i="1" s="1"/>
  <c r="S1120" i="1"/>
  <c r="U865" i="1"/>
  <c r="G307" i="5" s="1"/>
  <c r="P861" i="1"/>
  <c r="P869" i="1" s="1"/>
  <c r="R865" i="1"/>
  <c r="D307" i="5" s="1"/>
  <c r="M861" i="1"/>
  <c r="M869" i="1" s="1"/>
  <c r="T1120" i="1"/>
  <c r="S865" i="1"/>
  <c r="E307" i="5" s="1"/>
  <c r="N861" i="1"/>
  <c r="N869" i="1" s="1"/>
  <c r="Q1120" i="1"/>
  <c r="U1120" i="1"/>
  <c r="T850" i="1"/>
  <c r="F302" i="5" s="1"/>
  <c r="F269" i="5" s="1"/>
  <c r="O852" i="1"/>
  <c r="T852" i="1" s="1"/>
  <c r="F304" i="5" s="1"/>
  <c r="F271" i="5" s="1"/>
  <c r="O853" i="1"/>
  <c r="T853" i="1" s="1"/>
  <c r="F305" i="5" s="1"/>
  <c r="F272" i="5" s="1"/>
  <c r="T56" i="1"/>
  <c r="U56" i="1"/>
  <c r="T1258" i="1"/>
  <c r="Q1258" i="1"/>
  <c r="U1258" i="1"/>
  <c r="R1258" i="1"/>
  <c r="S1258" i="1"/>
  <c r="T1134" i="1"/>
  <c r="Q1134" i="1"/>
  <c r="U1134" i="1"/>
  <c r="R1134" i="1"/>
  <c r="S1134" i="1"/>
  <c r="N1712" i="1"/>
  <c r="N1720" i="1" s="1"/>
  <c r="A6" i="3"/>
  <c r="O1712" i="1"/>
  <c r="O1720" i="1" s="1"/>
  <c r="R12" i="1"/>
  <c r="Q10" i="1"/>
  <c r="Q163" i="1"/>
  <c r="S21" i="1"/>
  <c r="S11" i="1"/>
  <c r="R78" i="1"/>
  <c r="G708" i="5"/>
  <c r="T139" i="1"/>
  <c r="F51" i="5" s="1"/>
  <c r="S140" i="1"/>
  <c r="E52" i="5" s="1"/>
  <c r="R141" i="1"/>
  <c r="D53" i="5" s="1"/>
  <c r="S144" i="1"/>
  <c r="E56" i="5" s="1"/>
  <c r="R145" i="1"/>
  <c r="D57" i="5" s="1"/>
  <c r="Q139" i="1"/>
  <c r="C51" i="5" s="1"/>
  <c r="Q140" i="1"/>
  <c r="C52" i="5" s="1"/>
  <c r="Q141" i="1"/>
  <c r="C53" i="5" s="1"/>
  <c r="R144" i="1"/>
  <c r="D56" i="5" s="1"/>
  <c r="S145" i="1"/>
  <c r="E57" i="5" s="1"/>
  <c r="R139" i="1"/>
  <c r="D51" i="5" s="1"/>
  <c r="T140" i="1"/>
  <c r="F52" i="5" s="1"/>
  <c r="U141" i="1"/>
  <c r="G53" i="5" s="1"/>
  <c r="U144" i="1"/>
  <c r="G56" i="5" s="1"/>
  <c r="U140" i="1"/>
  <c r="G52" i="5" s="1"/>
  <c r="T144" i="1"/>
  <c r="F56" i="5" s="1"/>
  <c r="U139" i="1"/>
  <c r="G51" i="5" s="1"/>
  <c r="T141" i="1"/>
  <c r="F53" i="5" s="1"/>
  <c r="T145" i="1"/>
  <c r="F57" i="5" s="1"/>
  <c r="U145" i="1"/>
  <c r="G57" i="5" s="1"/>
  <c r="S139" i="1"/>
  <c r="E51" i="5" s="1"/>
  <c r="Q145" i="1"/>
  <c r="C57" i="5" s="1"/>
  <c r="R140" i="1"/>
  <c r="D52" i="5" s="1"/>
  <c r="S141" i="1"/>
  <c r="E53" i="5" s="1"/>
  <c r="Q144" i="1"/>
  <c r="C56" i="5" s="1"/>
  <c r="S126" i="1"/>
  <c r="T18" i="1"/>
  <c r="T8" i="1"/>
  <c r="R126" i="1"/>
  <c r="T96" i="1"/>
  <c r="U1217" i="1"/>
  <c r="Q78" i="1"/>
  <c r="T137" i="1"/>
  <c r="T107" i="1"/>
  <c r="R1217" i="1"/>
  <c r="U8" i="1"/>
  <c r="Q18" i="1"/>
  <c r="T19" i="1"/>
  <c r="S20" i="1"/>
  <c r="U22" i="1"/>
  <c r="T23" i="1"/>
  <c r="T17" i="1"/>
  <c r="S18" i="1"/>
  <c r="S19" i="1"/>
  <c r="T20" i="1"/>
  <c r="T21" i="1"/>
  <c r="T22" i="1"/>
  <c r="U23" i="1"/>
  <c r="R18" i="1"/>
  <c r="U19" i="1"/>
  <c r="Q21" i="1"/>
  <c r="R17" i="1"/>
  <c r="Q19" i="1"/>
  <c r="U20" i="1"/>
  <c r="Q23" i="1"/>
  <c r="U17" i="1"/>
  <c r="Q20" i="1"/>
  <c r="U21" i="1"/>
  <c r="S23" i="1"/>
  <c r="R20" i="1"/>
  <c r="R23" i="1"/>
  <c r="R19" i="1"/>
  <c r="S17" i="1"/>
  <c r="R21" i="1"/>
  <c r="R11" i="1"/>
  <c r="T58" i="1"/>
  <c r="S59" i="1"/>
  <c r="R60" i="1"/>
  <c r="T62" i="1"/>
  <c r="S63" i="1"/>
  <c r="R64" i="1"/>
  <c r="R58" i="1"/>
  <c r="R59" i="1"/>
  <c r="S60" i="1"/>
  <c r="S62" i="1"/>
  <c r="T63" i="1"/>
  <c r="T64" i="1"/>
  <c r="Q59" i="1"/>
  <c r="T60" i="1"/>
  <c r="Q62" i="1"/>
  <c r="R63" i="1"/>
  <c r="U64" i="1"/>
  <c r="Q58" i="1"/>
  <c r="U59" i="1"/>
  <c r="U63" i="1"/>
  <c r="U58" i="1"/>
  <c r="U60" i="1"/>
  <c r="U62" i="1"/>
  <c r="S64" i="1"/>
  <c r="Q60" i="1"/>
  <c r="Q64" i="1"/>
  <c r="T59" i="1"/>
  <c r="R62" i="1"/>
  <c r="S58" i="1"/>
  <c r="Q63" i="1"/>
  <c r="U61" i="1"/>
  <c r="Q61" i="1"/>
  <c r="T61" i="1"/>
  <c r="S56" i="1"/>
  <c r="S61" i="1"/>
  <c r="R56" i="1"/>
  <c r="Q56" i="1"/>
  <c r="R61" i="1"/>
  <c r="S76" i="1"/>
  <c r="Q83" i="1"/>
  <c r="T78" i="1"/>
  <c r="R108" i="1"/>
  <c r="R116" i="1" s="1"/>
  <c r="S1217" i="1"/>
  <c r="T1454" i="1"/>
  <c r="U126" i="1"/>
  <c r="S160" i="1"/>
  <c r="R161" i="1"/>
  <c r="Q162" i="1"/>
  <c r="U162" i="1"/>
  <c r="Q166" i="1"/>
  <c r="U166" i="1"/>
  <c r="R160" i="1"/>
  <c r="S161" i="1"/>
  <c r="S162" i="1"/>
  <c r="T164" i="1"/>
  <c r="T165" i="1"/>
  <c r="T166" i="1"/>
  <c r="T160" i="1"/>
  <c r="U161" i="1"/>
  <c r="U164" i="1"/>
  <c r="R166" i="1"/>
  <c r="Q161" i="1"/>
  <c r="Q160" i="1"/>
  <c r="R162" i="1"/>
  <c r="U165" i="1"/>
  <c r="T162" i="1"/>
  <c r="S166" i="1"/>
  <c r="U160" i="1"/>
  <c r="T161" i="1"/>
  <c r="S164" i="1"/>
  <c r="R158" i="1"/>
  <c r="U158" i="1"/>
  <c r="Q165" i="1"/>
  <c r="R163" i="1"/>
  <c r="R165" i="1"/>
  <c r="T163" i="1"/>
  <c r="U163" i="1"/>
  <c r="S165" i="1"/>
  <c r="R164" i="1"/>
  <c r="S158" i="1"/>
  <c r="T158" i="1"/>
  <c r="Q158" i="1"/>
  <c r="Q164" i="1"/>
  <c r="S163" i="1"/>
  <c r="R79" i="1"/>
  <c r="Q80" i="1"/>
  <c r="U80" i="1"/>
  <c r="S82" i="1"/>
  <c r="R83" i="1"/>
  <c r="Q84" i="1"/>
  <c r="U84" i="1"/>
  <c r="T79" i="1"/>
  <c r="T80" i="1"/>
  <c r="T82" i="1"/>
  <c r="T83" i="1"/>
  <c r="T84" i="1"/>
  <c r="S79" i="1"/>
  <c r="S84" i="1"/>
  <c r="Q79" i="1"/>
  <c r="S83" i="1"/>
  <c r="R80" i="1"/>
  <c r="R82" i="1"/>
  <c r="R84" i="1"/>
  <c r="U79" i="1"/>
  <c r="U82" i="1"/>
  <c r="S80" i="1"/>
  <c r="U83" i="1"/>
  <c r="Q82" i="1"/>
  <c r="Q1217" i="1"/>
  <c r="Q96" i="1"/>
  <c r="T108" i="1"/>
  <c r="Q22" i="1"/>
  <c r="Q12" i="1"/>
  <c r="T76" i="1"/>
  <c r="U78" i="1"/>
  <c r="R96" i="1"/>
  <c r="U96" i="1"/>
  <c r="S8" i="1"/>
  <c r="R9" i="1"/>
  <c r="T11" i="1"/>
  <c r="R13" i="1"/>
  <c r="R7" i="1"/>
  <c r="U9" i="1"/>
  <c r="Q13" i="1"/>
  <c r="S7" i="1"/>
  <c r="Q8" i="1"/>
  <c r="S9" i="1"/>
  <c r="T13" i="1"/>
  <c r="R8" i="1"/>
  <c r="U11" i="1"/>
  <c r="U13" i="1"/>
  <c r="Q9" i="1"/>
  <c r="U12" i="1"/>
  <c r="U7" i="1"/>
  <c r="T7" i="1"/>
  <c r="T9" i="1"/>
  <c r="T12" i="1"/>
  <c r="S13" i="1"/>
  <c r="S12" i="1"/>
  <c r="R10" i="1"/>
  <c r="S10" i="1"/>
  <c r="Q76" i="1"/>
  <c r="R76" i="1"/>
  <c r="S78" i="1"/>
  <c r="F708" i="5"/>
  <c r="T1217" i="1"/>
  <c r="S170" i="1"/>
  <c r="R171" i="1"/>
  <c r="Q172" i="1"/>
  <c r="U172" i="1"/>
  <c r="S174" i="1"/>
  <c r="R175" i="1"/>
  <c r="Q176" i="1"/>
  <c r="U176" i="1"/>
  <c r="T170" i="1"/>
  <c r="T171" i="1"/>
  <c r="T172" i="1"/>
  <c r="U174" i="1"/>
  <c r="U175" i="1"/>
  <c r="R170" i="1"/>
  <c r="U171" i="1"/>
  <c r="T174" i="1"/>
  <c r="R176" i="1"/>
  <c r="Q171" i="1"/>
  <c r="S172" i="1"/>
  <c r="Q174" i="1"/>
  <c r="S175" i="1"/>
  <c r="T176" i="1"/>
  <c r="S171" i="1"/>
  <c r="R174" i="1"/>
  <c r="R172" i="1"/>
  <c r="Q175" i="1"/>
  <c r="Q170" i="1"/>
  <c r="T175" i="1"/>
  <c r="S176" i="1"/>
  <c r="U170" i="1"/>
  <c r="R173" i="1"/>
  <c r="U168" i="1"/>
  <c r="T168" i="1"/>
  <c r="S173" i="1"/>
  <c r="T173" i="1"/>
  <c r="R168" i="1"/>
  <c r="S168" i="1"/>
  <c r="U173" i="1"/>
  <c r="T841" i="1"/>
  <c r="T831" i="1"/>
  <c r="Q2142" i="1"/>
  <c r="N1590" i="1"/>
  <c r="N1598" i="1" s="1"/>
  <c r="L1076" i="1"/>
  <c r="L1084" i="1" s="1"/>
  <c r="Q17" i="1"/>
  <c r="T856" i="1"/>
  <c r="F308" i="5" s="1"/>
  <c r="F275" i="5" s="1"/>
  <c r="N1250" i="1"/>
  <c r="N1258" i="1" s="1"/>
  <c r="Q7" i="1"/>
  <c r="O2073" i="1"/>
  <c r="O2081" i="1" s="1"/>
  <c r="L2103" i="1"/>
  <c r="L2111" i="1" s="1"/>
  <c r="V90" i="1"/>
  <c r="V89" i="1"/>
  <c r="V100" i="1"/>
  <c r="V115" i="1"/>
  <c r="V123" i="1"/>
  <c r="V134" i="1"/>
  <c r="V135" i="1"/>
  <c r="V191" i="1"/>
  <c r="V195" i="1"/>
  <c r="V202" i="1"/>
  <c r="V206" i="1"/>
  <c r="V211" i="1"/>
  <c r="V216" i="1"/>
  <c r="V225" i="1"/>
  <c r="V238" i="1"/>
  <c r="V255" i="1"/>
  <c r="V275" i="1"/>
  <c r="V399" i="1"/>
  <c r="V404" i="1"/>
  <c r="V411" i="1"/>
  <c r="V419" i="1"/>
  <c r="V424" i="1"/>
  <c r="V429" i="1"/>
  <c r="V434" i="1"/>
  <c r="V441" i="1"/>
  <c r="V449" i="1"/>
  <c r="V454" i="1"/>
  <c r="V286" i="1"/>
  <c r="V294" i="1"/>
  <c r="V299" i="1"/>
  <c r="V304" i="1"/>
  <c r="V309" i="1"/>
  <c r="V317" i="1"/>
  <c r="H119" i="5" s="1"/>
  <c r="V326" i="1"/>
  <c r="H128" i="5" s="1"/>
  <c r="V337" i="1"/>
  <c r="V342" i="1"/>
  <c r="V359" i="1"/>
  <c r="V149" i="1"/>
  <c r="V154" i="1"/>
  <c r="O1499" i="1"/>
  <c r="O1507" i="1" s="1"/>
  <c r="L1477" i="1"/>
  <c r="L1485" i="1" s="1"/>
  <c r="V347" i="1"/>
  <c r="V352" i="1"/>
  <c r="V822" i="1"/>
  <c r="V827" i="1"/>
  <c r="V834" i="1"/>
  <c r="V842" i="1"/>
  <c r="V847" i="1"/>
  <c r="V854" i="1"/>
  <c r="V862" i="1"/>
  <c r="V867" i="1"/>
  <c r="V1502" i="1"/>
  <c r="H504" i="5" s="1"/>
  <c r="V2011" i="1"/>
  <c r="V2016" i="1"/>
  <c r="V2023" i="1"/>
  <c r="V2074" i="1"/>
  <c r="V2079" i="1"/>
  <c r="V2086" i="1"/>
  <c r="V2094" i="1"/>
  <c r="V2099" i="1"/>
  <c r="V2106" i="1"/>
  <c r="V2114" i="1"/>
  <c r="V2119" i="1"/>
  <c r="V2126" i="1"/>
  <c r="P1046" i="1"/>
  <c r="P1054" i="1" s="1"/>
  <c r="O2103" i="1"/>
  <c r="O2111" i="1" s="1"/>
  <c r="N871" i="1"/>
  <c r="N879" i="1" s="1"/>
  <c r="P1260" i="1"/>
  <c r="P1268" i="1" s="1"/>
  <c r="S5" i="1"/>
  <c r="L148" i="1"/>
  <c r="L156" i="1" s="1"/>
  <c r="O1702" i="1"/>
  <c r="O1710" i="1" s="1"/>
  <c r="O98" i="1"/>
  <c r="O106" i="1" s="1"/>
  <c r="N1066" i="1"/>
  <c r="N1074" i="1" s="1"/>
  <c r="N272" i="1"/>
  <c r="N280" i="1" s="1"/>
  <c r="L2091" i="1"/>
  <c r="N1499" i="1"/>
  <c r="N1507" i="1" s="1"/>
  <c r="M438" i="1"/>
  <c r="M446" i="1" s="1"/>
  <c r="N1413" i="1"/>
  <c r="N1421" i="1" s="1"/>
  <c r="P336" i="1"/>
  <c r="P344" i="1" s="1"/>
  <c r="M6" i="1"/>
  <c r="M14" i="1" s="1"/>
  <c r="V68" i="1"/>
  <c r="V81" i="1"/>
  <c r="V91" i="1"/>
  <c r="V95" i="1"/>
  <c r="V94" i="1"/>
  <c r="V93" i="1"/>
  <c r="V92" i="1"/>
  <c r="M336" i="1"/>
  <c r="M344" i="1" s="1"/>
  <c r="S143" i="1"/>
  <c r="E55" i="5" s="1"/>
  <c r="M303" i="1"/>
  <c r="M311" i="1" s="1"/>
  <c r="N841" i="1"/>
  <c r="N849" i="1" s="1"/>
  <c r="V233" i="1"/>
  <c r="M1114" i="1"/>
  <c r="V874" i="1"/>
  <c r="V1231" i="1"/>
  <c r="V1236" i="1"/>
  <c r="V1253" i="1"/>
  <c r="V1261" i="1"/>
  <c r="V1266" i="1"/>
  <c r="V1047" i="1"/>
  <c r="V1052" i="1"/>
  <c r="V1069" i="1"/>
  <c r="V1077" i="1"/>
  <c r="V1082" i="1"/>
  <c r="V1089" i="1"/>
  <c r="V1097" i="1"/>
  <c r="V1102" i="1"/>
  <c r="V1172" i="1"/>
  <c r="V1406" i="1"/>
  <c r="V1343" i="1"/>
  <c r="V1348" i="1"/>
  <c r="V1416" i="1"/>
  <c r="V1363" i="1"/>
  <c r="V1368" i="1"/>
  <c r="V1385" i="1"/>
  <c r="V1312" i="1"/>
  <c r="H414" i="5" s="1"/>
  <c r="V1317" i="1"/>
  <c r="H419" i="5" s="1"/>
  <c r="V2033" i="1"/>
  <c r="V2052" i="1"/>
  <c r="H634" i="5" s="1"/>
  <c r="V2057" i="1"/>
  <c r="H639" i="5" s="1"/>
  <c r="V1109" i="1"/>
  <c r="V1117" i="1"/>
  <c r="V1122" i="1"/>
  <c r="V1129" i="1"/>
  <c r="V1205" i="1"/>
  <c r="V1212" i="1"/>
  <c r="V914" i="1"/>
  <c r="H326" i="5" s="1"/>
  <c r="V919" i="1"/>
  <c r="H331" i="5" s="1"/>
  <c r="V1057" i="1"/>
  <c r="V1062" i="1"/>
  <c r="V1460" i="1"/>
  <c r="V1468" i="1"/>
  <c r="V1473" i="1"/>
  <c r="V1480" i="1"/>
  <c r="P1076" i="1"/>
  <c r="P1084" i="1" s="1"/>
  <c r="N1446" i="1"/>
  <c r="N1454" i="1" s="1"/>
  <c r="P15" i="1"/>
  <c r="L336" i="1"/>
  <c r="L344" i="1" s="1"/>
  <c r="N2093" i="1"/>
  <c r="N2101" i="1" s="1"/>
  <c r="N1692" i="1"/>
  <c r="N1700" i="1" s="1"/>
  <c r="U5" i="1"/>
  <c r="L303" i="1"/>
  <c r="L311" i="1" s="1"/>
  <c r="N1477" i="1"/>
  <c r="N1485" i="1" s="1"/>
  <c r="O913" i="1"/>
  <c r="O921" i="1" s="1"/>
  <c r="N1126" i="1"/>
  <c r="N1134" i="1" s="1"/>
  <c r="P438" i="1"/>
  <c r="P446" i="1" s="1"/>
  <c r="P1457" i="1"/>
  <c r="P1465" i="1" s="1"/>
  <c r="Q5" i="1"/>
  <c r="N1382" i="1"/>
  <c r="N1390" i="1" s="1"/>
  <c r="O1446" i="1"/>
  <c r="O1454" i="1" s="1"/>
  <c r="P1499" i="1"/>
  <c r="P1507" i="1" s="1"/>
  <c r="P2073" i="1"/>
  <c r="P2081" i="1" s="1"/>
  <c r="L1732" i="1"/>
  <c r="L1740" i="1" s="1"/>
  <c r="U1440" i="1"/>
  <c r="V132" i="1"/>
  <c r="L1126" i="1"/>
  <c r="L1134" i="1" s="1"/>
  <c r="N98" i="1"/>
  <c r="N106" i="1" s="1"/>
  <c r="P1096" i="1"/>
  <c r="P1104" i="1" s="1"/>
  <c r="P1702" i="1"/>
  <c r="P1710" i="1" s="1"/>
  <c r="O1742" i="1"/>
  <c r="O1750" i="1" s="1"/>
  <c r="L2073" i="1"/>
  <c r="L2081" i="1" s="1"/>
  <c r="L1066" i="1"/>
  <c r="L1074" i="1" s="1"/>
  <c r="V112" i="1"/>
  <c r="T5" i="1"/>
  <c r="V133" i="1"/>
  <c r="R143" i="1"/>
  <c r="D55" i="5" s="1"/>
  <c r="L6" i="1"/>
  <c r="L14" i="1" s="1"/>
  <c r="P821" i="1"/>
  <c r="P829" i="1" s="1"/>
  <c r="N2020" i="1"/>
  <c r="N2028" i="1" s="1"/>
  <c r="L1499" i="1"/>
  <c r="L1507" i="1" s="1"/>
  <c r="O15" i="1"/>
  <c r="T15" i="1" s="1"/>
  <c r="O303" i="1"/>
  <c r="O311" i="1" s="1"/>
  <c r="L438" i="1"/>
  <c r="L446" i="1" s="1"/>
  <c r="O2010" i="1"/>
  <c r="O2018" i="1" s="1"/>
  <c r="O1477" i="1"/>
  <c r="O1485" i="1" s="1"/>
  <c r="N1530" i="1"/>
  <c r="N1538" i="1" s="1"/>
  <c r="L913" i="1"/>
  <c r="L921" i="1" s="1"/>
  <c r="V318" i="1"/>
  <c r="H120" i="5" s="1"/>
  <c r="N1311" i="1"/>
  <c r="N1319" i="1" s="1"/>
  <c r="P1530" i="1"/>
  <c r="P1538" i="1" s="1"/>
  <c r="L2093" i="1"/>
  <c r="L2101" i="1" s="1"/>
  <c r="O1457" i="1"/>
  <c r="O1465" i="1" s="1"/>
  <c r="V70" i="1"/>
  <c r="V66" i="1"/>
  <c r="V87" i="1"/>
  <c r="V127" i="1"/>
  <c r="P841" i="1"/>
  <c r="P849" i="1" s="1"/>
  <c r="O2030" i="1"/>
  <c r="O2038" i="1" s="1"/>
  <c r="L1467" i="1"/>
  <c r="L1475" i="1" s="1"/>
  <c r="O1250" i="1"/>
  <c r="O1258" i="1" s="1"/>
  <c r="V1200" i="1"/>
  <c r="V131" i="1"/>
  <c r="V129" i="1"/>
  <c r="N336" i="1"/>
  <c r="N344" i="1" s="1"/>
  <c r="N831" i="1"/>
  <c r="N839" i="1" s="1"/>
  <c r="P1413" i="1"/>
  <c r="P1421" i="1" s="1"/>
  <c r="Q1440" i="1"/>
  <c r="O1467" i="1"/>
  <c r="O1475" i="1" s="1"/>
  <c r="N851" i="1"/>
  <c r="N859" i="1" s="1"/>
  <c r="V1481" i="1"/>
  <c r="M1477" i="1"/>
  <c r="M1485" i="1" s="1"/>
  <c r="V130" i="1"/>
  <c r="P98" i="1"/>
  <c r="P106" i="1" s="1"/>
  <c r="N1342" i="1"/>
  <c r="N1350" i="1" s="1"/>
  <c r="O1126" i="1"/>
  <c r="O1134" i="1" s="1"/>
  <c r="M2103" i="1"/>
  <c r="M2111" i="1" s="1"/>
  <c r="O2123" i="1"/>
  <c r="O2131" i="1" s="1"/>
  <c r="L841" i="1"/>
  <c r="L849" i="1" s="1"/>
  <c r="Q143" i="1"/>
  <c r="C55" i="5" s="1"/>
  <c r="V101" i="1"/>
  <c r="N438" i="1"/>
  <c r="N446" i="1" s="1"/>
  <c r="M15" i="1"/>
  <c r="R15" i="1" s="1"/>
  <c r="R5" i="1"/>
  <c r="S22" i="1"/>
  <c r="N6" i="1"/>
  <c r="N14" i="1" s="1"/>
  <c r="N1732" i="1"/>
  <c r="N1740" i="1" s="1"/>
  <c r="N1702" i="1"/>
  <c r="N1710" i="1" s="1"/>
  <c r="P2083" i="1"/>
  <c r="P2091" i="1" s="1"/>
  <c r="O2093" i="1"/>
  <c r="O2101" i="1" s="1"/>
  <c r="V192" i="1"/>
  <c r="V196" i="1"/>
  <c r="V203" i="1"/>
  <c r="V207" i="1"/>
  <c r="V212" i="1"/>
  <c r="V217" i="1"/>
  <c r="V227" i="1"/>
  <c r="V234" i="1"/>
  <c r="V239" i="1"/>
  <c r="V257" i="1"/>
  <c r="V277" i="1"/>
  <c r="V400" i="1"/>
  <c r="V405" i="1"/>
  <c r="V413" i="1"/>
  <c r="V420" i="1"/>
  <c r="V425" i="1"/>
  <c r="V430" i="1"/>
  <c r="V435" i="1"/>
  <c r="V443" i="1"/>
  <c r="V450" i="1"/>
  <c r="V455" i="1"/>
  <c r="V288" i="1"/>
  <c r="V295" i="1"/>
  <c r="V300" i="1"/>
  <c r="V305" i="1"/>
  <c r="V310" i="1"/>
  <c r="V319" i="1"/>
  <c r="H121" i="5" s="1"/>
  <c r="V327" i="1"/>
  <c r="H129" i="5" s="1"/>
  <c r="V332" i="1"/>
  <c r="H134" i="5" s="1"/>
  <c r="V338" i="1"/>
  <c r="V343" i="1"/>
  <c r="V361" i="1"/>
  <c r="V150" i="1"/>
  <c r="V155" i="1"/>
  <c r="V823" i="1"/>
  <c r="V828" i="1"/>
  <c r="M2030" i="1"/>
  <c r="M2038" i="1" s="1"/>
  <c r="M913" i="1"/>
  <c r="M921" i="1" s="1"/>
  <c r="R1440" i="1"/>
  <c r="N1457" i="1"/>
  <c r="N1465" i="1" s="1"/>
  <c r="L1692" i="1"/>
  <c r="L1700" i="1" s="1"/>
  <c r="V2077" i="1"/>
  <c r="V350" i="1"/>
  <c r="V193" i="1"/>
  <c r="V197" i="1"/>
  <c r="V213" i="1"/>
  <c r="V223" i="1"/>
  <c r="V228" i="1"/>
  <c r="V235" i="1"/>
  <c r="V253" i="1"/>
  <c r="V258" i="1"/>
  <c r="V273" i="1"/>
  <c r="V401" i="1"/>
  <c r="V409" i="1"/>
  <c r="V414" i="1"/>
  <c r="V421" i="1"/>
  <c r="V439" i="1"/>
  <c r="V444" i="1"/>
  <c r="V451" i="1"/>
  <c r="V284" i="1"/>
  <c r="V289" i="1"/>
  <c r="V296" i="1"/>
  <c r="V306" i="1"/>
  <c r="V315" i="1"/>
  <c r="H117" i="5" s="1"/>
  <c r="V320" i="1"/>
  <c r="H122" i="5" s="1"/>
  <c r="V328" i="1"/>
  <c r="H130" i="5" s="1"/>
  <c r="V339" i="1"/>
  <c r="V357" i="1"/>
  <c r="V362" i="1"/>
  <c r="V151" i="1"/>
  <c r="V824" i="1"/>
  <c r="V832" i="1"/>
  <c r="V837" i="1"/>
  <c r="V844" i="1"/>
  <c r="V204" i="1"/>
  <c r="V307" i="1"/>
  <c r="V1503" i="1"/>
  <c r="H505" i="5" s="1"/>
  <c r="V194" i="1"/>
  <c r="V201" i="1"/>
  <c r="V205" i="1"/>
  <c r="V215" i="1"/>
  <c r="V224" i="1"/>
  <c r="V229" i="1"/>
  <c r="V237" i="1"/>
  <c r="V254" i="1"/>
  <c r="V259" i="1"/>
  <c r="V274" i="1"/>
  <c r="V279" i="1"/>
  <c r="V403" i="1"/>
  <c r="V410" i="1"/>
  <c r="V415" i="1"/>
  <c r="V433" i="1"/>
  <c r="V440" i="1"/>
  <c r="V445" i="1"/>
  <c r="V453" i="1"/>
  <c r="V285" i="1"/>
  <c r="V290" i="1"/>
  <c r="V298" i="1"/>
  <c r="V308" i="1"/>
  <c r="V316" i="1"/>
  <c r="H118" i="5" s="1"/>
  <c r="V321" i="1"/>
  <c r="H123" i="5" s="1"/>
  <c r="V341" i="1"/>
  <c r="V358" i="1"/>
  <c r="V363" i="1"/>
  <c r="V153" i="1"/>
  <c r="V826" i="1"/>
  <c r="V833" i="1"/>
  <c r="V836" i="1"/>
  <c r="V843" i="1"/>
  <c r="V848" i="1"/>
  <c r="V863" i="1"/>
  <c r="V868" i="1"/>
  <c r="V876" i="1"/>
  <c r="V1232" i="1"/>
  <c r="V1237" i="1"/>
  <c r="V1255" i="1"/>
  <c r="V1262" i="1"/>
  <c r="V1267" i="1"/>
  <c r="V1048" i="1"/>
  <c r="V1053" i="1"/>
  <c r="V1071" i="1"/>
  <c r="V1078" i="1"/>
  <c r="V1083" i="1"/>
  <c r="V1091" i="1"/>
  <c r="V1098" i="1"/>
  <c r="V1103" i="1"/>
  <c r="V1174" i="1"/>
  <c r="V1408" i="1"/>
  <c r="V1344" i="1"/>
  <c r="V1349" i="1"/>
  <c r="V1418" i="1"/>
  <c r="V1364" i="1"/>
  <c r="V1369" i="1"/>
  <c r="V1387" i="1"/>
  <c r="V1313" i="1"/>
  <c r="H415" i="5" s="1"/>
  <c r="V1318" i="1"/>
  <c r="H420" i="5" s="1"/>
  <c r="V2035" i="1"/>
  <c r="V2053" i="1"/>
  <c r="H635" i="5" s="1"/>
  <c r="V2058" i="1"/>
  <c r="H640" i="5" s="1"/>
  <c r="V1111" i="1"/>
  <c r="V1118" i="1"/>
  <c r="V1123" i="1"/>
  <c r="V1131" i="1"/>
  <c r="V1201" i="1"/>
  <c r="V1206" i="1"/>
  <c r="V1214" i="1"/>
  <c r="V915" i="1"/>
  <c r="H327" i="5" s="1"/>
  <c r="V920" i="1"/>
  <c r="H332" i="5" s="1"/>
  <c r="V1058" i="1"/>
  <c r="V1063" i="1"/>
  <c r="V1462" i="1"/>
  <c r="V1469" i="1"/>
  <c r="V1474" i="1"/>
  <c r="V1482" i="1"/>
  <c r="V1504" i="1"/>
  <c r="V2012" i="1"/>
  <c r="V2017" i="1"/>
  <c r="V2025" i="1"/>
  <c r="V2075" i="1"/>
  <c r="V2080" i="1"/>
  <c r="V2088" i="1"/>
  <c r="V2095" i="1"/>
  <c r="V2100" i="1"/>
  <c r="V2108" i="1"/>
  <c r="V2115" i="1"/>
  <c r="V2120" i="1"/>
  <c r="V2128" i="1"/>
  <c r="V348" i="1"/>
  <c r="V353" i="1"/>
  <c r="V864" i="1"/>
  <c r="V872" i="1"/>
  <c r="V877" i="1"/>
  <c r="V1233" i="1"/>
  <c r="V1251" i="1"/>
  <c r="V1256" i="1"/>
  <c r="V1263" i="1"/>
  <c r="V1049" i="1"/>
  <c r="V1067" i="1"/>
  <c r="V1072" i="1"/>
  <c r="V1079" i="1"/>
  <c r="V1087" i="1"/>
  <c r="V1092" i="1"/>
  <c r="V1099" i="1"/>
  <c r="V1170" i="1"/>
  <c r="V1175" i="1"/>
  <c r="V1404" i="1"/>
  <c r="V1409" i="1"/>
  <c r="V1345" i="1"/>
  <c r="V1414" i="1"/>
  <c r="V1419" i="1"/>
  <c r="V1365" i="1"/>
  <c r="V1383" i="1"/>
  <c r="V1388" i="1"/>
  <c r="V1314" i="1"/>
  <c r="H416" i="5" s="1"/>
  <c r="V2031" i="1"/>
  <c r="V2036" i="1"/>
  <c r="V2054" i="1"/>
  <c r="H636" i="5" s="1"/>
  <c r="V1107" i="1"/>
  <c r="V1112" i="1"/>
  <c r="V1119" i="1"/>
  <c r="V1127" i="1"/>
  <c r="V1132" i="1"/>
  <c r="V1202" i="1"/>
  <c r="V1210" i="1"/>
  <c r="V1215" i="1"/>
  <c r="V916" i="1"/>
  <c r="H328" i="5" s="1"/>
  <c r="V1059" i="1"/>
  <c r="V1458" i="1"/>
  <c r="V1463" i="1"/>
  <c r="V1470" i="1"/>
  <c r="V1478" i="1"/>
  <c r="V1483" i="1"/>
  <c r="V1500" i="1"/>
  <c r="H502" i="5" s="1"/>
  <c r="V1505" i="1"/>
  <c r="H507" i="5" s="1"/>
  <c r="V2013" i="1"/>
  <c r="V2021" i="1"/>
  <c r="V2026" i="1"/>
  <c r="V2076" i="1"/>
  <c r="V2084" i="1"/>
  <c r="V2089" i="1"/>
  <c r="V2096" i="1"/>
  <c r="V2104" i="1"/>
  <c r="V2109" i="1"/>
  <c r="V2116" i="1"/>
  <c r="V2124" i="1"/>
  <c r="V2129" i="1"/>
  <c r="V349" i="1"/>
  <c r="V838" i="1"/>
  <c r="V846" i="1"/>
  <c r="V858" i="1"/>
  <c r="V866" i="1"/>
  <c r="V873" i="1"/>
  <c r="V878" i="1"/>
  <c r="V1235" i="1"/>
  <c r="V1252" i="1"/>
  <c r="V1257" i="1"/>
  <c r="V1265" i="1"/>
  <c r="V1051" i="1"/>
  <c r="V1068" i="1"/>
  <c r="V1073" i="1"/>
  <c r="V1081" i="1"/>
  <c r="V1088" i="1"/>
  <c r="V1093" i="1"/>
  <c r="V1101" i="1"/>
  <c r="V1171" i="1"/>
  <c r="V1176" i="1"/>
  <c r="V1405" i="1"/>
  <c r="V1410" i="1"/>
  <c r="V1347" i="1"/>
  <c r="V1415" i="1"/>
  <c r="V1420" i="1"/>
  <c r="V1367" i="1"/>
  <c r="V1384" i="1"/>
  <c r="V1389" i="1"/>
  <c r="V1316" i="1"/>
  <c r="H418" i="5" s="1"/>
  <c r="V2032" i="1"/>
  <c r="V2037" i="1"/>
  <c r="V2056" i="1"/>
  <c r="V1108" i="1"/>
  <c r="V1113" i="1"/>
  <c r="V1121" i="1"/>
  <c r="V1128" i="1"/>
  <c r="V1133" i="1"/>
  <c r="V1204" i="1"/>
  <c r="V1211" i="1"/>
  <c r="V1216" i="1"/>
  <c r="V918" i="1"/>
  <c r="H330" i="5" s="1"/>
  <c r="V1061" i="1"/>
  <c r="V1459" i="1"/>
  <c r="V1464" i="1"/>
  <c r="V1472" i="1"/>
  <c r="V1479" i="1"/>
  <c r="V1484" i="1"/>
  <c r="V1501" i="1"/>
  <c r="H503" i="5" s="1"/>
  <c r="V1506" i="1"/>
  <c r="H508" i="5" s="1"/>
  <c r="V2015" i="1"/>
  <c r="V2022" i="1"/>
  <c r="V2027" i="1"/>
  <c r="V2078" i="1"/>
  <c r="V2085" i="1"/>
  <c r="V2090" i="1"/>
  <c r="V2098" i="1"/>
  <c r="V2105" i="1"/>
  <c r="V2110" i="1"/>
  <c r="V2118" i="1"/>
  <c r="V2125" i="1"/>
  <c r="V2130" i="1"/>
  <c r="V351" i="1"/>
  <c r="V88" i="1"/>
  <c r="O272" i="1"/>
  <c r="O280" i="1" s="1"/>
  <c r="M272" i="1"/>
  <c r="M280" i="1" s="1"/>
  <c r="N148" i="1"/>
  <c r="N156" i="1" s="1"/>
  <c r="M1530" i="1"/>
  <c r="M1538" i="1" s="1"/>
  <c r="M831" i="1"/>
  <c r="M839" i="1" s="1"/>
  <c r="L851" i="1"/>
  <c r="L859" i="1" s="1"/>
  <c r="M1311" i="1"/>
  <c r="M1319" i="1" s="1"/>
  <c r="O1114" i="1"/>
  <c r="M1116" i="1"/>
  <c r="P1126" i="1"/>
  <c r="P1134" i="1" s="1"/>
  <c r="S1440" i="1"/>
  <c r="M1446" i="1"/>
  <c r="M1454" i="1" s="1"/>
  <c r="M1457" i="1"/>
  <c r="M1465" i="1" s="1"/>
  <c r="N1467" i="1"/>
  <c r="N1475" i="1" s="1"/>
  <c r="O1530" i="1"/>
  <c r="O1538" i="1" s="1"/>
  <c r="P1692" i="1"/>
  <c r="P1700" i="1" s="1"/>
  <c r="M2123" i="1"/>
  <c r="M2131" i="1" s="1"/>
  <c r="U143" i="1"/>
  <c r="G55" i="5" s="1"/>
  <c r="O831" i="1"/>
  <c r="O839" i="1" s="1"/>
  <c r="N1046" i="1"/>
  <c r="N1054" i="1" s="1"/>
  <c r="P1342" i="1"/>
  <c r="P1350" i="1" s="1"/>
  <c r="M1382" i="1"/>
  <c r="M1390" i="1" s="1"/>
  <c r="P2030" i="1"/>
  <c r="P2038" i="1" s="1"/>
  <c r="M2091" i="1"/>
  <c r="V74" i="1"/>
  <c r="V72" i="1"/>
  <c r="L821" i="1"/>
  <c r="L829" i="1" s="1"/>
  <c r="M841" i="1"/>
  <c r="M849" i="1" s="1"/>
  <c r="L1362" i="1"/>
  <c r="L1370" i="1" s="1"/>
  <c r="P1362" i="1"/>
  <c r="P1370" i="1" s="1"/>
  <c r="N1114" i="1"/>
  <c r="M1126" i="1"/>
  <c r="M1134" i="1" s="1"/>
  <c r="V102" i="1"/>
  <c r="O336" i="1"/>
  <c r="O344" i="1" s="1"/>
  <c r="M1250" i="1"/>
  <c r="M1258" i="1" s="1"/>
  <c r="N1260" i="1"/>
  <c r="N1268" i="1" s="1"/>
  <c r="O1732" i="1"/>
  <c r="O1740" i="1" s="1"/>
  <c r="M1692" i="1"/>
  <c r="M1700" i="1" s="1"/>
  <c r="M2020" i="1"/>
  <c r="M2028" i="1" s="1"/>
  <c r="O2113" i="1"/>
  <c r="O2121" i="1" s="1"/>
  <c r="P272" i="1"/>
  <c r="P280" i="1" s="1"/>
  <c r="M148" i="1"/>
  <c r="M156" i="1" s="1"/>
  <c r="O841" i="1"/>
  <c r="O849" i="1" s="1"/>
  <c r="N1362" i="1"/>
  <c r="N1370" i="1" s="1"/>
  <c r="L1311" i="1"/>
  <c r="L1319" i="1" s="1"/>
  <c r="O1311" i="1"/>
  <c r="O1319" i="1" s="1"/>
  <c r="P1467" i="1"/>
  <c r="P1475" i="1" s="1"/>
  <c r="P1590" i="1"/>
  <c r="P1598" i="1" s="1"/>
  <c r="P1712" i="1"/>
  <c r="P1720" i="1" s="1"/>
  <c r="L1096" i="1"/>
  <c r="L1104" i="1" s="1"/>
  <c r="N1096" i="1"/>
  <c r="N1104" i="1" s="1"/>
  <c r="L2020" i="1"/>
  <c r="L2028" i="1" s="1"/>
  <c r="P851" i="1"/>
  <c r="P859" i="1" s="1"/>
  <c r="L871" i="1"/>
  <c r="L879" i="1" s="1"/>
  <c r="M1260" i="1"/>
  <c r="M1268" i="1" s="1"/>
  <c r="M1046" i="1"/>
  <c r="M1054" i="1" s="1"/>
  <c r="L1413" i="1"/>
  <c r="L1421" i="1" s="1"/>
  <c r="O1382" i="1"/>
  <c r="O1390" i="1" s="1"/>
  <c r="P1311" i="1"/>
  <c r="P1319" i="1" s="1"/>
  <c r="L2030" i="1"/>
  <c r="L2038" i="1" s="1"/>
  <c r="L1116" i="1"/>
  <c r="L1124" i="1" s="1"/>
  <c r="M1467" i="1"/>
  <c r="M1475" i="1" s="1"/>
  <c r="M1499" i="1"/>
  <c r="M1507" i="1" s="1"/>
  <c r="L1530" i="1"/>
  <c r="L1538" i="1" s="1"/>
  <c r="L1712" i="1"/>
  <c r="L1720" i="1" s="1"/>
  <c r="O2020" i="1"/>
  <c r="O2028" i="1" s="1"/>
  <c r="V122" i="1"/>
  <c r="O148" i="1"/>
  <c r="O156" i="1" s="1"/>
  <c r="M821" i="1"/>
  <c r="M829" i="1" s="1"/>
  <c r="M1096" i="1"/>
  <c r="M1104" i="1" s="1"/>
  <c r="O1096" i="1"/>
  <c r="O1104" i="1" s="1"/>
  <c r="O1413" i="1"/>
  <c r="O1421" i="1" s="1"/>
  <c r="O1580" i="1"/>
  <c r="O1588" i="1" s="1"/>
  <c r="N1742" i="1"/>
  <c r="N1750" i="1" s="1"/>
  <c r="T143" i="1"/>
  <c r="F55" i="5" s="1"/>
  <c r="M851" i="1"/>
  <c r="M859" i="1" s="1"/>
  <c r="O871" i="1"/>
  <c r="O879" i="1" s="1"/>
  <c r="O1066" i="1"/>
  <c r="O1074" i="1" s="1"/>
  <c r="P1114" i="1"/>
  <c r="O1116" i="1"/>
  <c r="O1124" i="1" s="1"/>
  <c r="L1580" i="1"/>
  <c r="L1588" i="1" s="1"/>
  <c r="O821" i="1"/>
  <c r="O829" i="1" s="1"/>
  <c r="M1076" i="1"/>
  <c r="M1084" i="1" s="1"/>
  <c r="M1342" i="1"/>
  <c r="M1350" i="1" s="1"/>
  <c r="M1413" i="1"/>
  <c r="M1421" i="1" s="1"/>
  <c r="P1382" i="1"/>
  <c r="P1390" i="1" s="1"/>
  <c r="M1712" i="1"/>
  <c r="M1720" i="1" s="1"/>
  <c r="O438" i="1"/>
  <c r="O446" i="1" s="1"/>
  <c r="M871" i="1"/>
  <c r="M879" i="1" s="1"/>
  <c r="M1066" i="1"/>
  <c r="M1074" i="1" s="1"/>
  <c r="M1362" i="1"/>
  <c r="M1370" i="1" s="1"/>
  <c r="O1362" i="1"/>
  <c r="O1370" i="1" s="1"/>
  <c r="P913" i="1"/>
  <c r="P921" i="1" s="1"/>
  <c r="N303" i="1"/>
  <c r="N311" i="1" s="1"/>
  <c r="P303" i="1"/>
  <c r="P311" i="1" s="1"/>
  <c r="P148" i="1"/>
  <c r="P156" i="1" s="1"/>
  <c r="N821" i="1"/>
  <c r="N829" i="1" s="1"/>
  <c r="L831" i="1"/>
  <c r="L839" i="1" s="1"/>
  <c r="P831" i="1"/>
  <c r="P839" i="1" s="1"/>
  <c r="P871" i="1"/>
  <c r="P879" i="1" s="1"/>
  <c r="L1258" i="1"/>
  <c r="P1250" i="1"/>
  <c r="P1258" i="1" s="1"/>
  <c r="L1260" i="1"/>
  <c r="L1268" i="1" s="1"/>
  <c r="L1046" i="1"/>
  <c r="L1054" i="1" s="1"/>
  <c r="P1066" i="1"/>
  <c r="P1074" i="1" s="1"/>
  <c r="N1076" i="1"/>
  <c r="N1084" i="1" s="1"/>
  <c r="L1382" i="1"/>
  <c r="L1390" i="1" s="1"/>
  <c r="N2030" i="1"/>
  <c r="N2038" i="1" s="1"/>
  <c r="N913" i="1"/>
  <c r="N921" i="1" s="1"/>
  <c r="P1742" i="1"/>
  <c r="P1750" i="1" s="1"/>
  <c r="L1702" i="1"/>
  <c r="L1710" i="1" s="1"/>
  <c r="P2093" i="1"/>
  <c r="P2101" i="1" s="1"/>
  <c r="V117" i="1"/>
  <c r="V109" i="1"/>
  <c r="L1114" i="1"/>
  <c r="N1116" i="1"/>
  <c r="N1124" i="1" s="1"/>
  <c r="P1446" i="1"/>
  <c r="P1454" i="1" s="1"/>
  <c r="N1580" i="1"/>
  <c r="N1588" i="1" s="1"/>
  <c r="L1590" i="1"/>
  <c r="L1598" i="1" s="1"/>
  <c r="P1732" i="1"/>
  <c r="P1740" i="1" s="1"/>
  <c r="P1116" i="1"/>
  <c r="P1124" i="1" s="1"/>
  <c r="V1203" i="1"/>
  <c r="L1446" i="1"/>
  <c r="L1454" i="1" s="1"/>
  <c r="V1461" i="1"/>
  <c r="L1457" i="1"/>
  <c r="L1465" i="1" s="1"/>
  <c r="P1580" i="1"/>
  <c r="P1588" i="1" s="1"/>
  <c r="L1742" i="1"/>
  <c r="L1750" i="1" s="1"/>
  <c r="P2103" i="1"/>
  <c r="P2111" i="1" s="1"/>
  <c r="P2113" i="1"/>
  <c r="P2121" i="1" s="1"/>
  <c r="V2014" i="1"/>
  <c r="L2010" i="1"/>
  <c r="L2018" i="1" s="1"/>
  <c r="P2020" i="1"/>
  <c r="P2028" i="1" s="1"/>
  <c r="N2083" i="1"/>
  <c r="N2091" i="1" s="1"/>
  <c r="M1580" i="1"/>
  <c r="M1588" i="1" s="1"/>
  <c r="M1590" i="1"/>
  <c r="M1598" i="1" s="1"/>
  <c r="O1590" i="1"/>
  <c r="O1598" i="1" s="1"/>
  <c r="M1732" i="1"/>
  <c r="M1740" i="1" s="1"/>
  <c r="M1742" i="1"/>
  <c r="M1750" i="1" s="1"/>
  <c r="M1702" i="1"/>
  <c r="M1710" i="1" s="1"/>
  <c r="N2103" i="1"/>
  <c r="N2111" i="1" s="1"/>
  <c r="L2113" i="1"/>
  <c r="L2121" i="1" s="1"/>
  <c r="V2127" i="1"/>
  <c r="L2123" i="1"/>
  <c r="L2131" i="1" s="1"/>
  <c r="U137" i="1"/>
  <c r="G49" i="5" s="1"/>
  <c r="N2010" i="1"/>
  <c r="N2018" i="1" s="1"/>
  <c r="P2010" i="1"/>
  <c r="P2018" i="1" s="1"/>
  <c r="N2073" i="1"/>
  <c r="N2081" i="1" s="1"/>
  <c r="N2121" i="1"/>
  <c r="N2131" i="1"/>
  <c r="P2123" i="1"/>
  <c r="P2131" i="1" s="1"/>
  <c r="V99" i="1"/>
  <c r="V103" i="1"/>
  <c r="V104" i="1"/>
  <c r="V105" i="1"/>
  <c r="V113" i="1"/>
  <c r="V114" i="1"/>
  <c r="V119" i="1"/>
  <c r="V121" i="1"/>
  <c r="V124" i="1"/>
  <c r="V125" i="1"/>
  <c r="M2010" i="1"/>
  <c r="M2018" i="1" s="1"/>
  <c r="M2073" i="1"/>
  <c r="M2081" i="1" s="1"/>
  <c r="O2083" i="1"/>
  <c r="O2091" i="1" s="1"/>
  <c r="M2093" i="1"/>
  <c r="M2101" i="1" s="1"/>
  <c r="M2113" i="1"/>
  <c r="M2121" i="1" s="1"/>
  <c r="V69" i="1"/>
  <c r="S137" i="1"/>
  <c r="E49" i="5" s="1"/>
  <c r="Q137" i="1"/>
  <c r="C49" i="5" s="1"/>
  <c r="R137" i="1"/>
  <c r="D49" i="5" s="1"/>
  <c r="O177" i="1"/>
  <c r="M169" i="1"/>
  <c r="M177" i="1" s="1"/>
  <c r="P169" i="1"/>
  <c r="P177" i="1" s="1"/>
  <c r="V73" i="1"/>
  <c r="V71" i="1"/>
  <c r="V120" i="1"/>
  <c r="V111" i="1"/>
  <c r="V110" i="1"/>
  <c r="V97" i="1"/>
  <c r="H161" i="5" l="1"/>
  <c r="H167" i="5"/>
  <c r="H162" i="5"/>
  <c r="H166" i="5"/>
  <c r="F538" i="5"/>
  <c r="S1670" i="1"/>
  <c r="E534" i="5"/>
  <c r="G538" i="5"/>
  <c r="E538" i="5"/>
  <c r="U1670" i="1"/>
  <c r="G534" i="5"/>
  <c r="F534" i="5"/>
  <c r="T1670" i="1"/>
  <c r="H96" i="5"/>
  <c r="H95" i="5"/>
  <c r="H97" i="5"/>
  <c r="S230" i="1"/>
  <c r="S220" i="1"/>
  <c r="E94" i="5"/>
  <c r="H101" i="5"/>
  <c r="H99" i="5"/>
  <c r="U230" i="1"/>
  <c r="G94" i="5"/>
  <c r="U220" i="1"/>
  <c r="T230" i="1"/>
  <c r="F94" i="5"/>
  <c r="T220" i="1"/>
  <c r="R220" i="1"/>
  <c r="D94" i="5"/>
  <c r="M330" i="1"/>
  <c r="R330" i="1" s="1"/>
  <c r="M331" i="1"/>
  <c r="N330" i="1"/>
  <c r="S330" i="1" s="1"/>
  <c r="E132" i="5" s="1"/>
  <c r="N331" i="1"/>
  <c r="V982" i="1"/>
  <c r="C325" i="5"/>
  <c r="Q911" i="1"/>
  <c r="C323" i="5" s="1"/>
  <c r="T931" i="1"/>
  <c r="V931" i="1" s="1"/>
  <c r="V922" i="1"/>
  <c r="H393" i="5"/>
  <c r="H397" i="5"/>
  <c r="R1167" i="1"/>
  <c r="D391" i="5"/>
  <c r="T995" i="1"/>
  <c r="V996" i="1"/>
  <c r="H392" i="5"/>
  <c r="G391" i="5"/>
  <c r="U1167" i="1"/>
  <c r="D395" i="5"/>
  <c r="D384" i="5" s="1"/>
  <c r="H396" i="5"/>
  <c r="H394" i="5"/>
  <c r="G395" i="5"/>
  <c r="H398" i="5"/>
  <c r="S1167" i="1"/>
  <c r="E391" i="5"/>
  <c r="E395" i="5"/>
  <c r="Q1342" i="1"/>
  <c r="Q1340" i="1" s="1"/>
  <c r="C422" i="5" s="1"/>
  <c r="H661" i="5"/>
  <c r="S2071" i="1"/>
  <c r="S2070" i="1" s="1"/>
  <c r="E655" i="5"/>
  <c r="E644" i="5" s="1"/>
  <c r="R2071" i="1"/>
  <c r="R2070" i="1" s="1"/>
  <c r="D655" i="5"/>
  <c r="D644" i="5" s="1"/>
  <c r="H658" i="5"/>
  <c r="H662" i="5"/>
  <c r="H656" i="5"/>
  <c r="C655" i="5"/>
  <c r="C644" i="5" s="1"/>
  <c r="Q2071" i="1"/>
  <c r="C65" i="3" s="1"/>
  <c r="T2071" i="1"/>
  <c r="T2070" i="1" s="1"/>
  <c r="F655" i="5"/>
  <c r="F644" i="5" s="1"/>
  <c r="H660" i="5"/>
  <c r="H657" i="5"/>
  <c r="G655" i="5"/>
  <c r="G644" i="5" s="1"/>
  <c r="U2071" i="1"/>
  <c r="U2070" i="1" s="1"/>
  <c r="H638" i="5"/>
  <c r="Q2039" i="1"/>
  <c r="C63" i="3" s="1"/>
  <c r="C633" i="5"/>
  <c r="G274" i="5"/>
  <c r="D274" i="5"/>
  <c r="S2039" i="1"/>
  <c r="E63" i="3" s="1"/>
  <c r="E633" i="5"/>
  <c r="D633" i="5"/>
  <c r="R2039" i="1"/>
  <c r="D63" i="3" s="1"/>
  <c r="T2039" i="1"/>
  <c r="F63" i="3" s="1"/>
  <c r="F633" i="5"/>
  <c r="G633" i="5"/>
  <c r="U2039" i="1"/>
  <c r="G631" i="5" s="1"/>
  <c r="S1487" i="1"/>
  <c r="E51" i="3" s="1"/>
  <c r="E501" i="5"/>
  <c r="T1487" i="1"/>
  <c r="F51" i="3" s="1"/>
  <c r="F501" i="5"/>
  <c r="H506" i="5"/>
  <c r="U1487" i="1"/>
  <c r="G51" i="3" s="1"/>
  <c r="G501" i="5"/>
  <c r="Q1507" i="1"/>
  <c r="C509" i="5" s="1"/>
  <c r="Q1487" i="1"/>
  <c r="C501" i="5"/>
  <c r="R1487" i="1"/>
  <c r="D499" i="5" s="1"/>
  <c r="D501" i="5"/>
  <c r="C274" i="5"/>
  <c r="E274" i="5"/>
  <c r="H145" i="5"/>
  <c r="H144" i="5"/>
  <c r="Q334" i="1"/>
  <c r="C138" i="5"/>
  <c r="T334" i="1"/>
  <c r="F18" i="3" s="1"/>
  <c r="F138" i="5"/>
  <c r="H141" i="5"/>
  <c r="H140" i="5"/>
  <c r="H139" i="5"/>
  <c r="R334" i="1"/>
  <c r="D138" i="5"/>
  <c r="H143" i="5"/>
  <c r="G138" i="5"/>
  <c r="U334" i="1"/>
  <c r="G18" i="3" s="1"/>
  <c r="S334" i="1"/>
  <c r="E138" i="5"/>
  <c r="Q1530" i="1"/>
  <c r="Q1538" i="1" s="1"/>
  <c r="V1534" i="1"/>
  <c r="H516" i="5" s="1"/>
  <c r="R331" i="1"/>
  <c r="D133" i="5" s="1"/>
  <c r="S324" i="1"/>
  <c r="E126" i="5" s="1"/>
  <c r="E82" i="5" s="1"/>
  <c r="S331" i="1"/>
  <c r="E133" i="5" s="1"/>
  <c r="Q331" i="1"/>
  <c r="T985" i="1"/>
  <c r="F347" i="5" s="1"/>
  <c r="V986" i="1"/>
  <c r="H348" i="5" s="1"/>
  <c r="O329" i="1"/>
  <c r="P329" i="1"/>
  <c r="R42" i="1"/>
  <c r="S42" i="1"/>
  <c r="H361" i="5"/>
  <c r="H364" i="5"/>
  <c r="H365" i="5"/>
  <c r="H359" i="5"/>
  <c r="H363" i="5"/>
  <c r="H360" i="5"/>
  <c r="D347" i="5"/>
  <c r="U446" i="1"/>
  <c r="U1116" i="1"/>
  <c r="U1124" i="1" s="1"/>
  <c r="G362" i="5"/>
  <c r="T1116" i="1"/>
  <c r="T1124" i="1" s="1"/>
  <c r="F362" i="5"/>
  <c r="R1116" i="1"/>
  <c r="R1124" i="1" s="1"/>
  <c r="D362" i="5"/>
  <c r="S446" i="1"/>
  <c r="R446" i="1"/>
  <c r="Q446" i="1"/>
  <c r="Q1116" i="1"/>
  <c r="C362" i="5"/>
  <c r="S1116" i="1"/>
  <c r="S1124" i="1" s="1"/>
  <c r="E362" i="5"/>
  <c r="T446" i="1"/>
  <c r="U416" i="1"/>
  <c r="Q839" i="1"/>
  <c r="T416" i="1"/>
  <c r="R416" i="1"/>
  <c r="R324" i="1"/>
  <c r="D126" i="5" s="1"/>
  <c r="D82" i="5" s="1"/>
  <c r="R983" i="1"/>
  <c r="D37" i="3" s="1"/>
  <c r="R1023" i="1"/>
  <c r="D355" i="5" s="1"/>
  <c r="U324" i="1"/>
  <c r="G126" i="5" s="1"/>
  <c r="G82" i="5" s="1"/>
  <c r="T1033" i="1"/>
  <c r="V1033" i="1" s="1"/>
  <c r="V1025" i="1"/>
  <c r="T1023" i="1"/>
  <c r="V1015" i="1"/>
  <c r="T1700" i="1"/>
  <c r="U1700" i="1"/>
  <c r="S1700" i="1"/>
  <c r="R1700" i="1"/>
  <c r="D586" i="5"/>
  <c r="H427" i="5"/>
  <c r="H426" i="5"/>
  <c r="V1716" i="1"/>
  <c r="H429" i="5"/>
  <c r="H431" i="5"/>
  <c r="H430" i="5"/>
  <c r="Q1732" i="1"/>
  <c r="V1736" i="1"/>
  <c r="F578" i="5"/>
  <c r="T1914" i="1"/>
  <c r="F58" i="3" s="1"/>
  <c r="G424" i="5"/>
  <c r="U1340" i="1"/>
  <c r="G44" i="3" s="1"/>
  <c r="T1340" i="1"/>
  <c r="F424" i="5"/>
  <c r="G589" i="5"/>
  <c r="G59" i="3"/>
  <c r="E424" i="5"/>
  <c r="S1340" i="1"/>
  <c r="E422" i="5" s="1"/>
  <c r="H425" i="5"/>
  <c r="R1340" i="1"/>
  <c r="D44" i="3" s="1"/>
  <c r="D424" i="5"/>
  <c r="C424" i="5"/>
  <c r="G578" i="5"/>
  <c r="U1914" i="1"/>
  <c r="G576" i="5" s="1"/>
  <c r="Q1710" i="1"/>
  <c r="V1710" i="1" s="1"/>
  <c r="V1702" i="1"/>
  <c r="Q1750" i="1"/>
  <c r="V1750" i="1" s="1"/>
  <c r="V1742" i="1"/>
  <c r="U1390" i="1"/>
  <c r="T1390" i="1"/>
  <c r="R1390" i="1"/>
  <c r="Q1390" i="1"/>
  <c r="S1390" i="1"/>
  <c r="G384" i="5"/>
  <c r="E384" i="5"/>
  <c r="R1528" i="1"/>
  <c r="D52" i="3" s="1"/>
  <c r="D512" i="5"/>
  <c r="G600" i="5"/>
  <c r="F622" i="5"/>
  <c r="T2008" i="1"/>
  <c r="E479" i="5"/>
  <c r="S1455" i="1"/>
  <c r="U1528" i="1"/>
  <c r="G512" i="5"/>
  <c r="E622" i="5"/>
  <c r="S2008" i="1"/>
  <c r="E62" i="3" s="1"/>
  <c r="D479" i="5"/>
  <c r="R1455" i="1"/>
  <c r="D49" i="3" s="1"/>
  <c r="E589" i="5"/>
  <c r="E587" i="5"/>
  <c r="D589" i="5"/>
  <c r="D59" i="3"/>
  <c r="Q1588" i="1"/>
  <c r="V1580" i="1"/>
  <c r="Q1700" i="1"/>
  <c r="V1692" i="1"/>
  <c r="D622" i="5"/>
  <c r="R2008" i="1"/>
  <c r="D620" i="5" s="1"/>
  <c r="G479" i="5"/>
  <c r="U1455" i="1"/>
  <c r="G49" i="3" s="1"/>
  <c r="F512" i="5"/>
  <c r="T1528" i="1"/>
  <c r="U1507" i="1"/>
  <c r="G509" i="5" s="1"/>
  <c r="F589" i="5"/>
  <c r="S1528" i="1"/>
  <c r="E512" i="5"/>
  <c r="E600" i="5"/>
  <c r="E60" i="3"/>
  <c r="D600" i="5"/>
  <c r="D60" i="3"/>
  <c r="G622" i="5"/>
  <c r="U2008" i="1"/>
  <c r="G62" i="3" s="1"/>
  <c r="F479" i="5"/>
  <c r="T1455" i="1"/>
  <c r="F49" i="3" s="1"/>
  <c r="Q1598" i="1"/>
  <c r="V1598" i="1" s="1"/>
  <c r="V1590" i="1"/>
  <c r="Q1454" i="1"/>
  <c r="V1454" i="1" s="1"/>
  <c r="V1446" i="1"/>
  <c r="R1914" i="1"/>
  <c r="D58" i="3" s="1"/>
  <c r="E578" i="5"/>
  <c r="S1914" i="1"/>
  <c r="E58" i="3" s="1"/>
  <c r="R33" i="1"/>
  <c r="D35" i="5" s="1"/>
  <c r="U32" i="1"/>
  <c r="G34" i="5" s="1"/>
  <c r="H475" i="5"/>
  <c r="S29" i="1"/>
  <c r="E31" i="5" s="1"/>
  <c r="Q29" i="1"/>
  <c r="C31" i="5" s="1"/>
  <c r="D560" i="5"/>
  <c r="C560" i="5"/>
  <c r="C435" i="5"/>
  <c r="Q1401" i="1"/>
  <c r="C433" i="5" s="1"/>
  <c r="C556" i="5"/>
  <c r="C565" i="5"/>
  <c r="S1507" i="1"/>
  <c r="E509" i="5" s="1"/>
  <c r="R1507" i="1"/>
  <c r="D509" i="5" s="1"/>
  <c r="E560" i="5"/>
  <c r="G560" i="5"/>
  <c r="F560" i="5"/>
  <c r="T1507" i="1"/>
  <c r="F509" i="5" s="1"/>
  <c r="T1588" i="1"/>
  <c r="U1588" i="1"/>
  <c r="H470" i="5"/>
  <c r="H407" i="5"/>
  <c r="H405" i="5"/>
  <c r="U28" i="1"/>
  <c r="Q31" i="1"/>
  <c r="C33" i="5" s="1"/>
  <c r="R32" i="1"/>
  <c r="S33" i="1"/>
  <c r="E35" i="5" s="1"/>
  <c r="R30" i="1"/>
  <c r="D32" i="5" s="1"/>
  <c r="U30" i="1"/>
  <c r="G32" i="5" s="1"/>
  <c r="Q28" i="1"/>
  <c r="C30" i="5" s="1"/>
  <c r="T28" i="1"/>
  <c r="F30" i="5" s="1"/>
  <c r="R29" i="1"/>
  <c r="D31" i="5" s="1"/>
  <c r="R28" i="1"/>
  <c r="D30" i="5" s="1"/>
  <c r="Q33" i="1"/>
  <c r="C35" i="5" s="1"/>
  <c r="T33" i="1"/>
  <c r="F35" i="5" s="1"/>
  <c r="R25" i="1"/>
  <c r="U25" i="1"/>
  <c r="Q1189" i="1"/>
  <c r="Q1167" i="1" s="1"/>
  <c r="H408" i="5"/>
  <c r="H409" i="5"/>
  <c r="S1228" i="1"/>
  <c r="E400" i="5" s="1"/>
  <c r="E402" i="5"/>
  <c r="Q1228" i="1"/>
  <c r="C400" i="5" s="1"/>
  <c r="C402" i="5"/>
  <c r="H404" i="5"/>
  <c r="U1228" i="1"/>
  <c r="G400" i="5" s="1"/>
  <c r="G402" i="5"/>
  <c r="H403" i="5"/>
  <c r="R1228" i="1"/>
  <c r="D400" i="5" s="1"/>
  <c r="D402" i="5"/>
  <c r="F402" i="5"/>
  <c r="T1228" i="1"/>
  <c r="F400" i="5" s="1"/>
  <c r="D246" i="5"/>
  <c r="T10" i="1"/>
  <c r="V10" i="1" s="1"/>
  <c r="P6" i="1"/>
  <c r="P14" i="1" s="1"/>
  <c r="Q30" i="1"/>
  <c r="C32" i="5" s="1"/>
  <c r="S31" i="1"/>
  <c r="R27" i="1"/>
  <c r="D29" i="5" s="1"/>
  <c r="Q32" i="1"/>
  <c r="C34" i="5" s="1"/>
  <c r="U27" i="1"/>
  <c r="G29" i="5" s="1"/>
  <c r="T32" i="1"/>
  <c r="F34" i="5" s="1"/>
  <c r="S28" i="1"/>
  <c r="E30" i="5" s="1"/>
  <c r="S32" i="1"/>
  <c r="S27" i="1"/>
  <c r="E29" i="5" s="1"/>
  <c r="T30" i="1"/>
  <c r="U33" i="1"/>
  <c r="T29" i="1"/>
  <c r="F31" i="5" s="1"/>
  <c r="S25" i="1"/>
  <c r="R31" i="1"/>
  <c r="Q27" i="1"/>
  <c r="U31" i="1"/>
  <c r="G33" i="5" s="1"/>
  <c r="T27" i="1"/>
  <c r="F29" i="5" s="1"/>
  <c r="T31" i="1"/>
  <c r="F33" i="5" s="1"/>
  <c r="F60" i="5"/>
  <c r="G65" i="5"/>
  <c r="C67" i="5"/>
  <c r="F63" i="5"/>
  <c r="G67" i="5"/>
  <c r="D68" i="5"/>
  <c r="F68" i="5"/>
  <c r="E63" i="5"/>
  <c r="Q324" i="1"/>
  <c r="Q25" i="1"/>
  <c r="C27" i="5" s="1"/>
  <c r="U29" i="1"/>
  <c r="G31" i="5" s="1"/>
  <c r="T25" i="1"/>
  <c r="E14" i="3"/>
  <c r="D14" i="3"/>
  <c r="F14" i="3"/>
  <c r="G14" i="3"/>
  <c r="G64" i="5"/>
  <c r="E37" i="3"/>
  <c r="E65" i="5"/>
  <c r="E60" i="5"/>
  <c r="F65" i="5"/>
  <c r="G60" i="5"/>
  <c r="G62" i="5"/>
  <c r="D64" i="5"/>
  <c r="G66" i="5"/>
  <c r="F67" i="5"/>
  <c r="D62" i="5"/>
  <c r="C64" i="5"/>
  <c r="G37" i="3"/>
  <c r="G57" i="3"/>
  <c r="S35" i="1"/>
  <c r="T35" i="1"/>
  <c r="T44" i="1" s="1"/>
  <c r="U35" i="1"/>
  <c r="U44" i="1" s="1"/>
  <c r="F325" i="5"/>
  <c r="F35" i="3"/>
  <c r="D66" i="5"/>
  <c r="D67" i="5"/>
  <c r="D60" i="5"/>
  <c r="E68" i="5"/>
  <c r="C62" i="5"/>
  <c r="G63" i="5"/>
  <c r="F66" i="5"/>
  <c r="G68" i="5"/>
  <c r="D63" i="5"/>
  <c r="D325" i="5"/>
  <c r="D323" i="5"/>
  <c r="G325" i="5"/>
  <c r="G35" i="3"/>
  <c r="F565" i="5"/>
  <c r="E325" i="5"/>
  <c r="E323" i="5"/>
  <c r="V178" i="1"/>
  <c r="E67" i="5"/>
  <c r="D65" i="5"/>
  <c r="E66" i="5"/>
  <c r="F64" i="5"/>
  <c r="C63" i="5"/>
  <c r="F62" i="5"/>
  <c r="E64" i="5"/>
  <c r="C68" i="5"/>
  <c r="E62" i="5"/>
  <c r="F597" i="5"/>
  <c r="R35" i="1"/>
  <c r="E32" i="5"/>
  <c r="Q6" i="1"/>
  <c r="D608" i="5"/>
  <c r="E597" i="5"/>
  <c r="Q2091" i="1"/>
  <c r="C663" i="5" s="1"/>
  <c r="S1465" i="1"/>
  <c r="E487" i="5" s="1"/>
  <c r="E565" i="5"/>
  <c r="Q1914" i="1"/>
  <c r="H585" i="5"/>
  <c r="S1177" i="1"/>
  <c r="E399" i="5" s="1"/>
  <c r="S839" i="1"/>
  <c r="G435" i="5"/>
  <c r="G45" i="3"/>
  <c r="H602" i="5"/>
  <c r="R1074" i="1"/>
  <c r="R839" i="1"/>
  <c r="E435" i="5"/>
  <c r="E45" i="3"/>
  <c r="U1074" i="1"/>
  <c r="S1074" i="1"/>
  <c r="T2059" i="1"/>
  <c r="F641" i="5" s="1"/>
  <c r="T1538" i="1"/>
  <c r="R1350" i="1"/>
  <c r="F246" i="5"/>
  <c r="U839" i="1"/>
  <c r="G246" i="5"/>
  <c r="F435" i="5"/>
  <c r="F45" i="3"/>
  <c r="D435" i="5"/>
  <c r="D45" i="3"/>
  <c r="T1465" i="1"/>
  <c r="F487" i="5" s="1"/>
  <c r="U2018" i="1"/>
  <c r="G630" i="5" s="1"/>
  <c r="H584" i="5"/>
  <c r="H579" i="5"/>
  <c r="H583" i="5"/>
  <c r="H581" i="5"/>
  <c r="H580" i="5"/>
  <c r="D578" i="5"/>
  <c r="H474" i="5"/>
  <c r="R2018" i="1"/>
  <c r="D630" i="5" s="1"/>
  <c r="S2059" i="1"/>
  <c r="E641" i="5" s="1"/>
  <c r="C36" i="3"/>
  <c r="F180" i="5"/>
  <c r="E224" i="5"/>
  <c r="G26" i="3"/>
  <c r="C26" i="3"/>
  <c r="F224" i="5"/>
  <c r="D224" i="5"/>
  <c r="Q1465" i="1"/>
  <c r="C487" i="5" s="1"/>
  <c r="R1538" i="1"/>
  <c r="D520" i="5" s="1"/>
  <c r="Q1319" i="1"/>
  <c r="C421" i="5" s="1"/>
  <c r="C153" i="5"/>
  <c r="Q1455" i="1"/>
  <c r="C49" i="3" s="1"/>
  <c r="G608" i="5"/>
  <c r="G586" i="5"/>
  <c r="S1411" i="1"/>
  <c r="E443" i="5" s="1"/>
  <c r="T1350" i="1"/>
  <c r="G38" i="5"/>
  <c r="G175" i="5"/>
  <c r="G153" i="5" s="1"/>
  <c r="T2018" i="1"/>
  <c r="F630" i="5" s="1"/>
  <c r="U1350" i="1"/>
  <c r="R1177" i="1"/>
  <c r="D399" i="5" s="1"/>
  <c r="U1411" i="1"/>
  <c r="G443" i="5" s="1"/>
  <c r="C37" i="3"/>
  <c r="U2059" i="1"/>
  <c r="G641" i="5" s="1"/>
  <c r="R2059" i="1"/>
  <c r="D641" i="5" s="1"/>
  <c r="G597" i="5"/>
  <c r="H437" i="5"/>
  <c r="H485" i="5"/>
  <c r="H469" i="5"/>
  <c r="R1465" i="1"/>
  <c r="D487" i="5" s="1"/>
  <c r="S1538" i="1"/>
  <c r="E520" i="5" s="1"/>
  <c r="U1465" i="1"/>
  <c r="G487" i="5" s="1"/>
  <c r="D175" i="5"/>
  <c r="D153" i="5" s="1"/>
  <c r="E290" i="5"/>
  <c r="C413" i="5"/>
  <c r="H78" i="5"/>
  <c r="H601" i="5"/>
  <c r="H176" i="5"/>
  <c r="H107" i="5"/>
  <c r="H106" i="5"/>
  <c r="Q2008" i="1"/>
  <c r="H607" i="5"/>
  <c r="H627" i="5"/>
  <c r="S2018" i="1"/>
  <c r="E630" i="5" s="1"/>
  <c r="U1538" i="1"/>
  <c r="E22" i="3"/>
  <c r="C608" i="5"/>
  <c r="C597" i="5"/>
  <c r="C586" i="5"/>
  <c r="C21" i="3"/>
  <c r="Q2059" i="1"/>
  <c r="C641" i="5" s="1"/>
  <c r="C598" i="5"/>
  <c r="C59" i="3"/>
  <c r="R2091" i="1"/>
  <c r="D663" i="5" s="1"/>
  <c r="S1350" i="1"/>
  <c r="Q1411" i="1"/>
  <c r="C443" i="5" s="1"/>
  <c r="R1411" i="1"/>
  <c r="D443" i="5" s="1"/>
  <c r="D411" i="5"/>
  <c r="D43" i="3"/>
  <c r="H79" i="5"/>
  <c r="Q2018" i="1"/>
  <c r="C630" i="5" s="1"/>
  <c r="T1177" i="1"/>
  <c r="G180" i="5"/>
  <c r="R1319" i="1"/>
  <c r="D421" i="5" s="1"/>
  <c r="Q921" i="1"/>
  <c r="C333" i="5" s="1"/>
  <c r="T344" i="1"/>
  <c r="Q1712" i="1"/>
  <c r="C534" i="5" s="1"/>
  <c r="D413" i="5"/>
  <c r="H606" i="5"/>
  <c r="H625" i="5"/>
  <c r="H112" i="5"/>
  <c r="H111" i="5"/>
  <c r="H75" i="5"/>
  <c r="E608" i="5"/>
  <c r="T2091" i="1"/>
  <c r="F663" i="5" s="1"/>
  <c r="D597" i="5"/>
  <c r="S2091" i="1"/>
  <c r="E663" i="5" s="1"/>
  <c r="C43" i="3"/>
  <c r="H174" i="5"/>
  <c r="Q1177" i="1"/>
  <c r="U2091" i="1"/>
  <c r="G663" i="5" s="1"/>
  <c r="F586" i="5"/>
  <c r="T1411" i="1"/>
  <c r="F443" i="5" s="1"/>
  <c r="F292" i="5"/>
  <c r="H629" i="5"/>
  <c r="H484" i="5"/>
  <c r="H306" i="5"/>
  <c r="H310" i="5"/>
  <c r="H603" i="5"/>
  <c r="H595" i="5"/>
  <c r="H172" i="5"/>
  <c r="H108" i="5"/>
  <c r="F175" i="5"/>
  <c r="F153" i="5" s="1"/>
  <c r="D180" i="5"/>
  <c r="E72" i="5"/>
  <c r="S188" i="1"/>
  <c r="E12" i="3" s="1"/>
  <c r="S322" i="1"/>
  <c r="E116" i="5"/>
  <c r="R1712" i="1"/>
  <c r="R1670" i="1" s="1"/>
  <c r="Q312" i="1"/>
  <c r="C16" i="3" s="1"/>
  <c r="C116" i="5"/>
  <c r="R1064" i="1"/>
  <c r="T1299" i="1"/>
  <c r="F413" i="5"/>
  <c r="Q1238" i="1"/>
  <c r="C410" i="5" s="1"/>
  <c r="H592" i="5"/>
  <c r="H480" i="5"/>
  <c r="H441" i="5"/>
  <c r="H605" i="5"/>
  <c r="H596" i="5"/>
  <c r="H624" i="5"/>
  <c r="H440" i="5"/>
  <c r="H178" i="5"/>
  <c r="H74" i="5"/>
  <c r="H628" i="5"/>
  <c r="H617" i="5" s="1"/>
  <c r="H298" i="5"/>
  <c r="H590" i="5"/>
  <c r="H77" i="5"/>
  <c r="T322" i="1"/>
  <c r="F124" i="5" s="1"/>
  <c r="F116" i="5"/>
  <c r="S416" i="1"/>
  <c r="E292" i="5"/>
  <c r="D292" i="5"/>
  <c r="R322" i="1"/>
  <c r="D116" i="5"/>
  <c r="R230" i="1"/>
  <c r="F608" i="5"/>
  <c r="F600" i="5"/>
  <c r="U1064" i="1"/>
  <c r="S1064" i="1"/>
  <c r="S1299" i="1"/>
  <c r="E413" i="5"/>
  <c r="T1238" i="1"/>
  <c r="F410" i="5" s="1"/>
  <c r="H486" i="5"/>
  <c r="H436" i="5"/>
  <c r="H591" i="5"/>
  <c r="H297" i="5"/>
  <c r="H295" i="5"/>
  <c r="H299" i="5"/>
  <c r="H173" i="5"/>
  <c r="H110" i="5"/>
  <c r="H471" i="5"/>
  <c r="H623" i="5"/>
  <c r="H293" i="5"/>
  <c r="H73" i="5"/>
  <c r="U188" i="1"/>
  <c r="G72" i="5"/>
  <c r="C171" i="5"/>
  <c r="G292" i="5"/>
  <c r="D72" i="5"/>
  <c r="R188" i="1"/>
  <c r="D12" i="3" s="1"/>
  <c r="S1238" i="1"/>
  <c r="E410" i="5" s="1"/>
  <c r="T1064" i="1"/>
  <c r="U1238" i="1"/>
  <c r="G410" i="5" s="1"/>
  <c r="H594" i="5"/>
  <c r="H481" i="5"/>
  <c r="H442" i="5"/>
  <c r="H473" i="5"/>
  <c r="H294" i="5"/>
  <c r="H482" i="5"/>
  <c r="H438" i="5"/>
  <c r="H177" i="5"/>
  <c r="E175" i="5"/>
  <c r="E153" i="5" s="1"/>
  <c r="Q344" i="1"/>
  <c r="C72" i="5"/>
  <c r="Q188" i="1"/>
  <c r="C12" i="3" s="1"/>
  <c r="C292" i="5"/>
  <c r="U312" i="1"/>
  <c r="G114" i="5" s="1"/>
  <c r="G116" i="5"/>
  <c r="Q1064" i="1"/>
  <c r="U1299" i="1"/>
  <c r="G413" i="5"/>
  <c r="R1436" i="1"/>
  <c r="D472" i="5"/>
  <c r="S1436" i="1"/>
  <c r="E472" i="5"/>
  <c r="E461" i="5" s="1"/>
  <c r="Q1436" i="1"/>
  <c r="C472" i="5"/>
  <c r="C461" i="5" s="1"/>
  <c r="U1436" i="1"/>
  <c r="G472" i="5"/>
  <c r="G461" i="5" s="1"/>
  <c r="R1238" i="1"/>
  <c r="D410" i="5" s="1"/>
  <c r="U1177" i="1"/>
  <c r="G399" i="5" s="1"/>
  <c r="Q322" i="1"/>
  <c r="T312" i="1"/>
  <c r="F16" i="3" s="1"/>
  <c r="D85" i="5"/>
  <c r="Q230" i="1"/>
  <c r="R208" i="1"/>
  <c r="D80" i="5" s="1"/>
  <c r="D386" i="5"/>
  <c r="F459" i="5"/>
  <c r="V142" i="1"/>
  <c r="U344" i="1"/>
  <c r="S208" i="1"/>
  <c r="E80" i="5" s="1"/>
  <c r="U208" i="1"/>
  <c r="G80" i="5" s="1"/>
  <c r="G85" i="5"/>
  <c r="E43" i="5"/>
  <c r="F43" i="5"/>
  <c r="S1720" i="1"/>
  <c r="F665" i="5"/>
  <c r="D385" i="5"/>
  <c r="E491" i="5"/>
  <c r="E85" i="5"/>
  <c r="D42" i="5"/>
  <c r="F386" i="5"/>
  <c r="F615" i="5"/>
  <c r="F666" i="5"/>
  <c r="C386" i="5"/>
  <c r="D44" i="5"/>
  <c r="D41" i="5"/>
  <c r="G46" i="5"/>
  <c r="E40" i="5"/>
  <c r="G44" i="5"/>
  <c r="F313" i="5"/>
  <c r="U1720" i="1"/>
  <c r="T1720" i="1"/>
  <c r="C646" i="5"/>
  <c r="C616" i="5"/>
  <c r="F66" i="3"/>
  <c r="F664" i="5"/>
  <c r="E44" i="5"/>
  <c r="D38" i="5"/>
  <c r="C45" i="5"/>
  <c r="E41" i="5"/>
  <c r="C46" i="5"/>
  <c r="C42" i="5"/>
  <c r="E46" i="5"/>
  <c r="F41" i="5"/>
  <c r="V107" i="1"/>
  <c r="F49" i="5"/>
  <c r="V853" i="1"/>
  <c r="H305" i="5" s="1"/>
  <c r="D673" i="5"/>
  <c r="G313" i="5"/>
  <c r="U283" i="1"/>
  <c r="G105" i="5" s="1"/>
  <c r="E387" i="5"/>
  <c r="U921" i="1"/>
  <c r="G333" i="5" s="1"/>
  <c r="C673" i="5"/>
  <c r="F489" i="5"/>
  <c r="R364" i="1"/>
  <c r="S280" i="1"/>
  <c r="R240" i="1"/>
  <c r="Q283" i="1"/>
  <c r="C105" i="5" s="1"/>
  <c r="U260" i="1"/>
  <c r="T921" i="1"/>
  <c r="F333" i="5" s="1"/>
  <c r="D649" i="5"/>
  <c r="C669" i="5"/>
  <c r="F385" i="5"/>
  <c r="Q364" i="1"/>
  <c r="G646" i="5"/>
  <c r="G616" i="5"/>
  <c r="E615" i="5"/>
  <c r="E616" i="5"/>
  <c r="E646" i="5"/>
  <c r="G66" i="3"/>
  <c r="G664" i="5"/>
  <c r="E66" i="3"/>
  <c r="E664" i="5"/>
  <c r="T849" i="1"/>
  <c r="D43" i="5"/>
  <c r="G43" i="5"/>
  <c r="C38" i="5"/>
  <c r="G45" i="5"/>
  <c r="F44" i="5"/>
  <c r="D40" i="5"/>
  <c r="F42" i="5"/>
  <c r="F40" i="5"/>
  <c r="C41" i="5"/>
  <c r="F45" i="5"/>
  <c r="G40" i="5"/>
  <c r="E16" i="3"/>
  <c r="E114" i="5"/>
  <c r="F12" i="3"/>
  <c r="F70" i="5"/>
  <c r="C387" i="5"/>
  <c r="V852" i="1"/>
  <c r="H304" i="5" s="1"/>
  <c r="Q861" i="1"/>
  <c r="C303" i="5" s="1"/>
  <c r="C705" i="5"/>
  <c r="C706" i="5"/>
  <c r="C707" i="5"/>
  <c r="U240" i="1"/>
  <c r="E673" i="5"/>
  <c r="C649" i="5"/>
  <c r="G456" i="5"/>
  <c r="F387" i="5"/>
  <c r="D313" i="5"/>
  <c r="T364" i="1"/>
  <c r="R283" i="1"/>
  <c r="D105" i="5" s="1"/>
  <c r="R921" i="1"/>
  <c r="D333" i="5" s="1"/>
  <c r="F456" i="5"/>
  <c r="G321" i="5"/>
  <c r="G84" i="5"/>
  <c r="F704" i="5"/>
  <c r="G673" i="5"/>
  <c r="D491" i="5"/>
  <c r="C459" i="5"/>
  <c r="D387" i="5"/>
  <c r="G385" i="5"/>
  <c r="F320" i="5"/>
  <c r="F321" i="5"/>
  <c r="U456" i="1"/>
  <c r="Q416" i="1"/>
  <c r="C85" i="5"/>
  <c r="F667" i="5"/>
  <c r="D666" i="5"/>
  <c r="D456" i="5"/>
  <c r="D383" i="5"/>
  <c r="U364" i="1"/>
  <c r="T456" i="1"/>
  <c r="E84" i="5"/>
  <c r="C66" i="3"/>
  <c r="C664" i="5"/>
  <c r="F22" i="3"/>
  <c r="D22" i="3"/>
  <c r="E45" i="5"/>
  <c r="C44" i="5"/>
  <c r="E38" i="5"/>
  <c r="D46" i="5"/>
  <c r="C40" i="5"/>
  <c r="F60" i="3"/>
  <c r="F598" i="5"/>
  <c r="D16" i="3"/>
  <c r="D114" i="5"/>
  <c r="R344" i="1"/>
  <c r="S344" i="1"/>
  <c r="V850" i="1"/>
  <c r="H302" i="5" s="1"/>
  <c r="H269" i="5" s="1"/>
  <c r="S861" i="1"/>
  <c r="E303" i="5" s="1"/>
  <c r="E705" i="5"/>
  <c r="E706" i="5"/>
  <c r="E707" i="5"/>
  <c r="U861" i="1"/>
  <c r="G303" i="5" s="1"/>
  <c r="G705" i="5"/>
  <c r="G706" i="5"/>
  <c r="G707" i="5"/>
  <c r="T240" i="1"/>
  <c r="S921" i="1"/>
  <c r="E333" i="5" s="1"/>
  <c r="F669" i="5"/>
  <c r="C456" i="5"/>
  <c r="E459" i="5"/>
  <c r="G383" i="5"/>
  <c r="D321" i="5"/>
  <c r="F649" i="5"/>
  <c r="E669" i="5"/>
  <c r="F383" i="5"/>
  <c r="S364" i="1"/>
  <c r="T280" i="1"/>
  <c r="G489" i="5"/>
  <c r="C313" i="5"/>
  <c r="E649" i="5"/>
  <c r="D669" i="5"/>
  <c r="F612" i="5"/>
  <c r="E458" i="5"/>
  <c r="E383" i="5"/>
  <c r="D382" i="5"/>
  <c r="T260" i="1"/>
  <c r="F85" i="5"/>
  <c r="E386" i="5"/>
  <c r="R456" i="1"/>
  <c r="C84" i="5"/>
  <c r="G615" i="5"/>
  <c r="G669" i="5"/>
  <c r="G491" i="5"/>
  <c r="C491" i="5"/>
  <c r="E489" i="5"/>
  <c r="G387" i="5"/>
  <c r="G386" i="5"/>
  <c r="R280" i="1"/>
  <c r="Q240" i="1"/>
  <c r="D66" i="3"/>
  <c r="D664" i="5"/>
  <c r="G290" i="5"/>
  <c r="C463" i="5"/>
  <c r="D45" i="5"/>
  <c r="F38" i="5"/>
  <c r="G41" i="5"/>
  <c r="G42" i="5"/>
  <c r="F46" i="5"/>
  <c r="C43" i="5"/>
  <c r="E42" i="5"/>
  <c r="G315" i="5"/>
  <c r="R861" i="1"/>
  <c r="D303" i="5" s="1"/>
  <c r="D705" i="5"/>
  <c r="D706" i="5"/>
  <c r="D707" i="5"/>
  <c r="F674" i="5"/>
  <c r="G649" i="5"/>
  <c r="D489" i="5"/>
  <c r="E464" i="5"/>
  <c r="C383" i="5"/>
  <c r="S456" i="1"/>
  <c r="U280" i="1"/>
  <c r="C384" i="5"/>
  <c r="F82" i="5"/>
  <c r="C321" i="5"/>
  <c r="S240" i="1"/>
  <c r="E666" i="5"/>
  <c r="E456" i="5"/>
  <c r="G459" i="5"/>
  <c r="C385" i="5"/>
  <c r="T283" i="1"/>
  <c r="F105" i="5" s="1"/>
  <c r="Q456" i="1"/>
  <c r="F84" i="5"/>
  <c r="E497" i="5"/>
  <c r="E382" i="5"/>
  <c r="C615" i="5"/>
  <c r="D458" i="5"/>
  <c r="E313" i="5"/>
  <c r="S283" i="1"/>
  <c r="E105" i="5" s="1"/>
  <c r="G70" i="3"/>
  <c r="F70" i="3"/>
  <c r="V140" i="1"/>
  <c r="H52" i="5" s="1"/>
  <c r="O16" i="1"/>
  <c r="O24" i="1" s="1"/>
  <c r="V170" i="1"/>
  <c r="V172" i="1"/>
  <c r="V171" i="1"/>
  <c r="V175" i="1"/>
  <c r="V176" i="1"/>
  <c r="V145" i="1"/>
  <c r="H57" i="5" s="1"/>
  <c r="V139" i="1"/>
  <c r="H51" i="5" s="1"/>
  <c r="V164" i="1"/>
  <c r="V158" i="1"/>
  <c r="V161" i="1"/>
  <c r="V174" i="1"/>
  <c r="V141" i="1"/>
  <c r="H53" i="5" s="1"/>
  <c r="V144" i="1"/>
  <c r="H56" i="5" s="1"/>
  <c r="S77" i="1"/>
  <c r="S85" i="1" s="1"/>
  <c r="T116" i="1"/>
  <c r="V116" i="1" s="1"/>
  <c r="U159" i="1"/>
  <c r="U77" i="1"/>
  <c r="U85" i="1" s="1"/>
  <c r="U57" i="1"/>
  <c r="U65" i="1" s="1"/>
  <c r="U169" i="1"/>
  <c r="U177" i="1" s="1"/>
  <c r="R169" i="1"/>
  <c r="R177" i="1" s="1"/>
  <c r="R159" i="1"/>
  <c r="Q168" i="1"/>
  <c r="V168" i="1" s="1"/>
  <c r="T839" i="1"/>
  <c r="S57" i="1"/>
  <c r="S65" i="1" s="1"/>
  <c r="T57" i="1"/>
  <c r="T65" i="1" s="1"/>
  <c r="R77" i="1"/>
  <c r="R85" i="1" s="1"/>
  <c r="Q159" i="1"/>
  <c r="R138" i="1"/>
  <c r="R86" i="1" s="1"/>
  <c r="D48" i="5" s="1"/>
  <c r="V2216" i="1"/>
  <c r="T159" i="1"/>
  <c r="S159" i="1"/>
  <c r="R57" i="1"/>
  <c r="Q138" i="1"/>
  <c r="Q86" i="1" s="1"/>
  <c r="C48" i="5" s="1"/>
  <c r="L169" i="1"/>
  <c r="L177" i="1" s="1"/>
  <c r="Q173" i="1"/>
  <c r="Q169" i="1" s="1"/>
  <c r="O1436" i="1"/>
  <c r="O1444" i="1" s="1"/>
  <c r="T1440" i="1"/>
  <c r="V1440" i="1" s="1"/>
  <c r="M16" i="1"/>
  <c r="M24" i="1" s="1"/>
  <c r="R22" i="1"/>
  <c r="R16" i="1" s="1"/>
  <c r="R24" i="1" s="1"/>
  <c r="T857" i="1"/>
  <c r="F309" i="5" s="1"/>
  <c r="F276" i="5" s="1"/>
  <c r="T169" i="1"/>
  <c r="T177" i="1" s="1"/>
  <c r="S169" i="1"/>
  <c r="S177" i="1" s="1"/>
  <c r="T77" i="1"/>
  <c r="T85" i="1" s="1"/>
  <c r="Q57" i="1"/>
  <c r="Q65" i="1" s="1"/>
  <c r="P16" i="1"/>
  <c r="P24" i="1" s="1"/>
  <c r="U18" i="1"/>
  <c r="U16" i="1" s="1"/>
  <c r="Q77" i="1"/>
  <c r="Q85" i="1" s="1"/>
  <c r="S138" i="1"/>
  <c r="E50" i="5" s="1"/>
  <c r="U138" i="1"/>
  <c r="T138" i="1"/>
  <c r="T146" i="1" s="1"/>
  <c r="V165" i="1"/>
  <c r="V166" i="1"/>
  <c r="V162" i="1"/>
  <c r="V160" i="1"/>
  <c r="V60" i="1"/>
  <c r="M1436" i="1"/>
  <c r="M1444" i="1" s="1"/>
  <c r="V20" i="1"/>
  <c r="V52" i="1"/>
  <c r="O851" i="1"/>
  <c r="O859" i="1" s="1"/>
  <c r="V17" i="1"/>
  <c r="V23" i="1"/>
  <c r="V7" i="1"/>
  <c r="V19" i="1"/>
  <c r="V64" i="1"/>
  <c r="V50" i="1"/>
  <c r="O865" i="1"/>
  <c r="O1193" i="1" s="1"/>
  <c r="V856" i="1"/>
  <c r="H308" i="5" s="1"/>
  <c r="V53" i="1"/>
  <c r="V13" i="1"/>
  <c r="T16" i="1"/>
  <c r="T24" i="1" s="1"/>
  <c r="V256" i="1"/>
  <c r="V48" i="1"/>
  <c r="V62" i="1"/>
  <c r="V9" i="1"/>
  <c r="V63" i="1"/>
  <c r="V54" i="1"/>
  <c r="V8" i="1"/>
  <c r="V59" i="1"/>
  <c r="U6" i="1"/>
  <c r="V76" i="1"/>
  <c r="V51" i="1"/>
  <c r="V46" i="1"/>
  <c r="V49" i="1"/>
  <c r="V58" i="1"/>
  <c r="V2081" i="1"/>
  <c r="V340" i="1"/>
  <c r="S6" i="1"/>
  <c r="R6" i="1"/>
  <c r="V12" i="1"/>
  <c r="V2073" i="1"/>
  <c r="V96" i="1"/>
  <c r="V314" i="1"/>
  <c r="H116" i="5" s="1"/>
  <c r="V128" i="1"/>
  <c r="V5" i="1"/>
  <c r="V136" i="1"/>
  <c r="P1436" i="1"/>
  <c r="P1444" i="1" s="1"/>
  <c r="U15" i="1"/>
  <c r="V83" i="1"/>
  <c r="V1110" i="1"/>
  <c r="V1173" i="1"/>
  <c r="V2117" i="1"/>
  <c r="N1436" i="1"/>
  <c r="N1444" i="1" s="1"/>
  <c r="V1315" i="1"/>
  <c r="H417" i="5" s="1"/>
  <c r="V2055" i="1"/>
  <c r="H637" i="5" s="1"/>
  <c r="V1366" i="1"/>
  <c r="V1130" i="1"/>
  <c r="V152" i="1"/>
  <c r="V1046" i="1"/>
  <c r="V190" i="1"/>
  <c r="V408" i="1"/>
  <c r="V1066" i="1"/>
  <c r="V1134" i="1"/>
  <c r="V1126" i="1"/>
  <c r="V80" i="1"/>
  <c r="V1417" i="1"/>
  <c r="V1234" i="1"/>
  <c r="V402" i="1"/>
  <c r="V1471" i="1"/>
  <c r="H483" i="5" s="1"/>
  <c r="V1120" i="1"/>
  <c r="V236" i="1"/>
  <c r="V287" i="1"/>
  <c r="V252" i="1"/>
  <c r="L16" i="1"/>
  <c r="L24" i="1" s="1"/>
  <c r="V2101" i="1"/>
  <c r="V226" i="1"/>
  <c r="V360" i="1"/>
  <c r="V1258" i="1"/>
  <c r="V1250" i="1"/>
  <c r="V2020" i="1"/>
  <c r="V1230" i="1"/>
  <c r="V913" i="1"/>
  <c r="V336" i="1"/>
  <c r="V1386" i="1"/>
  <c r="V98" i="1"/>
  <c r="V1407" i="1"/>
  <c r="V825" i="1"/>
  <c r="V1499" i="1"/>
  <c r="H501" i="5" s="1"/>
  <c r="V2083" i="1"/>
  <c r="V1080" i="1"/>
  <c r="V875" i="1"/>
  <c r="V2034" i="1"/>
  <c r="V1254" i="1"/>
  <c r="V297" i="1"/>
  <c r="N16" i="1"/>
  <c r="N24" i="1" s="1"/>
  <c r="V2103" i="1"/>
  <c r="V448" i="1"/>
  <c r="V214" i="1"/>
  <c r="H76" i="5" s="1"/>
  <c r="V346" i="1"/>
  <c r="V301" i="1"/>
  <c r="V293" i="1"/>
  <c r="V2028" i="1"/>
  <c r="V1104" i="1"/>
  <c r="V1096" i="1"/>
  <c r="V1421" i="1"/>
  <c r="V1413" i="1"/>
  <c r="V222" i="1"/>
  <c r="V1050" i="1"/>
  <c r="V276" i="1"/>
  <c r="V1346" i="1"/>
  <c r="V855" i="1"/>
  <c r="V2097" i="1"/>
  <c r="V917" i="1"/>
  <c r="H329" i="5" s="1"/>
  <c r="V1100" i="1"/>
  <c r="V442" i="1"/>
  <c r="V1060" i="1"/>
  <c r="V2111" i="1"/>
  <c r="V1094" i="1"/>
  <c r="V1086" i="1"/>
  <c r="V845" i="1"/>
  <c r="V1169" i="1"/>
  <c r="V354" i="1"/>
  <c r="V879" i="1"/>
  <c r="V871" i="1"/>
  <c r="V1090" i="1"/>
  <c r="V1213" i="1"/>
  <c r="V2038" i="1"/>
  <c r="V2030" i="1"/>
  <c r="V200" i="1"/>
  <c r="V311" i="1"/>
  <c r="V303" i="1"/>
  <c r="V1268" i="1"/>
  <c r="V1260" i="1"/>
  <c r="V156" i="1"/>
  <c r="V148" i="1"/>
  <c r="V2087" i="1"/>
  <c r="V1264" i="1"/>
  <c r="V412" i="1"/>
  <c r="V2107" i="1"/>
  <c r="V835" i="1"/>
  <c r="V2024" i="1"/>
  <c r="V1070" i="1"/>
  <c r="V438" i="1"/>
  <c r="V452" i="1"/>
  <c r="V1467" i="1"/>
  <c r="V1475" i="1"/>
  <c r="V232" i="1"/>
  <c r="V356" i="1"/>
  <c r="V11" i="1"/>
  <c r="V2093" i="1"/>
  <c r="V218" i="1"/>
  <c r="V210" i="1"/>
  <c r="V432" i="1"/>
  <c r="V398" i="1"/>
  <c r="L1444" i="1"/>
  <c r="V422" i="1"/>
  <c r="V1056" i="1"/>
  <c r="V1084" i="1"/>
  <c r="V1076" i="1"/>
  <c r="V831" i="1"/>
  <c r="V79" i="1"/>
  <c r="V84" i="1"/>
  <c r="V82" i="1"/>
  <c r="V78" i="1"/>
  <c r="V67" i="1"/>
  <c r="V163" i="1"/>
  <c r="V108" i="1"/>
  <c r="V118" i="1"/>
  <c r="V56" i="1"/>
  <c r="V61" i="1"/>
  <c r="V75" i="1"/>
  <c r="V126" i="1"/>
  <c r="V106" i="1"/>
  <c r="H164" i="5" l="1"/>
  <c r="H538" i="5"/>
  <c r="G542" i="5"/>
  <c r="Q1670" i="1"/>
  <c r="V1670" i="1" s="1"/>
  <c r="F542" i="5"/>
  <c r="D534" i="5"/>
  <c r="D490" i="5" s="1"/>
  <c r="D102" i="5"/>
  <c r="H98" i="5"/>
  <c r="G102" i="5"/>
  <c r="F102" i="5"/>
  <c r="E102" i="5"/>
  <c r="Q1350" i="1"/>
  <c r="D124" i="5"/>
  <c r="T510" i="1"/>
  <c r="C124" i="5"/>
  <c r="S510" i="1"/>
  <c r="E124" i="5"/>
  <c r="U510" i="1"/>
  <c r="D132" i="5"/>
  <c r="V330" i="1"/>
  <c r="H132" i="5" s="1"/>
  <c r="V1342" i="1"/>
  <c r="E477" i="5"/>
  <c r="E49" i="3"/>
  <c r="H325" i="5"/>
  <c r="V911" i="1"/>
  <c r="C391" i="5"/>
  <c r="T1003" i="1"/>
  <c r="V1003" i="1" s="1"/>
  <c r="V995" i="1"/>
  <c r="E34" i="5"/>
  <c r="E23" i="5" s="1"/>
  <c r="C512" i="5"/>
  <c r="V1530" i="1"/>
  <c r="Q1528" i="1"/>
  <c r="C510" i="5" s="1"/>
  <c r="H659" i="5"/>
  <c r="H648" i="5" s="1"/>
  <c r="H273" i="5"/>
  <c r="H277" i="5"/>
  <c r="H142" i="5"/>
  <c r="G270" i="5"/>
  <c r="E270" i="5"/>
  <c r="E366" i="5"/>
  <c r="E322" i="5" s="1"/>
  <c r="D270" i="5"/>
  <c r="H272" i="5"/>
  <c r="H271" i="5"/>
  <c r="C146" i="5"/>
  <c r="H138" i="5"/>
  <c r="E146" i="5"/>
  <c r="D146" i="5"/>
  <c r="F146" i="5"/>
  <c r="G146" i="5"/>
  <c r="V42" i="1"/>
  <c r="P325" i="1"/>
  <c r="P333" i="1" s="1"/>
  <c r="U329" i="1"/>
  <c r="L325" i="1"/>
  <c r="L333" i="1" s="1"/>
  <c r="Q329" i="1"/>
  <c r="Q325" i="1" s="1"/>
  <c r="Q333" i="1" s="1"/>
  <c r="M325" i="1"/>
  <c r="M333" i="1" s="1"/>
  <c r="R329" i="1"/>
  <c r="C133" i="5"/>
  <c r="V331" i="1"/>
  <c r="H133" i="5" s="1"/>
  <c r="F366" i="5"/>
  <c r="N36" i="1"/>
  <c r="S41" i="1"/>
  <c r="S36" i="1" s="1"/>
  <c r="S44" i="1" s="1"/>
  <c r="T993" i="1"/>
  <c r="V993" i="1" s="1"/>
  <c r="V985" i="1"/>
  <c r="N325" i="1"/>
  <c r="N333" i="1" s="1"/>
  <c r="S329" i="1"/>
  <c r="T983" i="1"/>
  <c r="F345" i="5" s="1"/>
  <c r="M36" i="1"/>
  <c r="R41" i="1"/>
  <c r="O325" i="1"/>
  <c r="O333" i="1" s="1"/>
  <c r="T329" i="1"/>
  <c r="F199" i="5"/>
  <c r="G366" i="5"/>
  <c r="G322" i="5" s="1"/>
  <c r="D366" i="5"/>
  <c r="D322" i="5" s="1"/>
  <c r="E432" i="5"/>
  <c r="E388" i="5" s="1"/>
  <c r="H362" i="5"/>
  <c r="C200" i="5"/>
  <c r="V1023" i="1"/>
  <c r="D200" i="5"/>
  <c r="F200" i="5"/>
  <c r="G200" i="5"/>
  <c r="V446" i="1"/>
  <c r="V1116" i="1"/>
  <c r="Q1124" i="1"/>
  <c r="C366" i="5" s="1"/>
  <c r="C322" i="5" s="1"/>
  <c r="T1044" i="1"/>
  <c r="F358" i="5"/>
  <c r="F314" i="5" s="1"/>
  <c r="Q1044" i="1"/>
  <c r="C356" i="5" s="1"/>
  <c r="C358" i="5"/>
  <c r="C314" i="5" s="1"/>
  <c r="D358" i="5"/>
  <c r="D314" i="5" s="1"/>
  <c r="R1044" i="1"/>
  <c r="R910" i="1" s="1"/>
  <c r="D312" i="5" s="1"/>
  <c r="U1044" i="1"/>
  <c r="G38" i="3" s="1"/>
  <c r="G358" i="5"/>
  <c r="G314" i="5" s="1"/>
  <c r="S1044" i="1"/>
  <c r="E356" i="5" s="1"/>
  <c r="E358" i="5"/>
  <c r="E314" i="5" s="1"/>
  <c r="D345" i="5"/>
  <c r="Q819" i="1"/>
  <c r="C33" i="3" s="1"/>
  <c r="G432" i="5"/>
  <c r="G388" i="5" s="1"/>
  <c r="C35" i="3"/>
  <c r="C620" i="5"/>
  <c r="Q2007" i="1"/>
  <c r="C609" i="5" s="1"/>
  <c r="C576" i="5"/>
  <c r="Q1842" i="1"/>
  <c r="C56" i="3" s="1"/>
  <c r="C42" i="3"/>
  <c r="C432" i="5"/>
  <c r="F432" i="5"/>
  <c r="T1842" i="1"/>
  <c r="F56" i="3" s="1"/>
  <c r="G520" i="5"/>
  <c r="D432" i="5"/>
  <c r="D388" i="5" s="1"/>
  <c r="H428" i="5"/>
  <c r="Q1740" i="1"/>
  <c r="Q1720" i="1"/>
  <c r="V1712" i="1"/>
  <c r="F520" i="5"/>
  <c r="G556" i="5"/>
  <c r="U1842" i="1"/>
  <c r="G56" i="3" s="1"/>
  <c r="G499" i="5"/>
  <c r="H150" i="5"/>
  <c r="T1486" i="1"/>
  <c r="F50" i="3" s="1"/>
  <c r="F59" i="3"/>
  <c r="R1842" i="1"/>
  <c r="D56" i="3" s="1"/>
  <c r="C389" i="5"/>
  <c r="F52" i="3"/>
  <c r="U2007" i="1"/>
  <c r="S1842" i="1"/>
  <c r="E554" i="5" s="1"/>
  <c r="R1486" i="1"/>
  <c r="U1486" i="1"/>
  <c r="G488" i="5" s="1"/>
  <c r="H512" i="5"/>
  <c r="C468" i="5"/>
  <c r="C457" i="5" s="1"/>
  <c r="D468" i="5"/>
  <c r="D457" i="5" s="1"/>
  <c r="R1434" i="1"/>
  <c r="V1538" i="1"/>
  <c r="C520" i="5"/>
  <c r="C51" i="3"/>
  <c r="R2007" i="1"/>
  <c r="T2007" i="1"/>
  <c r="G468" i="5"/>
  <c r="G457" i="5" s="1"/>
  <c r="U1434" i="1"/>
  <c r="E468" i="5"/>
  <c r="E457" i="5" s="1"/>
  <c r="S1434" i="1"/>
  <c r="V1700" i="1"/>
  <c r="V1588" i="1"/>
  <c r="S2007" i="1"/>
  <c r="E556" i="5"/>
  <c r="G564" i="5"/>
  <c r="V30" i="1"/>
  <c r="H32" i="5" s="1"/>
  <c r="C499" i="5"/>
  <c r="F556" i="5"/>
  <c r="H557" i="5"/>
  <c r="H561" i="5"/>
  <c r="C564" i="5"/>
  <c r="V1507" i="1"/>
  <c r="H509" i="5" s="1"/>
  <c r="F564" i="5"/>
  <c r="H562" i="5"/>
  <c r="H559" i="5"/>
  <c r="D556" i="5"/>
  <c r="H558" i="5"/>
  <c r="H563" i="5"/>
  <c r="D564" i="5"/>
  <c r="V208" i="1"/>
  <c r="R26" i="1"/>
  <c r="R34" i="1" s="1"/>
  <c r="T6" i="1"/>
  <c r="T14" i="1" s="1"/>
  <c r="F587" i="5"/>
  <c r="E42" i="3"/>
  <c r="T26" i="1"/>
  <c r="T34" i="1" s="1"/>
  <c r="O1189" i="1"/>
  <c r="O1197" i="1" s="1"/>
  <c r="T1193" i="1"/>
  <c r="F395" i="5" s="1"/>
  <c r="Q1197" i="1"/>
  <c r="C399" i="5" s="1"/>
  <c r="H402" i="5"/>
  <c r="D42" i="3"/>
  <c r="H406" i="5"/>
  <c r="D598" i="5"/>
  <c r="E59" i="3"/>
  <c r="F32" i="5"/>
  <c r="F21" i="5" s="1"/>
  <c r="Q26" i="1"/>
  <c r="Q34" i="1" s="1"/>
  <c r="U26" i="1"/>
  <c r="U34" i="1" s="1"/>
  <c r="G27" i="5"/>
  <c r="G16" i="5" s="1"/>
  <c r="G35" i="5"/>
  <c r="G24" i="5" s="1"/>
  <c r="V28" i="1"/>
  <c r="V31" i="1"/>
  <c r="G653" i="5"/>
  <c r="V33" i="1"/>
  <c r="H35" i="5" s="1"/>
  <c r="C29" i="5"/>
  <c r="C18" i="5" s="1"/>
  <c r="C7" i="5" s="1"/>
  <c r="E28" i="3"/>
  <c r="E246" i="5"/>
  <c r="V32" i="1"/>
  <c r="V27" i="1"/>
  <c r="H29" i="5" s="1"/>
  <c r="V25" i="1"/>
  <c r="E27" i="5"/>
  <c r="E16" i="5" s="1"/>
  <c r="S26" i="1"/>
  <c r="S34" i="1" s="1"/>
  <c r="C126" i="5"/>
  <c r="C82" i="5" s="1"/>
  <c r="V324" i="1"/>
  <c r="H126" i="5" s="1"/>
  <c r="H82" i="5" s="1"/>
  <c r="F27" i="5"/>
  <c r="F16" i="5" s="1"/>
  <c r="V29" i="1"/>
  <c r="H31" i="5" s="1"/>
  <c r="E35" i="3"/>
  <c r="F42" i="3"/>
  <c r="G22" i="3"/>
  <c r="H64" i="5"/>
  <c r="H68" i="5"/>
  <c r="E653" i="5"/>
  <c r="H62" i="5"/>
  <c r="E61" i="5"/>
  <c r="S157" i="1"/>
  <c r="D61" i="5"/>
  <c r="R157" i="1"/>
  <c r="H63" i="5"/>
  <c r="E345" i="5"/>
  <c r="C58" i="3"/>
  <c r="V35" i="1"/>
  <c r="F61" i="5"/>
  <c r="T157" i="1"/>
  <c r="F653" i="5"/>
  <c r="C65" i="5"/>
  <c r="C21" i="5" s="1"/>
  <c r="G61" i="5"/>
  <c r="U157" i="1"/>
  <c r="C60" i="5"/>
  <c r="C16" i="5" s="1"/>
  <c r="D27" i="5"/>
  <c r="D16" i="5" s="1"/>
  <c r="H67" i="5"/>
  <c r="D34" i="5"/>
  <c r="D23" i="5" s="1"/>
  <c r="H54" i="5"/>
  <c r="H60" i="5"/>
  <c r="D653" i="5"/>
  <c r="G30" i="5"/>
  <c r="G19" i="5" s="1"/>
  <c r="G8" i="5" s="1"/>
  <c r="F631" i="5"/>
  <c r="D422" i="5"/>
  <c r="C587" i="5"/>
  <c r="D652" i="5"/>
  <c r="Q2070" i="1"/>
  <c r="C64" i="3" s="1"/>
  <c r="C653" i="5"/>
  <c r="G652" i="5"/>
  <c r="C652" i="5"/>
  <c r="E652" i="5"/>
  <c r="F652" i="5"/>
  <c r="D587" i="5"/>
  <c r="D62" i="3"/>
  <c r="F490" i="5"/>
  <c r="R1720" i="1"/>
  <c r="D542" i="5" s="1"/>
  <c r="G42" i="3"/>
  <c r="D510" i="5"/>
  <c r="D64" i="3"/>
  <c r="E44" i="3"/>
  <c r="G620" i="5"/>
  <c r="G63" i="3"/>
  <c r="E26" i="3"/>
  <c r="D51" i="3"/>
  <c r="C60" i="3"/>
  <c r="V1074" i="1"/>
  <c r="G598" i="5"/>
  <c r="G52" i="3"/>
  <c r="E510" i="5"/>
  <c r="G60" i="3"/>
  <c r="F510" i="5"/>
  <c r="G510" i="5"/>
  <c r="G41" i="3"/>
  <c r="U1166" i="1"/>
  <c r="G378" i="5" s="1"/>
  <c r="S1166" i="1"/>
  <c r="E378" i="5" s="1"/>
  <c r="R819" i="1"/>
  <c r="S819" i="1"/>
  <c r="D631" i="5"/>
  <c r="E70" i="5"/>
  <c r="D389" i="5"/>
  <c r="R1166" i="1"/>
  <c r="D378" i="5" s="1"/>
  <c r="U819" i="1"/>
  <c r="G58" i="3"/>
  <c r="G422" i="5"/>
  <c r="G587" i="5"/>
  <c r="H582" i="5"/>
  <c r="D576" i="5"/>
  <c r="E586" i="5"/>
  <c r="E564" i="5" s="1"/>
  <c r="C334" i="5"/>
  <c r="E57" i="3"/>
  <c r="D26" i="3"/>
  <c r="D565" i="5"/>
  <c r="F576" i="5"/>
  <c r="D57" i="3"/>
  <c r="C57" i="3"/>
  <c r="F57" i="3"/>
  <c r="F65" i="3"/>
  <c r="G224" i="5"/>
  <c r="E631" i="5"/>
  <c r="F64" i="3"/>
  <c r="C345" i="5"/>
  <c r="H155" i="5"/>
  <c r="H156" i="5"/>
  <c r="D213" i="5"/>
  <c r="E213" i="5"/>
  <c r="F213" i="5"/>
  <c r="G25" i="3"/>
  <c r="E31" i="3"/>
  <c r="G31" i="3"/>
  <c r="G490" i="5"/>
  <c r="E499" i="5"/>
  <c r="E620" i="5"/>
  <c r="V416" i="1"/>
  <c r="E52" i="3"/>
  <c r="D31" i="3"/>
  <c r="G433" i="5"/>
  <c r="C477" i="5"/>
  <c r="D65" i="3"/>
  <c r="C631" i="5"/>
  <c r="D25" i="3"/>
  <c r="F26" i="3"/>
  <c r="C44" i="3"/>
  <c r="C62" i="3"/>
  <c r="F25" i="3"/>
  <c r="V2091" i="1"/>
  <c r="G65" i="3"/>
  <c r="C169" i="5"/>
  <c r="D28" i="3"/>
  <c r="G213" i="5"/>
  <c r="E25" i="3"/>
  <c r="G16" i="3"/>
  <c r="E64" i="3"/>
  <c r="V2039" i="1"/>
  <c r="H63" i="3" s="1"/>
  <c r="E20" i="5"/>
  <c r="C70" i="5"/>
  <c r="V1299" i="1"/>
  <c r="H411" i="5" s="1"/>
  <c r="H151" i="5"/>
  <c r="F136" i="5"/>
  <c r="G136" i="5"/>
  <c r="C114" i="5"/>
  <c r="Q1444" i="1"/>
  <c r="F620" i="5"/>
  <c r="Q1434" i="1"/>
  <c r="D433" i="5"/>
  <c r="F62" i="3"/>
  <c r="E433" i="5"/>
  <c r="H645" i="5"/>
  <c r="E65" i="3"/>
  <c r="V932" i="1"/>
  <c r="H36" i="3" s="1"/>
  <c r="H626" i="5"/>
  <c r="E39" i="5"/>
  <c r="C19" i="5"/>
  <c r="C8" i="5" s="1"/>
  <c r="G92" i="5"/>
  <c r="E576" i="5"/>
  <c r="V1064" i="1"/>
  <c r="F433" i="5"/>
  <c r="H439" i="5"/>
  <c r="F21" i="3"/>
  <c r="H604" i="5"/>
  <c r="G18" i="5"/>
  <c r="G7" i="5" s="1"/>
  <c r="F422" i="5"/>
  <c r="F44" i="3"/>
  <c r="E24" i="5"/>
  <c r="V260" i="1"/>
  <c r="D41" i="3"/>
  <c r="E389" i="5"/>
  <c r="F499" i="5"/>
  <c r="E598" i="5"/>
  <c r="E180" i="5"/>
  <c r="V1238" i="1"/>
  <c r="H410" i="5" s="1"/>
  <c r="D35" i="3"/>
  <c r="G389" i="5"/>
  <c r="F323" i="5"/>
  <c r="E41" i="3"/>
  <c r="C45" i="3"/>
  <c r="G565" i="5"/>
  <c r="D461" i="5"/>
  <c r="F18" i="5"/>
  <c r="F7" i="5" s="1"/>
  <c r="D70" i="5"/>
  <c r="G345" i="5"/>
  <c r="G64" i="3"/>
  <c r="F171" i="5"/>
  <c r="V921" i="1"/>
  <c r="H333" i="5" s="1"/>
  <c r="D18" i="5"/>
  <c r="D7" i="5" s="1"/>
  <c r="C300" i="5"/>
  <c r="D19" i="5"/>
  <c r="D8" i="5" s="1"/>
  <c r="C20" i="5"/>
  <c r="G300" i="5"/>
  <c r="F300" i="5"/>
  <c r="E300" i="5"/>
  <c r="D300" i="5"/>
  <c r="H600" i="5"/>
  <c r="H593" i="5"/>
  <c r="C179" i="5"/>
  <c r="D334" i="5"/>
  <c r="D36" i="3"/>
  <c r="H175" i="5"/>
  <c r="E334" i="5"/>
  <c r="E36" i="3"/>
  <c r="E411" i="5"/>
  <c r="E43" i="3"/>
  <c r="F334" i="5"/>
  <c r="F36" i="3"/>
  <c r="H109" i="5"/>
  <c r="V188" i="1"/>
  <c r="H72" i="5"/>
  <c r="C462" i="5"/>
  <c r="G463" i="5"/>
  <c r="G171" i="5"/>
  <c r="E171" i="5"/>
  <c r="F411" i="5"/>
  <c r="F43" i="3"/>
  <c r="H296" i="5"/>
  <c r="D171" i="5"/>
  <c r="E18" i="5"/>
  <c r="E7" i="5" s="1"/>
  <c r="G411" i="5"/>
  <c r="G43" i="3"/>
  <c r="G334" i="5"/>
  <c r="G36" i="3"/>
  <c r="T1436" i="1"/>
  <c r="F472" i="5"/>
  <c r="F461" i="5" s="1"/>
  <c r="S1444" i="1"/>
  <c r="E476" i="5" s="1"/>
  <c r="E465" i="5" s="1"/>
  <c r="U1444" i="1"/>
  <c r="G476" i="5" s="1"/>
  <c r="G465" i="5" s="1"/>
  <c r="R1444" i="1"/>
  <c r="D476" i="5" s="1"/>
  <c r="D465" i="5" s="1"/>
  <c r="V344" i="1"/>
  <c r="F114" i="5"/>
  <c r="V283" i="1"/>
  <c r="H105" i="5" s="1"/>
  <c r="F319" i="5"/>
  <c r="F198" i="5" s="1"/>
  <c r="V364" i="1"/>
  <c r="G618" i="5"/>
  <c r="C315" i="5"/>
  <c r="H665" i="5"/>
  <c r="H674" i="5"/>
  <c r="F20" i="5"/>
  <c r="H45" i="5"/>
  <c r="E19" i="5"/>
  <c r="E8" i="5" s="1"/>
  <c r="F19" i="5"/>
  <c r="F8" i="5" s="1"/>
  <c r="G22" i="5"/>
  <c r="V240" i="1"/>
  <c r="E169" i="5"/>
  <c r="C320" i="5"/>
  <c r="G20" i="5"/>
  <c r="E319" i="5"/>
  <c r="E198" i="5" s="1"/>
  <c r="E21" i="5"/>
  <c r="D50" i="5"/>
  <c r="G23" i="5"/>
  <c r="H44" i="5"/>
  <c r="G382" i="5"/>
  <c r="F381" i="5"/>
  <c r="C382" i="5"/>
  <c r="F23" i="5"/>
  <c r="C24" i="5"/>
  <c r="D21" i="5"/>
  <c r="H614" i="5"/>
  <c r="V456" i="1"/>
  <c r="C39" i="5"/>
  <c r="D381" i="5"/>
  <c r="D20" i="5"/>
  <c r="H41" i="5"/>
  <c r="C381" i="5"/>
  <c r="C380" i="5"/>
  <c r="C379" i="5"/>
  <c r="C192" i="5" s="1"/>
  <c r="F462" i="5"/>
  <c r="E136" i="5"/>
  <c r="E18" i="3"/>
  <c r="F610" i="5"/>
  <c r="F290" i="5"/>
  <c r="C672" i="5"/>
  <c r="F497" i="5"/>
  <c r="F318" i="5"/>
  <c r="E380" i="5"/>
  <c r="H669" i="5"/>
  <c r="F50" i="5"/>
  <c r="D615" i="5"/>
  <c r="D616" i="5"/>
  <c r="D646" i="5"/>
  <c r="D39" i="5"/>
  <c r="F69" i="3"/>
  <c r="F697" i="5"/>
  <c r="C651" i="5"/>
  <c r="C671" i="5"/>
  <c r="E92" i="5"/>
  <c r="D290" i="5"/>
  <c r="H383" i="5"/>
  <c r="H382" i="5"/>
  <c r="H38" i="5"/>
  <c r="H46" i="5"/>
  <c r="H40" i="5"/>
  <c r="G39" i="5"/>
  <c r="T167" i="1"/>
  <c r="F69" i="5" s="1"/>
  <c r="Q167" i="1"/>
  <c r="E650" i="5"/>
  <c r="E610" i="5"/>
  <c r="E651" i="5"/>
  <c r="E671" i="5"/>
  <c r="R869" i="1"/>
  <c r="D311" i="5" s="1"/>
  <c r="D703" i="5"/>
  <c r="D702" i="5"/>
  <c r="G21" i="5"/>
  <c r="H667" i="5"/>
  <c r="H458" i="5"/>
  <c r="F618" i="5"/>
  <c r="D315" i="5"/>
  <c r="C670" i="5"/>
  <c r="F28" i="3"/>
  <c r="G28" i="3"/>
  <c r="G320" i="5"/>
  <c r="G199" i="5" s="1"/>
  <c r="D464" i="5"/>
  <c r="C318" i="5"/>
  <c r="C197" i="5" s="1"/>
  <c r="C319" i="5"/>
  <c r="G323" i="5"/>
  <c r="C23" i="5"/>
  <c r="F24" i="5"/>
  <c r="E321" i="5"/>
  <c r="E200" i="5" s="1"/>
  <c r="G497" i="5"/>
  <c r="F611" i="5"/>
  <c r="F619" i="5"/>
  <c r="C612" i="5"/>
  <c r="H460" i="5"/>
  <c r="H385" i="5"/>
  <c r="C50" i="5"/>
  <c r="G54" i="3"/>
  <c r="G532" i="5"/>
  <c r="H666" i="5"/>
  <c r="S167" i="1"/>
  <c r="E69" i="5" s="1"/>
  <c r="V839" i="1"/>
  <c r="R167" i="1"/>
  <c r="D69" i="5" s="1"/>
  <c r="G69" i="3"/>
  <c r="G697" i="5"/>
  <c r="S281" i="1"/>
  <c r="S291" i="1"/>
  <c r="E113" i="5" s="1"/>
  <c r="H85" i="5"/>
  <c r="D379" i="5"/>
  <c r="D192" i="5" s="1"/>
  <c r="H649" i="5"/>
  <c r="H43" i="5"/>
  <c r="H42" i="5"/>
  <c r="U86" i="1"/>
  <c r="G48" i="5" s="1"/>
  <c r="G50" i="5"/>
  <c r="T851" i="1"/>
  <c r="F668" i="5"/>
  <c r="F39" i="5"/>
  <c r="H70" i="3"/>
  <c r="H708" i="5"/>
  <c r="G650" i="5"/>
  <c r="G610" i="5"/>
  <c r="U167" i="1"/>
  <c r="G69" i="5" s="1"/>
  <c r="F31" i="3"/>
  <c r="G671" i="5"/>
  <c r="G651" i="5"/>
  <c r="T291" i="1"/>
  <c r="F113" i="5" s="1"/>
  <c r="T281" i="1"/>
  <c r="C290" i="5"/>
  <c r="H704" i="5"/>
  <c r="H86" i="5"/>
  <c r="C618" i="5"/>
  <c r="D320" i="5"/>
  <c r="D199" i="5" s="1"/>
  <c r="U869" i="1"/>
  <c r="G311" i="5" s="1"/>
  <c r="G703" i="5"/>
  <c r="G702" i="5"/>
  <c r="S869" i="1"/>
  <c r="E311" i="5" s="1"/>
  <c r="E702" i="5"/>
  <c r="E703" i="5"/>
  <c r="F463" i="5"/>
  <c r="E618" i="5"/>
  <c r="R291" i="1"/>
  <c r="D113" i="5" s="1"/>
  <c r="R281" i="1"/>
  <c r="E315" i="5"/>
  <c r="E672" i="5"/>
  <c r="C136" i="5"/>
  <c r="C18" i="3"/>
  <c r="D136" i="5"/>
  <c r="D18" i="3"/>
  <c r="E462" i="5"/>
  <c r="G317" i="5"/>
  <c r="G196" i="5" s="1"/>
  <c r="H456" i="5"/>
  <c r="H84" i="5"/>
  <c r="E612" i="5"/>
  <c r="E611" i="5"/>
  <c r="G612" i="5"/>
  <c r="G611" i="5"/>
  <c r="E320" i="5"/>
  <c r="E199" i="5" s="1"/>
  <c r="C611" i="5"/>
  <c r="U281" i="1"/>
  <c r="U291" i="1"/>
  <c r="G113" i="5" s="1"/>
  <c r="D618" i="5"/>
  <c r="D319" i="5"/>
  <c r="D198" i="5" s="1"/>
  <c r="D318" i="5"/>
  <c r="G619" i="5"/>
  <c r="E463" i="5"/>
  <c r="F54" i="3"/>
  <c r="F532" i="5"/>
  <c r="D670" i="5"/>
  <c r="D651" i="5"/>
  <c r="D671" i="5"/>
  <c r="G379" i="5"/>
  <c r="G192" i="5" s="1"/>
  <c r="C464" i="5"/>
  <c r="G462" i="5"/>
  <c r="F58" i="5"/>
  <c r="F379" i="5"/>
  <c r="F192" i="5" s="1"/>
  <c r="G381" i="5"/>
  <c r="G194" i="5" s="1"/>
  <c r="H613" i="5"/>
  <c r="C22" i="3"/>
  <c r="C180" i="5"/>
  <c r="G672" i="5"/>
  <c r="D497" i="5"/>
  <c r="E381" i="5"/>
  <c r="H313" i="5"/>
  <c r="H386" i="5"/>
  <c r="F315" i="5"/>
  <c r="F382" i="5"/>
  <c r="D92" i="5"/>
  <c r="F92" i="5"/>
  <c r="Q869" i="1"/>
  <c r="C311" i="5" s="1"/>
  <c r="C702" i="5"/>
  <c r="C703" i="5"/>
  <c r="E317" i="5"/>
  <c r="E196" i="5" s="1"/>
  <c r="F650" i="5"/>
  <c r="G12" i="3"/>
  <c r="G70" i="5"/>
  <c r="D462" i="5"/>
  <c r="D463" i="5"/>
  <c r="F22" i="5"/>
  <c r="H647" i="5"/>
  <c r="H459" i="5"/>
  <c r="F464" i="5"/>
  <c r="Q291" i="1"/>
  <c r="C113" i="5" s="1"/>
  <c r="Q281" i="1"/>
  <c r="G464" i="5"/>
  <c r="D672" i="5"/>
  <c r="E318" i="5"/>
  <c r="E197" i="5" s="1"/>
  <c r="G319" i="5"/>
  <c r="G198" i="5" s="1"/>
  <c r="G318" i="5"/>
  <c r="G197" i="5" s="1"/>
  <c r="D24" i="5"/>
  <c r="H491" i="5"/>
  <c r="H489" i="5"/>
  <c r="T865" i="1"/>
  <c r="F307" i="5" s="1"/>
  <c r="F274" i="5" s="1"/>
  <c r="O861" i="1"/>
  <c r="O869" i="1" s="1"/>
  <c r="S86" i="1"/>
  <c r="E48" i="5" s="1"/>
  <c r="T86" i="1"/>
  <c r="U45" i="1"/>
  <c r="G37" i="5" s="1"/>
  <c r="R14" i="1"/>
  <c r="U14" i="1"/>
  <c r="S14" i="1"/>
  <c r="Q45" i="1"/>
  <c r="T45" i="1"/>
  <c r="R45" i="1"/>
  <c r="E47" i="5"/>
  <c r="S45" i="1"/>
  <c r="H246" i="5"/>
  <c r="V1145" i="1"/>
  <c r="Q177" i="1"/>
  <c r="V177" i="1" s="1"/>
  <c r="V18" i="1"/>
  <c r="V173" i="1"/>
  <c r="H65" i="5" s="1"/>
  <c r="U24" i="1"/>
  <c r="V857" i="1"/>
  <c r="H309" i="5" s="1"/>
  <c r="U146" i="1"/>
  <c r="G58" i="5" s="1"/>
  <c r="G47" i="5"/>
  <c r="C47" i="5"/>
  <c r="R65" i="1"/>
  <c r="V65" i="1" s="1"/>
  <c r="Q146" i="1"/>
  <c r="C58" i="5" s="1"/>
  <c r="C10" i="3"/>
  <c r="D58" i="5"/>
  <c r="D10" i="3"/>
  <c r="F47" i="5"/>
  <c r="E58" i="5"/>
  <c r="H608" i="5"/>
  <c r="V47" i="1"/>
  <c r="V406" i="1"/>
  <c r="V1350" i="1"/>
  <c r="V1177" i="1"/>
  <c r="V1054" i="1"/>
  <c r="V1340" i="1"/>
  <c r="V2215" i="1"/>
  <c r="V1487" i="1"/>
  <c r="V312" i="1"/>
  <c r="V1401" i="1"/>
  <c r="V1228" i="1"/>
  <c r="V230" i="1"/>
  <c r="V322" i="1"/>
  <c r="H124" i="5" s="1"/>
  <c r="V334" i="1"/>
  <c r="V198" i="1"/>
  <c r="V15" i="1"/>
  <c r="V2018" i="1"/>
  <c r="H630" i="5" s="1"/>
  <c r="V2010" i="1"/>
  <c r="H622" i="5" s="1"/>
  <c r="H618" i="5"/>
  <c r="H292" i="5"/>
  <c r="H472" i="5"/>
  <c r="H461" i="5" s="1"/>
  <c r="V849" i="1"/>
  <c r="V841" i="1"/>
  <c r="V21" i="1"/>
  <c r="Q16" i="1"/>
  <c r="V2131" i="1"/>
  <c r="V2123" i="1"/>
  <c r="V1114" i="1"/>
  <c r="V1106" i="1"/>
  <c r="V1390" i="1"/>
  <c r="V1382" i="1"/>
  <c r="V829" i="1"/>
  <c r="V821" i="1"/>
  <c r="V1411" i="1"/>
  <c r="H443" i="5" s="1"/>
  <c r="V1403" i="1"/>
  <c r="H435" i="5" s="1"/>
  <c r="V2059" i="1"/>
  <c r="H641" i="5" s="1"/>
  <c r="V2051" i="1"/>
  <c r="H633" i="5" s="1"/>
  <c r="Q14" i="1"/>
  <c r="H589" i="5"/>
  <c r="V22" i="1"/>
  <c r="S16" i="1"/>
  <c r="S24" i="1" s="1"/>
  <c r="V1207" i="1"/>
  <c r="V1199" i="1"/>
  <c r="V2121" i="1"/>
  <c r="V2113" i="1"/>
  <c r="V1319" i="1"/>
  <c r="H421" i="5" s="1"/>
  <c r="V1311" i="1"/>
  <c r="H413" i="5" s="1"/>
  <c r="V1477" i="1"/>
  <c r="V1465" i="1"/>
  <c r="V1457" i="1"/>
  <c r="V1370" i="1"/>
  <c r="V1362" i="1"/>
  <c r="V1217" i="1"/>
  <c r="V1209" i="1"/>
  <c r="V1485" i="1"/>
  <c r="V85" i="1"/>
  <c r="V77" i="1"/>
  <c r="V143" i="1"/>
  <c r="H55" i="5" s="1"/>
  <c r="V159" i="1"/>
  <c r="V137" i="1"/>
  <c r="H49" i="5" s="1"/>
  <c r="V169" i="1"/>
  <c r="V57" i="1"/>
  <c r="C542" i="5" l="1"/>
  <c r="U1433" i="1"/>
  <c r="G48" i="3"/>
  <c r="S1433" i="1"/>
  <c r="E48" i="3"/>
  <c r="R1433" i="1"/>
  <c r="D48" i="3"/>
  <c r="H347" i="5"/>
  <c r="F355" i="5"/>
  <c r="F322" i="5" s="1"/>
  <c r="V1528" i="1"/>
  <c r="H52" i="3" s="1"/>
  <c r="C52" i="3"/>
  <c r="V2071" i="1"/>
  <c r="H65" i="3" s="1"/>
  <c r="H663" i="5"/>
  <c r="H652" i="5" s="1"/>
  <c r="H655" i="5"/>
  <c r="H644" i="5" s="1"/>
  <c r="D278" i="5"/>
  <c r="G278" i="5"/>
  <c r="G201" i="5" s="1"/>
  <c r="G33" i="3"/>
  <c r="U666" i="1"/>
  <c r="E301" i="5"/>
  <c r="S666" i="1"/>
  <c r="E278" i="5"/>
  <c r="E201" i="5" s="1"/>
  <c r="D33" i="3"/>
  <c r="R666" i="1"/>
  <c r="R509" i="1" s="1"/>
  <c r="H355" i="5"/>
  <c r="H146" i="5"/>
  <c r="V983" i="1"/>
  <c r="H345" i="5" s="1"/>
  <c r="Q910" i="1"/>
  <c r="C312" i="5" s="1"/>
  <c r="E33" i="5"/>
  <c r="E22" i="5" s="1"/>
  <c r="F131" i="5"/>
  <c r="F87" i="5" s="1"/>
  <c r="F10" i="5" s="1"/>
  <c r="T325" i="1"/>
  <c r="D131" i="5"/>
  <c r="D87" i="5" s="1"/>
  <c r="D10" i="5" s="1"/>
  <c r="R325" i="1"/>
  <c r="T910" i="1"/>
  <c r="F34" i="3" s="1"/>
  <c r="G131" i="5"/>
  <c r="G87" i="5" s="1"/>
  <c r="G10" i="5" s="1"/>
  <c r="U325" i="1"/>
  <c r="V41" i="1"/>
  <c r="H33" i="5" s="1"/>
  <c r="R36" i="1"/>
  <c r="D28" i="5" s="1"/>
  <c r="D17" i="5" s="1"/>
  <c r="C131" i="5"/>
  <c r="C87" i="5" s="1"/>
  <c r="C10" i="5" s="1"/>
  <c r="V329" i="1"/>
  <c r="H131" i="5" s="1"/>
  <c r="H87" i="5" s="1"/>
  <c r="E38" i="3"/>
  <c r="F37" i="3"/>
  <c r="E131" i="5"/>
  <c r="E87" i="5" s="1"/>
  <c r="E10" i="5" s="1"/>
  <c r="S325" i="1"/>
  <c r="D33" i="5"/>
  <c r="D22" i="5" s="1"/>
  <c r="C38" i="3"/>
  <c r="H358" i="5"/>
  <c r="F194" i="5"/>
  <c r="D194" i="5"/>
  <c r="S910" i="1"/>
  <c r="E34" i="3" s="1"/>
  <c r="G356" i="5"/>
  <c r="U910" i="1"/>
  <c r="G312" i="5" s="1"/>
  <c r="F356" i="5"/>
  <c r="E194" i="5"/>
  <c r="D197" i="5"/>
  <c r="E193" i="5"/>
  <c r="F38" i="3"/>
  <c r="V1124" i="1"/>
  <c r="H366" i="5" s="1"/>
  <c r="D356" i="5"/>
  <c r="D38" i="3"/>
  <c r="V1044" i="1"/>
  <c r="H38" i="3" s="1"/>
  <c r="F498" i="5"/>
  <c r="C453" i="5"/>
  <c r="G498" i="5"/>
  <c r="G454" i="5" s="1"/>
  <c r="U1432" i="1"/>
  <c r="C466" i="5"/>
  <c r="Q1433" i="1"/>
  <c r="H424" i="5"/>
  <c r="R1432" i="1"/>
  <c r="C41" i="3"/>
  <c r="Q1166" i="1"/>
  <c r="C378" i="5" s="1"/>
  <c r="C28" i="5"/>
  <c r="H30" i="5"/>
  <c r="H19" i="5" s="1"/>
  <c r="H8" i="5" s="1"/>
  <c r="E466" i="5"/>
  <c r="H432" i="5"/>
  <c r="D498" i="5"/>
  <c r="V1720" i="1"/>
  <c r="E453" i="5"/>
  <c r="V6" i="1"/>
  <c r="D453" i="5"/>
  <c r="D466" i="5"/>
  <c r="G466" i="5"/>
  <c r="H520" i="5"/>
  <c r="G453" i="5"/>
  <c r="F468" i="5"/>
  <c r="F457" i="5" s="1"/>
  <c r="T1434" i="1"/>
  <c r="E202" i="5"/>
  <c r="E24" i="3"/>
  <c r="D202" i="5"/>
  <c r="D24" i="3"/>
  <c r="V1436" i="1"/>
  <c r="H468" i="5" s="1"/>
  <c r="C476" i="5"/>
  <c r="C465" i="5" s="1"/>
  <c r="G202" i="5"/>
  <c r="G24" i="3"/>
  <c r="F202" i="5"/>
  <c r="F24" i="3"/>
  <c r="D609" i="5"/>
  <c r="G61" i="3"/>
  <c r="F61" i="3"/>
  <c r="E61" i="3"/>
  <c r="H80" i="5"/>
  <c r="G28" i="5"/>
  <c r="G17" i="5" s="1"/>
  <c r="U4" i="1"/>
  <c r="V34" i="1"/>
  <c r="F36" i="5"/>
  <c r="F25" i="5" s="1"/>
  <c r="H560" i="5"/>
  <c r="T4" i="1"/>
  <c r="F28" i="5"/>
  <c r="F17" i="5" s="1"/>
  <c r="V26" i="1"/>
  <c r="T1189" i="1"/>
  <c r="F384" i="5"/>
  <c r="F197" i="5" s="1"/>
  <c r="V1193" i="1"/>
  <c r="H395" i="5" s="1"/>
  <c r="C388" i="5"/>
  <c r="H27" i="5"/>
  <c r="H16" i="5" s="1"/>
  <c r="H34" i="5"/>
  <c r="G36" i="5"/>
  <c r="G25" i="5" s="1"/>
  <c r="F609" i="5"/>
  <c r="E28" i="5"/>
  <c r="E17" i="5" s="1"/>
  <c r="E36" i="5"/>
  <c r="E25" i="5" s="1"/>
  <c r="Q4" i="1"/>
  <c r="C642" i="5"/>
  <c r="S4" i="1"/>
  <c r="S3" i="1" s="1"/>
  <c r="D642" i="5"/>
  <c r="C554" i="5"/>
  <c r="G609" i="5"/>
  <c r="C301" i="5"/>
  <c r="D61" i="3"/>
  <c r="H578" i="5"/>
  <c r="H556" i="5" s="1"/>
  <c r="D554" i="5"/>
  <c r="E40" i="3"/>
  <c r="F642" i="5"/>
  <c r="H586" i="5"/>
  <c r="F554" i="5"/>
  <c r="G554" i="5"/>
  <c r="C48" i="3"/>
  <c r="H334" i="5"/>
  <c r="E33" i="3"/>
  <c r="T1444" i="1"/>
  <c r="F476" i="5" s="1"/>
  <c r="F465" i="5" s="1"/>
  <c r="E56" i="3"/>
  <c r="G50" i="3"/>
  <c r="C61" i="3"/>
  <c r="D40" i="3"/>
  <c r="H43" i="3"/>
  <c r="H153" i="5"/>
  <c r="D34" i="3"/>
  <c r="G301" i="5"/>
  <c r="H631" i="5"/>
  <c r="E642" i="5"/>
  <c r="E609" i="5"/>
  <c r="D455" i="5"/>
  <c r="D301" i="5"/>
  <c r="D532" i="5"/>
  <c r="D54" i="3"/>
  <c r="F169" i="5"/>
  <c r="G642" i="5"/>
  <c r="F488" i="5"/>
  <c r="G40" i="3"/>
  <c r="H171" i="5"/>
  <c r="G10" i="3"/>
  <c r="H20" i="5"/>
  <c r="H487" i="5"/>
  <c r="H300" i="5"/>
  <c r="D179" i="5"/>
  <c r="H597" i="5"/>
  <c r="G179" i="5"/>
  <c r="E179" i="5"/>
  <c r="H315" i="5"/>
  <c r="F179" i="5"/>
  <c r="H479" i="5"/>
  <c r="G670" i="5"/>
  <c r="G9" i="3"/>
  <c r="F317" i="5"/>
  <c r="F196" i="5" s="1"/>
  <c r="E21" i="3"/>
  <c r="D317" i="5"/>
  <c r="D196" i="5" s="1"/>
  <c r="H24" i="5"/>
  <c r="V291" i="1"/>
  <c r="H113" i="5" s="1"/>
  <c r="E670" i="5"/>
  <c r="H21" i="3"/>
  <c r="H18" i="5"/>
  <c r="H7" i="5" s="1"/>
  <c r="E316" i="5"/>
  <c r="E195" i="5" s="1"/>
  <c r="H320" i="5"/>
  <c r="H12" i="3"/>
  <c r="H70" i="5"/>
  <c r="G492" i="5"/>
  <c r="G494" i="5"/>
  <c r="G495" i="5"/>
  <c r="G451" i="5" s="1"/>
  <c r="G496" i="5"/>
  <c r="G452" i="5" s="1"/>
  <c r="C15" i="3"/>
  <c r="C103" i="5"/>
  <c r="E15" i="3"/>
  <c r="E103" i="5"/>
  <c r="C317" i="5"/>
  <c r="C196" i="5" s="1"/>
  <c r="H18" i="3"/>
  <c r="H136" i="5"/>
  <c r="H51" i="3"/>
  <c r="H499" i="5"/>
  <c r="H510" i="5"/>
  <c r="D11" i="3"/>
  <c r="D59" i="5"/>
  <c r="H39" i="3"/>
  <c r="H367" i="5"/>
  <c r="C9" i="3"/>
  <c r="C37" i="5"/>
  <c r="H387" i="5"/>
  <c r="G15" i="3"/>
  <c r="G103" i="5"/>
  <c r="D15" i="3"/>
  <c r="D103" i="5"/>
  <c r="E698" i="5"/>
  <c r="E445" i="5" s="1"/>
  <c r="E701" i="5"/>
  <c r="E700" i="5"/>
  <c r="E447" i="5" s="1"/>
  <c r="G698" i="5"/>
  <c r="G445" i="5" s="1"/>
  <c r="G700" i="5"/>
  <c r="G447" i="5" s="1"/>
  <c r="G701" i="5"/>
  <c r="C650" i="5"/>
  <c r="C610" i="5"/>
  <c r="C619" i="5"/>
  <c r="H321" i="5"/>
  <c r="G493" i="5"/>
  <c r="G449" i="5" s="1"/>
  <c r="E379" i="5"/>
  <c r="E192" i="5" s="1"/>
  <c r="H16" i="3"/>
  <c r="H114" i="5"/>
  <c r="H44" i="3"/>
  <c r="H422" i="5"/>
  <c r="H60" i="3"/>
  <c r="H598" i="5"/>
  <c r="D650" i="5"/>
  <c r="D610" i="5"/>
  <c r="D619" i="5"/>
  <c r="G316" i="5"/>
  <c r="G195" i="5" s="1"/>
  <c r="F9" i="3"/>
  <c r="F37" i="5"/>
  <c r="F10" i="3"/>
  <c r="F48" i="5"/>
  <c r="D21" i="3"/>
  <c r="D169" i="5"/>
  <c r="H21" i="5"/>
  <c r="H53" i="3"/>
  <c r="H521" i="5"/>
  <c r="H69" i="3"/>
  <c r="H697" i="5"/>
  <c r="H26" i="3"/>
  <c r="H224" i="5"/>
  <c r="G11" i="3"/>
  <c r="G59" i="5"/>
  <c r="V167" i="1"/>
  <c r="H612" i="5"/>
  <c r="V281" i="1"/>
  <c r="H42" i="3"/>
  <c r="H400" i="5"/>
  <c r="H290" i="5"/>
  <c r="H462" i="5"/>
  <c r="H59" i="3"/>
  <c r="H587" i="5"/>
  <c r="H39" i="5"/>
  <c r="F11" i="3"/>
  <c r="F59" i="5"/>
  <c r="H28" i="3"/>
  <c r="D9" i="3"/>
  <c r="D37" i="5"/>
  <c r="T861" i="1"/>
  <c r="F303" i="5" s="1"/>
  <c r="F270" i="5" s="1"/>
  <c r="F705" i="5"/>
  <c r="F706" i="5"/>
  <c r="F707" i="5"/>
  <c r="G380" i="5"/>
  <c r="G193" i="5" s="1"/>
  <c r="E619" i="5"/>
  <c r="F15" i="3"/>
  <c r="F103" i="5"/>
  <c r="D698" i="5"/>
  <c r="D699" i="5"/>
  <c r="D700" i="5"/>
  <c r="D701" i="5"/>
  <c r="H616" i="5"/>
  <c r="H615" i="5"/>
  <c r="H646" i="5"/>
  <c r="H45" i="3"/>
  <c r="H433" i="5"/>
  <c r="H668" i="5"/>
  <c r="E9" i="3"/>
  <c r="E37" i="5"/>
  <c r="C698" i="5"/>
  <c r="C700" i="5"/>
  <c r="C447" i="5" s="1"/>
  <c r="C699" i="5"/>
  <c r="C701" i="5"/>
  <c r="F702" i="5"/>
  <c r="F672" i="5"/>
  <c r="F703" i="5"/>
  <c r="F673" i="5"/>
  <c r="H643" i="5"/>
  <c r="H22" i="3"/>
  <c r="H180" i="5"/>
  <c r="H319" i="5"/>
  <c r="H381" i="5"/>
  <c r="E11" i="3"/>
  <c r="E59" i="5"/>
  <c r="T859" i="1"/>
  <c r="D47" i="5"/>
  <c r="E492" i="5"/>
  <c r="E493" i="5"/>
  <c r="E449" i="5" s="1"/>
  <c r="E494" i="5"/>
  <c r="E495" i="5"/>
  <c r="E451" i="5" s="1"/>
  <c r="E496" i="5"/>
  <c r="E452" i="5" s="1"/>
  <c r="H464" i="5"/>
  <c r="D380" i="5"/>
  <c r="G21" i="3"/>
  <c r="G169" i="5"/>
  <c r="D611" i="5"/>
  <c r="D612" i="5"/>
  <c r="V86" i="1"/>
  <c r="E10" i="3"/>
  <c r="V14" i="1"/>
  <c r="V55" i="1"/>
  <c r="H47" i="5" s="1"/>
  <c r="V45" i="1"/>
  <c r="Q24" i="1"/>
  <c r="C36" i="5" s="1"/>
  <c r="V2070" i="1"/>
  <c r="V1821" i="1"/>
  <c r="V2008" i="1"/>
  <c r="V851" i="1"/>
  <c r="V865" i="1"/>
  <c r="H307" i="5" s="1"/>
  <c r="H274" i="5" s="1"/>
  <c r="V1914" i="1"/>
  <c r="V2007" i="1"/>
  <c r="V1842" i="1"/>
  <c r="V2142" i="1"/>
  <c r="V2164" i="1"/>
  <c r="V1455" i="1"/>
  <c r="H49" i="3" s="1"/>
  <c r="V16" i="1"/>
  <c r="V146" i="1"/>
  <c r="H58" i="5" s="1"/>
  <c r="V138" i="1"/>
  <c r="H50" i="5" s="1"/>
  <c r="S509" i="1" l="1"/>
  <c r="E191" i="5" s="1"/>
  <c r="U509" i="1"/>
  <c r="G191" i="5" s="1"/>
  <c r="H314" i="5"/>
  <c r="T1433" i="1"/>
  <c r="T1432" i="1" s="1"/>
  <c r="F48" i="3"/>
  <c r="C34" i="3"/>
  <c r="T1167" i="1"/>
  <c r="F391" i="5"/>
  <c r="F380" i="5" s="1"/>
  <c r="F193" i="5" s="1"/>
  <c r="H653" i="5"/>
  <c r="H37" i="3"/>
  <c r="R4" i="1"/>
  <c r="R3" i="1" s="1"/>
  <c r="D7" i="3" s="1"/>
  <c r="F312" i="5"/>
  <c r="S333" i="1"/>
  <c r="E135" i="5" s="1"/>
  <c r="E91" i="5" s="1"/>
  <c r="S323" i="1"/>
  <c r="E127" i="5"/>
  <c r="E83" i="5" s="1"/>
  <c r="D127" i="5"/>
  <c r="D83" i="5" s="1"/>
  <c r="R323" i="1"/>
  <c r="R333" i="1"/>
  <c r="D135" i="5" s="1"/>
  <c r="D91" i="5" s="1"/>
  <c r="C127" i="5"/>
  <c r="V325" i="1"/>
  <c r="H127" i="5" s="1"/>
  <c r="Q323" i="1"/>
  <c r="U323" i="1"/>
  <c r="G127" i="5"/>
  <c r="G83" i="5" s="1"/>
  <c r="U333" i="1"/>
  <c r="G135" i="5" s="1"/>
  <c r="G91" i="5" s="1"/>
  <c r="T333" i="1"/>
  <c r="F135" i="5" s="1"/>
  <c r="F91" i="5" s="1"/>
  <c r="T323" i="1"/>
  <c r="F127" i="5"/>
  <c r="F83" i="5" s="1"/>
  <c r="V36" i="1"/>
  <c r="H28" i="5" s="1"/>
  <c r="R44" i="1"/>
  <c r="G34" i="3"/>
  <c r="E312" i="5"/>
  <c r="V910" i="1"/>
  <c r="H34" i="3" s="1"/>
  <c r="H200" i="5"/>
  <c r="H23" i="5"/>
  <c r="D193" i="5"/>
  <c r="H356" i="5"/>
  <c r="H10" i="5"/>
  <c r="C40" i="3"/>
  <c r="D445" i="5"/>
  <c r="C47" i="3"/>
  <c r="C26" i="5"/>
  <c r="F26" i="5"/>
  <c r="T3" i="1"/>
  <c r="F15" i="5" s="1"/>
  <c r="G8" i="3"/>
  <c r="U3" i="1"/>
  <c r="G15" i="5" s="1"/>
  <c r="C445" i="5"/>
  <c r="E448" i="5"/>
  <c r="D454" i="5"/>
  <c r="H384" i="5"/>
  <c r="G26" i="5"/>
  <c r="E450" i="5"/>
  <c r="F19" i="6" s="1"/>
  <c r="F466" i="5"/>
  <c r="D446" i="5"/>
  <c r="V1444" i="1"/>
  <c r="H476" i="5" s="1"/>
  <c r="H465" i="5" s="1"/>
  <c r="D447" i="5"/>
  <c r="G448" i="5"/>
  <c r="F454" i="5"/>
  <c r="G450" i="5"/>
  <c r="F8" i="3"/>
  <c r="H564" i="5"/>
  <c r="T1197" i="1"/>
  <c r="F399" i="5" s="1"/>
  <c r="V1189" i="1"/>
  <c r="D201" i="5"/>
  <c r="E268" i="5"/>
  <c r="H6" i="6"/>
  <c r="G268" i="5"/>
  <c r="G47" i="3"/>
  <c r="G455" i="5"/>
  <c r="D47" i="3"/>
  <c r="E7" i="6"/>
  <c r="C455" i="5"/>
  <c r="E455" i="5"/>
  <c r="T819" i="1"/>
  <c r="T666" i="1" s="1"/>
  <c r="E30" i="3"/>
  <c r="V1434" i="1"/>
  <c r="H48" i="3" s="1"/>
  <c r="E47" i="3"/>
  <c r="G30" i="3"/>
  <c r="H179" i="5"/>
  <c r="D50" i="3"/>
  <c r="D488" i="5"/>
  <c r="H169" i="5"/>
  <c r="H457" i="5"/>
  <c r="H322" i="5"/>
  <c r="V859" i="1"/>
  <c r="H379" i="5"/>
  <c r="H611" i="5"/>
  <c r="G699" i="5"/>
  <c r="H61" i="3"/>
  <c r="H609" i="5"/>
  <c r="F670" i="5"/>
  <c r="F671" i="5"/>
  <c r="F651" i="5"/>
  <c r="F453" i="5" s="1"/>
  <c r="D88" i="5"/>
  <c r="D89" i="5"/>
  <c r="D12" i="5" s="1"/>
  <c r="D90" i="5"/>
  <c r="D13" i="5" s="1"/>
  <c r="C88" i="5"/>
  <c r="C90" i="5"/>
  <c r="C13" i="5" s="1"/>
  <c r="H35" i="3"/>
  <c r="H323" i="5"/>
  <c r="H56" i="3"/>
  <c r="H554" i="5"/>
  <c r="H58" i="3"/>
  <c r="H576" i="5"/>
  <c r="H64" i="3"/>
  <c r="H642" i="5"/>
  <c r="F16" i="6"/>
  <c r="C492" i="5"/>
  <c r="C448" i="5" s="1"/>
  <c r="C493" i="5"/>
  <c r="C449" i="5" s="1"/>
  <c r="C494" i="5"/>
  <c r="C450" i="5" s="1"/>
  <c r="C495" i="5"/>
  <c r="C451" i="5" s="1"/>
  <c r="E699" i="5"/>
  <c r="G88" i="5"/>
  <c r="G89" i="5"/>
  <c r="G90" i="5"/>
  <c r="G13" i="5" s="1"/>
  <c r="H10" i="3"/>
  <c r="H48" i="5"/>
  <c r="C316" i="5"/>
  <c r="C195" i="5" s="1"/>
  <c r="F88" i="5"/>
  <c r="F89" i="5"/>
  <c r="F12" i="5" s="1"/>
  <c r="F90" i="5"/>
  <c r="F13" i="5" s="1"/>
  <c r="T869" i="1"/>
  <c r="F698" i="5" s="1"/>
  <c r="F445" i="5" s="1"/>
  <c r="H15" i="3"/>
  <c r="H103" i="5"/>
  <c r="H66" i="3"/>
  <c r="H664" i="5"/>
  <c r="H57" i="3"/>
  <c r="H565" i="5"/>
  <c r="E7" i="3"/>
  <c r="E26" i="5"/>
  <c r="F699" i="5"/>
  <c r="H673" i="5"/>
  <c r="D492" i="5"/>
  <c r="D448" i="5" s="1"/>
  <c r="D493" i="5"/>
  <c r="D449" i="5" s="1"/>
  <c r="D494" i="5"/>
  <c r="D450" i="5" s="1"/>
  <c r="D495" i="5"/>
  <c r="D451" i="5" s="1"/>
  <c r="D496" i="5"/>
  <c r="D452" i="5" s="1"/>
  <c r="H317" i="5"/>
  <c r="H196" i="5" s="1"/>
  <c r="H497" i="5"/>
  <c r="H62" i="3"/>
  <c r="H620" i="5"/>
  <c r="H650" i="5"/>
  <c r="H619" i="5"/>
  <c r="H610" i="5"/>
  <c r="H68" i="3"/>
  <c r="H686" i="5"/>
  <c r="H705" i="5"/>
  <c r="H706" i="5"/>
  <c r="H707" i="5"/>
  <c r="H55" i="3"/>
  <c r="H543" i="5"/>
  <c r="H9" i="3"/>
  <c r="H37" i="5"/>
  <c r="H7" i="6"/>
  <c r="G444" i="5"/>
  <c r="E88" i="5"/>
  <c r="E90" i="5"/>
  <c r="E13" i="5" s="1"/>
  <c r="E89" i="5"/>
  <c r="H16" i="6"/>
  <c r="H463" i="5"/>
  <c r="G46" i="3"/>
  <c r="E8" i="3"/>
  <c r="C8" i="3"/>
  <c r="V861" i="1"/>
  <c r="H303" i="5" s="1"/>
  <c r="V24" i="1"/>
  <c r="D8" i="3" l="1"/>
  <c r="V1167" i="1"/>
  <c r="H391" i="5"/>
  <c r="H380" i="5" s="1"/>
  <c r="V4" i="1"/>
  <c r="H8" i="3" s="1"/>
  <c r="D26" i="5"/>
  <c r="F125" i="5"/>
  <c r="F17" i="3"/>
  <c r="T219" i="1"/>
  <c r="G125" i="5"/>
  <c r="G17" i="3"/>
  <c r="U219" i="1"/>
  <c r="V44" i="1"/>
  <c r="H36" i="5" s="1"/>
  <c r="D36" i="5"/>
  <c r="D25" i="5" s="1"/>
  <c r="C135" i="5"/>
  <c r="V333" i="1"/>
  <c r="H135" i="5" s="1"/>
  <c r="E125" i="5"/>
  <c r="E17" i="3"/>
  <c r="S219" i="1"/>
  <c r="C125" i="5"/>
  <c r="V323" i="1"/>
  <c r="C17" i="3"/>
  <c r="D125" i="5"/>
  <c r="D17" i="3"/>
  <c r="R219" i="1"/>
  <c r="D30" i="3"/>
  <c r="D268" i="5"/>
  <c r="G7" i="3"/>
  <c r="H312" i="5"/>
  <c r="H192" i="5"/>
  <c r="D15" i="5"/>
  <c r="G446" i="5"/>
  <c r="F446" i="5"/>
  <c r="G12" i="5"/>
  <c r="E12" i="5"/>
  <c r="V1433" i="1"/>
  <c r="F7" i="3"/>
  <c r="F389" i="5"/>
  <c r="F41" i="3"/>
  <c r="T1166" i="1"/>
  <c r="T509" i="1" s="1"/>
  <c r="F191" i="5" s="1"/>
  <c r="F388" i="5"/>
  <c r="V1197" i="1"/>
  <c r="H399" i="5" s="1"/>
  <c r="G23" i="3"/>
  <c r="E23" i="3"/>
  <c r="F6" i="6"/>
  <c r="F268" i="5"/>
  <c r="H17" i="6"/>
  <c r="F455" i="5"/>
  <c r="F301" i="5"/>
  <c r="D444" i="5"/>
  <c r="D46" i="3"/>
  <c r="H466" i="5"/>
  <c r="F47" i="3"/>
  <c r="F22" i="6"/>
  <c r="V819" i="1"/>
  <c r="H33" i="3" s="1"/>
  <c r="F33" i="3"/>
  <c r="F17" i="6"/>
  <c r="E16" i="6"/>
  <c r="E22" i="6"/>
  <c r="F30" i="3"/>
  <c r="H19" i="6"/>
  <c r="D22" i="6"/>
  <c r="F311" i="5"/>
  <c r="F278" i="5" s="1"/>
  <c r="G22" i="6"/>
  <c r="D17" i="6"/>
  <c r="H22" i="6"/>
  <c r="D19" i="6"/>
  <c r="V869" i="1"/>
  <c r="H698" i="5" s="1"/>
  <c r="H445" i="5" s="1"/>
  <c r="H88" i="5"/>
  <c r="F700" i="5"/>
  <c r="H700" i="5"/>
  <c r="F316" i="5"/>
  <c r="F195" i="5" s="1"/>
  <c r="H703" i="5"/>
  <c r="H699" i="5"/>
  <c r="H318" i="5"/>
  <c r="H197" i="5" s="1"/>
  <c r="H492" i="5"/>
  <c r="H493" i="5"/>
  <c r="H494" i="5"/>
  <c r="H495" i="5"/>
  <c r="H702" i="5"/>
  <c r="H670" i="5"/>
  <c r="H651" i="5"/>
  <c r="H453" i="5" s="1"/>
  <c r="H671" i="5"/>
  <c r="E6" i="6"/>
  <c r="D316" i="5"/>
  <c r="D191" i="5"/>
  <c r="E19" i="6"/>
  <c r="F701" i="5"/>
  <c r="E15" i="5"/>
  <c r="F492" i="5"/>
  <c r="F493" i="5"/>
  <c r="F449" i="5" s="1"/>
  <c r="F494" i="5"/>
  <c r="F450" i="5" s="1"/>
  <c r="F495" i="5"/>
  <c r="F451" i="5" s="1"/>
  <c r="F496" i="5"/>
  <c r="F452" i="5" s="1"/>
  <c r="H701" i="5"/>
  <c r="H672" i="5"/>
  <c r="D23" i="3"/>
  <c r="H26" i="5" l="1"/>
  <c r="D81" i="5"/>
  <c r="D13" i="3"/>
  <c r="H125" i="5"/>
  <c r="H17" i="3"/>
  <c r="F13" i="3"/>
  <c r="F81" i="5"/>
  <c r="G13" i="3"/>
  <c r="G81" i="5"/>
  <c r="E81" i="5"/>
  <c r="E13" i="3"/>
  <c r="D195" i="5"/>
  <c r="E17" i="6" s="1"/>
  <c r="H21" i="6"/>
  <c r="E21" i="6"/>
  <c r="F21" i="6"/>
  <c r="H47" i="3"/>
  <c r="F448" i="5"/>
  <c r="G17" i="6" s="1"/>
  <c r="H451" i="5"/>
  <c r="H388" i="5"/>
  <c r="H449" i="5"/>
  <c r="H448" i="5"/>
  <c r="F447" i="5"/>
  <c r="G16" i="6" s="1"/>
  <c r="H447" i="5"/>
  <c r="H450" i="5"/>
  <c r="F378" i="5"/>
  <c r="F40" i="3"/>
  <c r="V1166" i="1"/>
  <c r="G6" i="6"/>
  <c r="H41" i="3"/>
  <c r="H389" i="5"/>
  <c r="F201" i="5"/>
  <c r="F444" i="5"/>
  <c r="F46" i="3"/>
  <c r="G7" i="6"/>
  <c r="H301" i="5"/>
  <c r="H455" i="5"/>
  <c r="H311" i="5"/>
  <c r="G21" i="6"/>
  <c r="G19" i="6"/>
  <c r="H316" i="5"/>
  <c r="H195" i="5" s="1"/>
  <c r="F23" i="3" l="1"/>
  <c r="H40" i="3"/>
  <c r="H378" i="5"/>
  <c r="I19" i="6"/>
  <c r="I17" i="6"/>
  <c r="T423" i="1"/>
  <c r="F165" i="5" s="1"/>
  <c r="R423" i="1"/>
  <c r="D165" i="5" s="1"/>
  <c r="Q423" i="1"/>
  <c r="C165" i="5" s="1"/>
  <c r="U423" i="1"/>
  <c r="G165" i="5" s="1"/>
  <c r="S423" i="1"/>
  <c r="E165" i="5" s="1"/>
  <c r="Q431" i="1"/>
  <c r="C163" i="5" s="1"/>
  <c r="Q427" i="1"/>
  <c r="C159" i="5" s="1"/>
  <c r="U427" i="1"/>
  <c r="G159" i="5" s="1"/>
  <c r="R427" i="1"/>
  <c r="D159" i="5" s="1"/>
  <c r="S431" i="1"/>
  <c r="E163" i="5" s="1"/>
  <c r="S427" i="1"/>
  <c r="E159" i="5" s="1"/>
  <c r="T427" i="1"/>
  <c r="F159" i="5" s="1"/>
  <c r="U431" i="1"/>
  <c r="G163" i="5" s="1"/>
  <c r="T431" i="1"/>
  <c r="F163" i="5" s="1"/>
  <c r="R431" i="1"/>
  <c r="D163" i="5" s="1"/>
  <c r="L418" i="1"/>
  <c r="L426" i="1" s="1"/>
  <c r="L436" i="1"/>
  <c r="P418" i="1"/>
  <c r="P426" i="1" s="1"/>
  <c r="P436" i="1"/>
  <c r="O418" i="1"/>
  <c r="O426" i="1" s="1"/>
  <c r="O436" i="1"/>
  <c r="M418" i="1"/>
  <c r="M426" i="1" s="1"/>
  <c r="M436" i="1"/>
  <c r="N418" i="1"/>
  <c r="N426" i="1" s="1"/>
  <c r="N436" i="1"/>
  <c r="G152" i="5" l="1"/>
  <c r="D152" i="5"/>
  <c r="T428" i="1"/>
  <c r="T436" i="1" s="1"/>
  <c r="F152" i="5"/>
  <c r="E152" i="5"/>
  <c r="E154" i="5"/>
  <c r="F154" i="5"/>
  <c r="F148" i="5"/>
  <c r="G148" i="5"/>
  <c r="U418" i="1"/>
  <c r="G154" i="5"/>
  <c r="Q418" i="1"/>
  <c r="C154" i="5"/>
  <c r="R418" i="1"/>
  <c r="D154" i="5"/>
  <c r="S428" i="1"/>
  <c r="S436" i="1" s="1"/>
  <c r="Q428" i="1"/>
  <c r="Q436" i="1" s="1"/>
  <c r="C152" i="5"/>
  <c r="V423" i="1"/>
  <c r="H165" i="5" s="1"/>
  <c r="V427" i="1"/>
  <c r="H159" i="5" s="1"/>
  <c r="C148" i="5"/>
  <c r="C5" i="5" s="1"/>
  <c r="E148" i="5"/>
  <c r="D148" i="5"/>
  <c r="V431" i="1"/>
  <c r="H163" i="5" s="1"/>
  <c r="R428" i="1"/>
  <c r="U428" i="1"/>
  <c r="U436" i="1" s="1"/>
  <c r="S418" i="1"/>
  <c r="T418" i="1"/>
  <c r="F160" i="5" l="1"/>
  <c r="T396" i="1"/>
  <c r="Q396" i="1"/>
  <c r="C160" i="5"/>
  <c r="C149" i="5" s="1"/>
  <c r="E160" i="5"/>
  <c r="S396" i="1"/>
  <c r="D160" i="5"/>
  <c r="R396" i="1"/>
  <c r="D158" i="5" s="1"/>
  <c r="G160" i="5"/>
  <c r="U396" i="1"/>
  <c r="D149" i="5"/>
  <c r="D6" i="5" s="1"/>
  <c r="F149" i="5"/>
  <c r="E149" i="5"/>
  <c r="G149" i="5"/>
  <c r="F9" i="5"/>
  <c r="G18" i="6" s="1"/>
  <c r="G11" i="5"/>
  <c r="C9" i="5"/>
  <c r="D18" i="6" s="1"/>
  <c r="E11" i="5"/>
  <c r="F20" i="6" s="1"/>
  <c r="D9" i="5"/>
  <c r="E18" i="6" s="1"/>
  <c r="E28" i="6" s="1"/>
  <c r="D11" i="5"/>
  <c r="F11" i="5"/>
  <c r="E9" i="5"/>
  <c r="F18" i="6" s="1"/>
  <c r="F28" i="6" s="1"/>
  <c r="G9" i="5"/>
  <c r="H18" i="6" s="1"/>
  <c r="F5" i="5"/>
  <c r="G14" i="6" s="1"/>
  <c r="D5" i="5"/>
  <c r="E14" i="6" s="1"/>
  <c r="E5" i="5"/>
  <c r="F14" i="6" s="1"/>
  <c r="G5" i="5"/>
  <c r="H14" i="6" s="1"/>
  <c r="Q395" i="1"/>
  <c r="R426" i="1"/>
  <c r="U426" i="1"/>
  <c r="Q426" i="1"/>
  <c r="C168" i="5" s="1"/>
  <c r="H152" i="5"/>
  <c r="H148" i="5"/>
  <c r="H154" i="5"/>
  <c r="R436" i="1"/>
  <c r="V436" i="1" s="1"/>
  <c r="V428" i="1"/>
  <c r="T426" i="1"/>
  <c r="F168" i="5" s="1"/>
  <c r="S426" i="1"/>
  <c r="E168" i="5" s="1"/>
  <c r="V418" i="1"/>
  <c r="H160" i="5" s="1"/>
  <c r="V396" i="1" l="1"/>
  <c r="G168" i="5"/>
  <c r="G157" i="5" s="1"/>
  <c r="G14" i="5" s="1"/>
  <c r="H23" i="6" s="1"/>
  <c r="D168" i="5"/>
  <c r="H20" i="3"/>
  <c r="H149" i="5"/>
  <c r="C157" i="5"/>
  <c r="D157" i="5"/>
  <c r="C158" i="5"/>
  <c r="F26" i="6"/>
  <c r="F27" i="6" s="1"/>
  <c r="G20" i="6"/>
  <c r="G26" i="6" s="1"/>
  <c r="E20" i="6"/>
  <c r="E26" i="6" s="1"/>
  <c r="E27" i="6" s="1"/>
  <c r="H20" i="6"/>
  <c r="H26" i="6" s="1"/>
  <c r="G6" i="5"/>
  <c r="H15" i="6" s="1"/>
  <c r="H24" i="6" s="1"/>
  <c r="E6" i="5"/>
  <c r="H9" i="5"/>
  <c r="I18" i="6" s="1"/>
  <c r="F6" i="5"/>
  <c r="G15" i="6" s="1"/>
  <c r="G24" i="6" s="1"/>
  <c r="H5" i="5"/>
  <c r="I14" i="6" s="1"/>
  <c r="E15" i="6"/>
  <c r="E24" i="6" s="1"/>
  <c r="C20" i="3"/>
  <c r="D20" i="3"/>
  <c r="R395" i="1"/>
  <c r="R2" i="1" s="1"/>
  <c r="F157" i="5"/>
  <c r="S395" i="1"/>
  <c r="S2" i="1" s="1"/>
  <c r="E20" i="3"/>
  <c r="E158" i="5"/>
  <c r="U395" i="1"/>
  <c r="U2" i="1" s="1"/>
  <c r="G20" i="3"/>
  <c r="G158" i="5"/>
  <c r="T395" i="1"/>
  <c r="T2" i="1" s="1"/>
  <c r="F20" i="3"/>
  <c r="F158" i="5"/>
  <c r="C19" i="3"/>
  <c r="C147" i="5"/>
  <c r="E157" i="5"/>
  <c r="V426" i="1"/>
  <c r="H168" i="5" s="1"/>
  <c r="E29" i="6" l="1"/>
  <c r="J52" i="6"/>
  <c r="H25" i="6"/>
  <c r="D14" i="5"/>
  <c r="E23" i="6" s="1"/>
  <c r="E25" i="6" s="1"/>
  <c r="E14" i="5"/>
  <c r="F14" i="5"/>
  <c r="G23" i="6" s="1"/>
  <c r="G25" i="6" s="1"/>
  <c r="D19" i="3"/>
  <c r="D147" i="5"/>
  <c r="H157" i="5"/>
  <c r="H158" i="5"/>
  <c r="V395" i="1"/>
  <c r="H147" i="5" s="1"/>
  <c r="F19" i="3"/>
  <c r="F147" i="5"/>
  <c r="G19" i="3"/>
  <c r="G147" i="5"/>
  <c r="D4" i="5"/>
  <c r="E5" i="6"/>
  <c r="D6" i="3"/>
  <c r="E147" i="5"/>
  <c r="E19" i="3"/>
  <c r="E8" i="6" l="1"/>
  <c r="H19" i="3"/>
  <c r="F5" i="6"/>
  <c r="E4" i="5"/>
  <c r="E6" i="3"/>
  <c r="G4" i="5"/>
  <c r="H5" i="6"/>
  <c r="G6" i="3"/>
  <c r="G5" i="6"/>
  <c r="F6" i="3"/>
  <c r="F4" i="5"/>
  <c r="G8" i="6" l="1"/>
  <c r="H8" i="6"/>
  <c r="L523" i="1"/>
  <c r="L531" i="1" s="1"/>
  <c r="Q524" i="1"/>
  <c r="C216" i="5" s="1"/>
  <c r="V524" i="1" l="1"/>
  <c r="H216" i="5" s="1"/>
  <c r="C205" i="5"/>
  <c r="C194" i="5" s="1"/>
  <c r="D16" i="6" s="1"/>
  <c r="D28" i="6" s="1"/>
  <c r="Q523" i="1"/>
  <c r="C215" i="5" l="1"/>
  <c r="C204" i="5" s="1"/>
  <c r="Q511" i="1"/>
  <c r="Q510" i="1" s="1"/>
  <c r="H205" i="5"/>
  <c r="H194" i="5" s="1"/>
  <c r="I16" i="6" s="1"/>
  <c r="V523" i="1"/>
  <c r="Q531" i="1"/>
  <c r="C223" i="5" s="1"/>
  <c r="H215" i="5" l="1"/>
  <c r="H204" i="5" s="1"/>
  <c r="V511" i="1"/>
  <c r="C212" i="5"/>
  <c r="C25" i="3"/>
  <c r="C213" i="5"/>
  <c r="V531" i="1"/>
  <c r="H223" i="5" s="1"/>
  <c r="H212" i="5" l="1"/>
  <c r="C24" i="3"/>
  <c r="C202" i="5"/>
  <c r="H25" i="3"/>
  <c r="H213" i="5"/>
  <c r="V510" i="1"/>
  <c r="H24" i="3" l="1"/>
  <c r="H202" i="5"/>
  <c r="D14" i="6" l="1"/>
  <c r="H286" i="5"/>
  <c r="H275" i="5" l="1"/>
  <c r="H198" i="5" s="1"/>
  <c r="C286" i="5"/>
  <c r="C275" i="5" l="1"/>
  <c r="C198" i="5" s="1"/>
  <c r="L179" i="1" l="1"/>
  <c r="L187" i="1" s="1"/>
  <c r="Q184" i="1"/>
  <c r="C66" i="5" s="1"/>
  <c r="C22" i="5" s="1"/>
  <c r="C11" i="5" s="1"/>
  <c r="D20" i="6" s="1"/>
  <c r="V184" i="1" l="1"/>
  <c r="H66" i="5" s="1"/>
  <c r="H22" i="5" s="1"/>
  <c r="H11" i="5" s="1"/>
  <c r="I20" i="6" s="1"/>
  <c r="Q179" i="1"/>
  <c r="V179" i="1" s="1"/>
  <c r="H61" i="5" s="1"/>
  <c r="H17" i="5" s="1"/>
  <c r="Q187" i="1" l="1"/>
  <c r="C69" i="5" s="1"/>
  <c r="C25" i="5" s="1"/>
  <c r="Q157" i="1"/>
  <c r="C11" i="3" s="1"/>
  <c r="C61" i="5"/>
  <c r="C17" i="5" s="1"/>
  <c r="V187" i="1" l="1"/>
  <c r="H69" i="5" s="1"/>
  <c r="H25" i="5" s="1"/>
  <c r="Q3" i="1"/>
  <c r="V3" i="1" s="1"/>
  <c r="V157" i="1"/>
  <c r="H11" i="3" s="1"/>
  <c r="C59" i="5"/>
  <c r="C15" i="5" l="1"/>
  <c r="C7" i="3"/>
  <c r="H59" i="5"/>
  <c r="H15" i="5"/>
  <c r="H7" i="3"/>
  <c r="H90" i="5"/>
  <c r="H13" i="5" s="1"/>
  <c r="I22" i="6" s="1"/>
  <c r="L272" i="1"/>
  <c r="L280" i="1" s="1"/>
  <c r="Q278" i="1"/>
  <c r="C100" i="5" l="1"/>
  <c r="C89" i="5" s="1"/>
  <c r="C12" i="5" s="1"/>
  <c r="Q272" i="1"/>
  <c r="V278" i="1"/>
  <c r="H100" i="5" l="1"/>
  <c r="H89" i="5" s="1"/>
  <c r="H12" i="5" s="1"/>
  <c r="Q280" i="1"/>
  <c r="C94" i="5"/>
  <c r="C83" i="5" s="1"/>
  <c r="C6" i="5" s="1"/>
  <c r="Q220" i="1"/>
  <c r="V220" i="1" s="1"/>
  <c r="V272" i="1"/>
  <c r="V280" i="1"/>
  <c r="C92" i="5" l="1"/>
  <c r="H102" i="5"/>
  <c r="H91" i="5" s="1"/>
  <c r="H14" i="5" s="1"/>
  <c r="C102" i="5"/>
  <c r="C91" i="5" s="1"/>
  <c r="C14" i="5" s="1"/>
  <c r="H94" i="5"/>
  <c r="H83" i="5" s="1"/>
  <c r="H6" i="5" s="1"/>
  <c r="C14" i="3"/>
  <c r="H92" i="5"/>
  <c r="Q219" i="1"/>
  <c r="C13" i="3" s="1"/>
  <c r="V219" i="1" l="1"/>
  <c r="H13" i="3" s="1"/>
  <c r="C81" i="5"/>
  <c r="Q2" i="1"/>
  <c r="V2" i="1" s="1"/>
  <c r="H14" i="3"/>
  <c r="D5" i="6" l="1"/>
  <c r="C4" i="5"/>
  <c r="H81" i="5"/>
  <c r="C6" i="3"/>
  <c r="I5" i="6"/>
  <c r="H6" i="3"/>
  <c r="H4" i="5"/>
  <c r="P384" i="1"/>
  <c r="O384" i="1"/>
  <c r="L699" i="1"/>
  <c r="L707" i="1" s="1"/>
  <c r="V707" i="1" s="1"/>
  <c r="C276" i="5"/>
  <c r="C199" i="5" s="1"/>
  <c r="Q699" i="1" l="1"/>
  <c r="H287" i="5"/>
  <c r="H276" i="5" s="1"/>
  <c r="H199" i="5" s="1"/>
  <c r="V699" i="1" l="1"/>
  <c r="H281" i="5" s="1"/>
  <c r="H270" i="5" s="1"/>
  <c r="H193" i="5" s="1"/>
  <c r="Q667" i="1"/>
  <c r="C279" i="5" s="1"/>
  <c r="V667" i="1"/>
  <c r="H31" i="3" s="1"/>
  <c r="C281" i="5"/>
  <c r="C289" i="5"/>
  <c r="C278" i="5" s="1"/>
  <c r="C201" i="5" s="1"/>
  <c r="H289" i="5"/>
  <c r="H278" i="5" s="1"/>
  <c r="H201" i="5" s="1"/>
  <c r="C270" i="5" l="1"/>
  <c r="Q666" i="1"/>
  <c r="V666" i="1" s="1"/>
  <c r="H279" i="5"/>
  <c r="C31" i="3"/>
  <c r="C193" i="5" l="1"/>
  <c r="Q509" i="1"/>
  <c r="V509" i="1" s="1"/>
  <c r="C268" i="5"/>
  <c r="C30" i="3"/>
  <c r="H268" i="5"/>
  <c r="H30" i="3"/>
  <c r="C23" i="3" l="1"/>
  <c r="C191" i="5"/>
  <c r="D6" i="6"/>
  <c r="H191" i="5"/>
  <c r="I6" i="6"/>
  <c r="H23" i="3"/>
  <c r="E490" i="5"/>
  <c r="E446" i="5" s="1"/>
  <c r="F15" i="6" s="1"/>
  <c r="F29" i="6" s="1"/>
  <c r="V1732" i="1"/>
  <c r="S1740" i="1"/>
  <c r="E532" i="5"/>
  <c r="V1740" i="1" l="1"/>
  <c r="E542" i="5"/>
  <c r="E498" i="5" s="1"/>
  <c r="E454" i="5" s="1"/>
  <c r="F23" i="6" s="1"/>
  <c r="F24" i="6"/>
  <c r="S1486" i="1"/>
  <c r="E54" i="3"/>
  <c r="F25" i="6" l="1"/>
  <c r="E50" i="3"/>
  <c r="E488" i="5"/>
  <c r="S1432" i="1"/>
  <c r="E444" i="5" l="1"/>
  <c r="E46" i="3"/>
  <c r="F7" i="6"/>
  <c r="F8" i="6" s="1"/>
  <c r="C496" i="5" l="1"/>
  <c r="C452" i="5" s="1"/>
  <c r="D21" i="6" s="1"/>
  <c r="D26" i="6" s="1"/>
  <c r="D27" i="6" s="1"/>
  <c r="C490" i="5"/>
  <c r="C446" i="5" s="1"/>
  <c r="D15" i="6" s="1"/>
  <c r="D24" i="6" s="1"/>
  <c r="V1778" i="1"/>
  <c r="D29" i="6" l="1"/>
  <c r="H540" i="5"/>
  <c r="H496" i="5" s="1"/>
  <c r="H452" i="5" s="1"/>
  <c r="V1772" i="1"/>
  <c r="H534" i="5" s="1"/>
  <c r="I21" i="6" l="1"/>
  <c r="I26" i="6" s="1"/>
  <c r="I27" i="6" s="1"/>
  <c r="I28" i="6" s="1"/>
  <c r="V1780" i="1"/>
  <c r="C498" i="5"/>
  <c r="C454" i="5" s="1"/>
  <c r="D23" i="6" s="1"/>
  <c r="D25" i="6" s="1"/>
  <c r="Q1486" i="1"/>
  <c r="C532" i="5"/>
  <c r="C54" i="3"/>
  <c r="H490" i="5"/>
  <c r="H446" i="5" s="1"/>
  <c r="I15" i="6" s="1"/>
  <c r="I24" i="6" s="1"/>
  <c r="H542" i="5" l="1"/>
  <c r="H498" i="5" s="1"/>
  <c r="H454" i="5" s="1"/>
  <c r="I23" i="6" s="1"/>
  <c r="H54" i="3"/>
  <c r="H532" i="5"/>
  <c r="Q1432" i="1"/>
  <c r="C50" i="3"/>
  <c r="V1486" i="1"/>
  <c r="C488" i="5"/>
  <c r="C46" i="3" l="1"/>
  <c r="D7" i="6"/>
  <c r="D8" i="6" s="1"/>
  <c r="C444" i="5"/>
  <c r="H50" i="3"/>
  <c r="H488" i="5"/>
  <c r="V1432" i="1"/>
  <c r="I7" i="6" l="1"/>
  <c r="I8" i="6" s="1"/>
  <c r="H444" i="5"/>
  <c r="H46" i="3"/>
  <c r="J8" i="6"/>
  <c r="P317" i="8"/>
  <c r="P321" i="8"/>
  <c r="P320" i="8"/>
  <c r="P319" i="8"/>
  <c r="P318" i="8"/>
</calcChain>
</file>

<file path=xl/comments1.xml><?xml version="1.0" encoding="utf-8"?>
<comments xmlns="http://schemas.openxmlformats.org/spreadsheetml/2006/main">
  <authors>
    <author>CTV_Coordinator</author>
    <author>LAB_Coordinator</author>
  </authors>
  <commentList>
    <comment ref="E218" authorId="0" shapeId="0">
      <text>
        <r>
          <rPr>
            <b/>
            <sz val="9"/>
            <color indexed="81"/>
            <rFont val="Tahoma"/>
            <family val="2"/>
            <charset val="204"/>
          </rPr>
          <t>CTV_Coordinator:</t>
        </r>
        <r>
          <rPr>
            <sz val="9"/>
            <color indexed="81"/>
            <rFont val="Tahoma"/>
            <family val="2"/>
            <charset val="204"/>
          </rPr>
          <t xml:space="preserve">
in 2021 -2% from 2019-2020)</t>
        </r>
      </text>
    </comment>
    <comment ref="D219" authorId="0" shapeId="0">
      <text>
        <r>
          <rPr>
            <b/>
            <sz val="9"/>
            <color indexed="81"/>
            <rFont val="Tahoma"/>
            <family val="2"/>
            <charset val="204"/>
          </rPr>
          <t>CTV_Coordinator:</t>
        </r>
        <r>
          <rPr>
            <sz val="9"/>
            <color indexed="81"/>
            <rFont val="Tahoma"/>
            <family val="2"/>
            <charset val="204"/>
          </rPr>
          <t xml:space="preserve">
From National Management Centre
</t>
        </r>
      </text>
    </comment>
    <comment ref="D222" authorId="0" shapeId="0">
      <text>
        <r>
          <rPr>
            <b/>
            <sz val="9"/>
            <color indexed="81"/>
            <rFont val="Tahoma"/>
            <family val="2"/>
            <charset val="204"/>
          </rPr>
          <t>CTV_Coordinator:</t>
        </r>
        <r>
          <rPr>
            <sz val="9"/>
            <color indexed="81"/>
            <rFont val="Tahoma"/>
            <family val="2"/>
            <charset val="204"/>
          </rPr>
          <t xml:space="preserve">
Reported by Left Bank in 2019</t>
        </r>
      </text>
    </comment>
    <comment ref="D232" authorId="0" shapeId="0">
      <text>
        <r>
          <rPr>
            <b/>
            <sz val="9"/>
            <color indexed="81"/>
            <rFont val="Tahoma"/>
            <family val="2"/>
            <charset val="204"/>
          </rPr>
          <t>CTV_Coordinator:</t>
        </r>
        <r>
          <rPr>
            <sz val="9"/>
            <color indexed="81"/>
            <rFont val="Tahoma"/>
            <family val="2"/>
            <charset val="204"/>
          </rPr>
          <t xml:space="preserve">
Based on reports from 2019</t>
        </r>
      </text>
    </comment>
    <comment ref="D237" authorId="0" shapeId="0">
      <text>
        <r>
          <rPr>
            <b/>
            <sz val="9"/>
            <color indexed="81"/>
            <rFont val="Tahoma"/>
            <family val="2"/>
            <charset val="204"/>
          </rPr>
          <t>CTV_Coordinator:</t>
        </r>
        <r>
          <rPr>
            <sz val="9"/>
            <color indexed="81"/>
            <rFont val="Tahoma"/>
            <family val="2"/>
            <charset val="204"/>
          </rPr>
          <t xml:space="preserve">
Based on reports from 2019</t>
        </r>
      </text>
    </comment>
    <comment ref="E244" authorId="0" shapeId="0">
      <text>
        <r>
          <rPr>
            <b/>
            <sz val="9"/>
            <color indexed="81"/>
            <rFont val="Tahoma"/>
            <family val="2"/>
            <charset val="204"/>
          </rPr>
          <t>CTV_Coordinator:</t>
        </r>
        <r>
          <rPr>
            <sz val="9"/>
            <color indexed="81"/>
            <rFont val="Tahoma"/>
            <family val="2"/>
            <charset val="204"/>
          </rPr>
          <t xml:space="preserve">
Reported by National Transfusion Center in 2019_blood samples</t>
        </r>
      </text>
    </comment>
    <comment ref="R254" authorId="1" shapeId="0">
      <text>
        <r>
          <rPr>
            <b/>
            <sz val="9"/>
            <color indexed="81"/>
            <rFont val="Tahoma"/>
            <family val="2"/>
          </rPr>
          <t>LAB_Coordinator:</t>
        </r>
        <r>
          <rPr>
            <sz val="9"/>
            <color indexed="81"/>
            <rFont val="Tahoma"/>
            <family val="2"/>
          </rPr>
          <t xml:space="preserve">
adaugat din sheet precedent, dar poate de schimbat 42-8 lei?
</t>
        </r>
      </text>
    </comment>
  </commentList>
</comments>
</file>

<file path=xl/comments2.xml><?xml version="1.0" encoding="utf-8"?>
<comments xmlns="http://schemas.openxmlformats.org/spreadsheetml/2006/main">
  <authors>
    <author>Svetlana Popovici</author>
  </authors>
  <commentList>
    <comment ref="C289" authorId="0" shapeId="0">
      <text>
        <r>
          <rPr>
            <b/>
            <sz val="9"/>
            <color rgb="FF000000"/>
            <rFont val="Tahoma"/>
            <family val="2"/>
          </rPr>
          <t>Svetlana Popovici:</t>
        </r>
        <r>
          <rPr>
            <sz val="9"/>
            <color rgb="FF000000"/>
            <rFont val="Tahoma"/>
            <family val="2"/>
          </rPr>
          <t xml:space="preserve">
</t>
        </r>
        <r>
          <rPr>
            <sz val="9"/>
            <color rgb="FF000000"/>
            <rFont val="Tahoma"/>
            <family val="2"/>
          </rPr>
          <t>8 поездок  тур-ретур на расстояние 200 км с расходом 10 литров на 100 км</t>
        </r>
      </text>
    </comment>
  </commentList>
</comments>
</file>

<file path=xl/sharedStrings.xml><?xml version="1.0" encoding="utf-8"?>
<sst xmlns="http://schemas.openxmlformats.org/spreadsheetml/2006/main" count="6337" uniqueCount="1437">
  <si>
    <t>A0 - baseline</t>
  </si>
  <si>
    <t>8 teritorii</t>
  </si>
  <si>
    <t>Обеспечение искусственым питанием детей, рожденных от ВИЧ+ матерей в возрасте 0-12 месяцев</t>
  </si>
  <si>
    <t>Обеспечение медикаментами для ПКП (приемные отделения  больниц)</t>
  </si>
  <si>
    <t xml:space="preserve"> Предоставление дополнительного пакета услуг по снижению вреда</t>
  </si>
  <si>
    <t>Оказание психосоциальной поддержки людям в фармакологическом лечении опиатной зависимости</t>
  </si>
  <si>
    <t>Предоставление АРВ препаратов для PrEP</t>
  </si>
  <si>
    <t>Организация информационных кампаний на PrEP</t>
  </si>
  <si>
    <t>564 (2,9%)</t>
  </si>
  <si>
    <t>Procurarea Naloxonei, formarea pachetelor Naloxonice (2 fiole cu naloxonă, seringi, șervețele cu alcoolși  material informațional)pentru distribuirea beneficiarilor . Procurarea Naloxonei se estimează pentru 20% de numărul estimativ a CD opiacee</t>
  </si>
  <si>
    <t>Категория</t>
  </si>
  <si>
    <t xml:space="preserve">Стратегические направления </t>
  </si>
  <si>
    <t>Стратегические задачи</t>
  </si>
  <si>
    <t>Основные мероприятия</t>
  </si>
  <si>
    <t>мероприятия</t>
  </si>
  <si>
    <t>мероприятие</t>
  </si>
  <si>
    <t>организация  пилотных проектов по предоставлению профилактических услуг лицам ТГ</t>
  </si>
  <si>
    <t>Организация и предоставление / корректировка профилактических услуг с учетом гендерной чувствительности и ориентации</t>
  </si>
  <si>
    <t>Закупка метадона для фармакологического лечения опиатной зависимости</t>
  </si>
  <si>
    <t>Закупка бупренорфина для фармакологического лечения опиатной зависимости</t>
  </si>
  <si>
    <t xml:space="preserve">Обеспечение деятельности службы профилактики PrEP </t>
  </si>
  <si>
    <t>Обеспечение медикаментами  ARV  новорожденных, рожденных  от ВИЧ инфицированых матерей для профилактики вертикальной передачи ВИЧ.</t>
  </si>
  <si>
    <t>периодический пересмотр Протокола ППМР</t>
  </si>
  <si>
    <t xml:space="preserve">Обеспечение ЛЖВ медицинским наблюдением </t>
  </si>
  <si>
    <t>Обеспечение ЛЖВ (взрослых и подростков) АРВ препаратами первой линии</t>
  </si>
  <si>
    <t>Обеспечение ЛЖВ (взрослых и подростков)АРВ  препаратами второй линии</t>
  </si>
  <si>
    <t xml:space="preserve"> Обеспечение ЛЖВ (взрослых и подростков) АРВ препаратами третьей линии</t>
  </si>
  <si>
    <t>Обеспечение детей до 10 лет АРВ препаратами</t>
  </si>
  <si>
    <t>Обеспечение лечения сифилиса</t>
  </si>
  <si>
    <t xml:space="preserve">Обеспечение всех впервые выявленных, у которых исключен ТБ профилактическим лечением </t>
  </si>
  <si>
    <t>Обеспечение всех нуждающихся профилактическим лечением ПЦП и Токсоплазмоза</t>
  </si>
  <si>
    <t xml:space="preserve">Диагностика Рака шейки Матки у женщин, живущих с ВИЧ </t>
  </si>
  <si>
    <t>Разработка и внедрение протокола скрининга на наличие риска заболеваний сердечно сосудистой системы</t>
  </si>
  <si>
    <t xml:space="preserve">Стационарное лечение ОИ </t>
  </si>
  <si>
    <t>Укрепление системы здравохранения с целью интегрирования услуг по диагностике и лечению ВИЧ / ТБ / ВГ / ИППП / TSO на всеж уровнях (УСЗ)</t>
  </si>
  <si>
    <t>Проведение исследования по выявлению основных причин выхода из АРТ( каскада услуг)</t>
  </si>
  <si>
    <t>Обеспечение эффективного управления Программой, в том числе путем укрепления системы здравоохранения (стратегической информации)</t>
  </si>
  <si>
    <t>Укрепить потенциал и улучшить  системы управления, координации и администрирования для эффективного управления программами по ВИЧ/ТБ/ Гепатитам</t>
  </si>
  <si>
    <t xml:space="preserve"> Реструктуризация и усиление системы МиО</t>
  </si>
  <si>
    <t xml:space="preserve"> Укрепить институциональный и организационный  потенциал НПО, работающих с ключевыми группами населения</t>
  </si>
  <si>
    <t>Cодействовать внедрению Национальной программы  путем мониторинга и адвокации силами сообшества</t>
  </si>
  <si>
    <t>Укрепление правовой базы и разработка стандартов для усиления системы снабжения</t>
  </si>
  <si>
    <t>Содействие выходу АРВ-препаратов и противотуберкулезных препаратов на фармацевтический рынок за счет укрепления правовой базы для регулирования. (присоединение к механизму регистрации ВОЗ в Collaboratve, ускоренная предварительная квалификационная  регистрация, специальные регистрационные сборы, возможность команды AMDM проводить оценку  посредством QHO Collaborative).</t>
  </si>
  <si>
    <t xml:space="preserve"> Предоставление основного пакета услуг по снижению вреда для МСМ</t>
  </si>
  <si>
    <t xml:space="preserve"> Предоставление дополнительного пакета услуг по снижению вреда для МСМ</t>
  </si>
  <si>
    <t>Предоставление пакета профилактических услуг для МСМ и ТГ</t>
  </si>
  <si>
    <t>Представление пакета профилактических услуг для ЛУИН</t>
  </si>
  <si>
    <t>1.1.2.4</t>
  </si>
  <si>
    <t>1.1.2.5</t>
  </si>
  <si>
    <t>деятельность</t>
  </si>
  <si>
    <t>1.1.3</t>
  </si>
  <si>
    <t>1.1.3.1</t>
  </si>
  <si>
    <t>1.1.3.2</t>
  </si>
  <si>
    <t>Обеспечить всеобщий доступ к ДКП</t>
  </si>
  <si>
    <t>Обеспечение ПКП всех случаев рисков инфицирования с ВИЧ, обратившихся за ПКП</t>
  </si>
  <si>
    <t>Предоставление мобильных услуг по профилактике и тестированию  среди всех групп</t>
  </si>
  <si>
    <t>Поддержка и развитие инновационных профилактических проектов</t>
  </si>
  <si>
    <t>Представление пакета профилактических услуг для РС (в том числе мужчин и ТГ)</t>
  </si>
  <si>
    <t>Обеспечение доступа к АРВ лечению и лечению сифилиса</t>
  </si>
  <si>
    <t>Создать интегрированную платформу для Стратегической информации  и обеспечение ефективной работы (SIME HIV)</t>
  </si>
  <si>
    <t>1.1.2.7</t>
  </si>
  <si>
    <t>Снизить стигму и дискриминацию, связанную с ВИЧ-статусом</t>
  </si>
  <si>
    <t>Продвижение научно обоснованных подходов общественного здравоохранения к профилактике и лечению ВИЧ.</t>
  </si>
  <si>
    <t>Усиление соблюдения законов о гражданских правах для защиты ЛЖВ и представителей групп риска от преследования, насилия, мести и дискриминации, связанных с ВИЧ-статусом.</t>
  </si>
  <si>
    <t>Мобилизация сообществ для снижения стигмы, связанной с ВИЧ.</t>
  </si>
  <si>
    <t>1.1.2.5.1</t>
  </si>
  <si>
    <t>1.1.2.5.2</t>
  </si>
  <si>
    <t>1.1.2.6</t>
  </si>
  <si>
    <t>1.1.2.6.1</t>
  </si>
  <si>
    <t>1.1.2.6.2</t>
  </si>
  <si>
    <t>1.1.2.7.1</t>
  </si>
  <si>
    <t>1.1.2.7.2</t>
  </si>
  <si>
    <t>1.1.2.7.3</t>
  </si>
  <si>
    <t>1.1.2.7.4</t>
  </si>
  <si>
    <t>1.1.2.7.5</t>
  </si>
  <si>
    <t>1.1.2.7.6</t>
  </si>
  <si>
    <t>Активизировать усилия по профилактике ВИЧ в ключевых группах с высоким уровнем риска инфицирования</t>
  </si>
  <si>
    <t>1.1.3.3</t>
  </si>
  <si>
    <t>источники финансирования</t>
  </si>
  <si>
    <t>Общая потребность</t>
  </si>
  <si>
    <t>В программе</t>
  </si>
  <si>
    <t>Министерство юстиции</t>
  </si>
  <si>
    <t>Глобальный фонд (правый берег)</t>
  </si>
  <si>
    <t>другие доноры</t>
  </si>
  <si>
    <t>дефицит</t>
  </si>
  <si>
    <t>-  distribuirea prezervativelor cu duritatea sporită și lubrifianților; 
-  consiliere și testare la HIV, HVC și HVB, sifilis;
 - screening la TB; 
- informare, educare pentru prevenire HIV, HVC și HVB, inclusiv on-line</t>
  </si>
  <si>
    <t>set de servicii</t>
  </si>
  <si>
    <t xml:space="preserve">- Asigurarea accesului la medicamente, sol. dezinfectante și alte e de menținerea a sănătăți
- Referire/ acompaniere (medicală/ psihologică/socială);
- Grupuri de autoajutor;
- Asistență psihologică, socială și juridică și reprezentarea intereselor beneficiarilor din cadrul GRSI;
- Servicii de sănătate sexuală și reproductivă, inclusive de sănătate și materiele informationale sensibile la dimensiunea de gen;
- Servicii de prevenire a violenței, traficului de persoane și asigurarea securității beneficiarilor PRR;
- Servicii de motivare și sporire a atractivității                                            </t>
  </si>
  <si>
    <t xml:space="preserve"> - Schimbul de seringi și servețele imbibate cu alcool; 
-  distribuirea prezervativelor;
-  consiliere și testare la HIV, HVC și HVB, sifilis; 
- screening la TB; 
- informare, educare pentru prevenire HIV, HVC și HVB</t>
  </si>
  <si>
    <t>42,3%</t>
  </si>
  <si>
    <t>Глобальный фонд (левый берег)</t>
  </si>
  <si>
    <t xml:space="preserve"> - Asigurarea accesului la medicamente, sol. dezinfectante și alte de menținere a sănătăți
- Referire/ acompaniere (medicală/ psihologică/socială);
- Grupuri de autoajutor;
- Asistență psihologică, socială și juridică și reprezentarea intereselor beneficiarilor din cadrul GRSI;
- Servicii de sănătate sexuală și reproductivă, inclusiv de sănătate și materiele informationale sensibile la dimensiunea de gen;
- Servicii de prevenire a violenței, traficului de persoane și asigurarea securității beneficiarilor PRR;
- Servicii de motivare și sporire a atractivității PRR.        </t>
  </si>
  <si>
    <t>описание единицы</t>
  </si>
  <si>
    <t>флакон налоксона</t>
  </si>
  <si>
    <t>pe pacienți pe an (medie)</t>
  </si>
  <si>
    <t>produs</t>
  </si>
  <si>
    <t>-  distribuirea prezervativelor; 
-  consiliere și testare la HIV, HVC și HVB, sifilis; 
- screening la TB; 
- informare, educare pentru prevenire HIV, HVC și HVB.</t>
  </si>
  <si>
    <t xml:space="preserve">- Asigurarea accesului la medicamente, sol. dezinfectante și alte de menținerea a sănătăți
- Referire/ acompaniere (medicală/ psihologică/socială);
- Grupuri de autoajutor;
- Asistență psihologică, socială și juridică și reprezentarea intereselor beneficiarilor din cadrul GRSI;
- Servicii de sănătate sexuală și reproductivă, inclusiv de sănătate și materiele informationale sensibile la dimensiunea de gen;
- Servicii de prevenire a violenței, traficului de persoane și asigurarea securității beneficiarilor PRR;
- Servicii de motivare și sporire a atractivității                                </t>
  </si>
  <si>
    <t>Единица, цена</t>
  </si>
  <si>
    <t>№</t>
  </si>
  <si>
    <t>Название</t>
  </si>
  <si>
    <t>Total</t>
  </si>
  <si>
    <t>2021 стоимость</t>
  </si>
  <si>
    <t>2022 стоимость</t>
  </si>
  <si>
    <t>2023 стоимость</t>
  </si>
  <si>
    <t>2024 стоимость</t>
  </si>
  <si>
    <t>2025 стоимость</t>
  </si>
  <si>
    <t>Data</t>
  </si>
  <si>
    <t>(blank)</t>
  </si>
  <si>
    <t>Grand Total</t>
  </si>
  <si>
    <t>Sum of 2021 стоимость</t>
  </si>
  <si>
    <t>Sum of 2022 стоимость</t>
  </si>
  <si>
    <t>Sum of 2023 стоимость</t>
  </si>
  <si>
    <t>Sum of 2024 стоимость</t>
  </si>
  <si>
    <t>Sum of 2025 стоимость</t>
  </si>
  <si>
    <t>Sum of Total</t>
  </si>
  <si>
    <t>В программе, в том числе</t>
  </si>
  <si>
    <t xml:space="preserve">            Глобальный фонд (левый берег)</t>
  </si>
  <si>
    <t xml:space="preserve">            Министерство здравоохранения, труда и сокциальной защиты</t>
  </si>
  <si>
    <t xml:space="preserve">            Министерство юстиции</t>
  </si>
  <si>
    <t xml:space="preserve">            Национальная Компания Обязательного Медицинского Страхования</t>
  </si>
  <si>
    <t xml:space="preserve">            Глобальный фонд (правый берег)</t>
  </si>
  <si>
    <t xml:space="preserve">           другие доноры</t>
  </si>
  <si>
    <t>(All)</t>
  </si>
  <si>
    <t>1.</t>
  </si>
  <si>
    <t>1.1.</t>
  </si>
  <si>
    <t>1.1.1.</t>
  </si>
  <si>
    <t>1.1.1.1.</t>
  </si>
  <si>
    <t>1.1.1.2.</t>
  </si>
  <si>
    <t>1.1.2.</t>
  </si>
  <si>
    <t>1.1.2.1.</t>
  </si>
  <si>
    <t>1.1.2.2.</t>
  </si>
  <si>
    <t>1.1.2.3.</t>
  </si>
  <si>
    <t>Местная администрация Левобережья</t>
  </si>
  <si>
    <t>Компания Национального  Обязательного Медицинского Страхования</t>
  </si>
  <si>
    <r>
      <t xml:space="preserve">Activitate principală </t>
    </r>
    <r>
      <rPr>
        <b/>
        <i/>
        <sz val="10"/>
        <color indexed="45"/>
        <rFont val="Calibri (Body)"/>
      </rPr>
      <t>/Main Activity</t>
    </r>
  </si>
  <si>
    <r>
      <t xml:space="preserve">Activitate </t>
    </r>
    <r>
      <rPr>
        <i/>
        <sz val="10"/>
        <color indexed="45"/>
        <rFont val="Calibri (Body)"/>
      </rPr>
      <t>/Activity</t>
    </r>
  </si>
  <si>
    <r>
      <rPr>
        <b/>
        <sz val="10"/>
        <rFont val="Calibri (Body)"/>
      </rPr>
      <t xml:space="preserve">Obiectiv strategic </t>
    </r>
    <r>
      <rPr>
        <b/>
        <i/>
        <sz val="10"/>
        <color indexed="45"/>
        <rFont val="Calibri (Body)"/>
      </rPr>
      <t>/Strategic objective</t>
    </r>
  </si>
  <si>
    <t xml:space="preserve"> Предоставление основного пакета профилактических услуг для РС (в том числе мужчин и ТГ)</t>
  </si>
  <si>
    <t>- distribuirea prezervativelor inclusiv și  cu duritatea sporită;
 -  consiliere și testare la HIV și sifilis;
 - informare, educare pentru prevenire HIV, HVC și HVB.</t>
  </si>
  <si>
    <t>treninguri</t>
  </si>
  <si>
    <t xml:space="preserve">pe pacienți pe an </t>
  </si>
  <si>
    <t>тренинг</t>
  </si>
  <si>
    <t>курс</t>
  </si>
  <si>
    <t>проект</t>
  </si>
  <si>
    <t>информацонная кампания</t>
  </si>
  <si>
    <t>test kit</t>
  </si>
  <si>
    <t>исследование</t>
  </si>
  <si>
    <t>Стратегическое направление</t>
  </si>
  <si>
    <t>TOTAL</t>
  </si>
  <si>
    <t xml:space="preserve"> Поддержка и развитие единого информационного канала на сайте ССМ </t>
  </si>
  <si>
    <t xml:space="preserve">Организация  исследования по оценке количества лиц, употребляющих неинъекционные наркотики, от общего числа потребителей наркотиков.                                            </t>
  </si>
  <si>
    <t xml:space="preserve"> Закупка и распределение налоксона для клиентов программы снижения вреда</t>
  </si>
  <si>
    <t>Обновление нормативной базы  реглементирующей включение пациентов в программу TSO</t>
  </si>
  <si>
    <t>Разработка нормативной базы для предоставления услуг PrEP в медицинских учреждениях и на уровне сообщества и расчет стоимости услуги PrEP</t>
  </si>
  <si>
    <t>Усовершенствование нормативной базы (пересмотр НКП ПКП, инструкции по извещению и экстренному назначению, аналитические отчеты)</t>
  </si>
  <si>
    <t>Создание системы отчетности о выявлении ВИЧ+ беременной и последующим ее наблюдением, включая процедуру расследования каждого случая подтверждения ВИЧ у ребенка</t>
  </si>
  <si>
    <t>годовой курс</t>
  </si>
  <si>
    <t>расчетное количество</t>
  </si>
  <si>
    <t>90% выявленных</t>
  </si>
  <si>
    <t>90% в АРВ</t>
  </si>
  <si>
    <t>90% с неопределяемой ВН</t>
  </si>
  <si>
    <t>дети до 10 лет</t>
  </si>
  <si>
    <t>взрослые</t>
  </si>
  <si>
    <t>1 линия</t>
  </si>
  <si>
    <t>2 линия</t>
  </si>
  <si>
    <t>3 линия</t>
  </si>
  <si>
    <t>количество сифилиса в год</t>
  </si>
  <si>
    <t>средняя стоимость первой линии/ на 1 год</t>
  </si>
  <si>
    <t>средняя стоимость второй линии/на 1 год</t>
  </si>
  <si>
    <t>средняя стоимость  третьей  линии/ на 1 год</t>
  </si>
  <si>
    <t>средняя стоимость АРВ для детей до 10 лет</t>
  </si>
  <si>
    <t xml:space="preserve">средняя стоимость медицинского наблюдения </t>
  </si>
  <si>
    <t>TDF+FTC+EFV</t>
  </si>
  <si>
    <t>TDF+3TC+DTG</t>
  </si>
  <si>
    <t>(ABC+3TC)+DTG</t>
  </si>
  <si>
    <t>(AZT+3TC)+LPV/r</t>
  </si>
  <si>
    <t>(TDF+FTC)+DRV+R+DTG</t>
  </si>
  <si>
    <t>3-14</t>
  </si>
  <si>
    <t>ABC+3TC+LPV/r (sirop)</t>
  </si>
  <si>
    <t>AZT+3TC+LPV/r (sirop)</t>
  </si>
  <si>
    <t>14-25</t>
  </si>
  <si>
    <t>ABC+3TC+LPV/r (tab)</t>
  </si>
  <si>
    <t>AZT+3TC+LPV/r (tab)</t>
  </si>
  <si>
    <t>ABC+3TC 60+30 mg</t>
  </si>
  <si>
    <t>LPV/r sirop 1 ml</t>
  </si>
  <si>
    <t>LPV/r 100/25 mg</t>
  </si>
  <si>
    <t>AZT+3TC 60+30 mg</t>
  </si>
  <si>
    <t>лечение сифилиса Benzatin penicilin 2,4 MIU № 3</t>
  </si>
  <si>
    <t xml:space="preserve"> 1 укол - 4 МДЛ</t>
  </si>
  <si>
    <t>пациент</t>
  </si>
  <si>
    <t>смотри расчеты на листе Budget assumption</t>
  </si>
  <si>
    <t>Адвокация и техническая помощь по открытию кабинетов АРТ на уровне районных больниц</t>
  </si>
  <si>
    <t>Создание Нормативного Акта, разрешающего и регламентирующего механизм выдачи  (доставки) АРТ сотрудниками НПО.</t>
  </si>
  <si>
    <t xml:space="preserve">Разработка нормативных актов, регламентирующих механизм работы районного кабинета АРТ </t>
  </si>
  <si>
    <t>день работы консультанта</t>
  </si>
  <si>
    <t>кабинет АРТ</t>
  </si>
  <si>
    <t>Диагностика, профилактика и лечение ОИ и сопутствующих заболеваний</t>
  </si>
  <si>
    <t>Разработка и внедрение механизмов предоставления услуг, обеспечивающих их непрерывность между услугами профилактики, тестирования и медицинской помощи</t>
  </si>
  <si>
    <t>Разработка и внедрение механизмов предоставления услуг, обеспечивающих их непрерывность между гражданской и пенитенциарной системой</t>
  </si>
  <si>
    <t>Разработка нормативных актов по интеграции услуг лечения, ориентированных на пациента (вакцинация и лечение ВГ, профилактика и лечение ТБ, лечение зависимостей, сервисы по репродуктивному здоровью, паллиативный уход)</t>
  </si>
  <si>
    <t>Актуализация и усовершенствование механизмов предоставления услуг и необходимой информации с учетом потребности пациентов, включая информацию на языках меньшинств, для людей с ограниченными  возможностями</t>
  </si>
  <si>
    <t>Разработка действенных механизмов взаимодействия со службой туберкулезной и наркологической  помощи, включая обмен информацией, совместные встречи, круглые столы и клинические аудиты</t>
  </si>
  <si>
    <t>Разработка и внедрение изменений в национальный классификатор професий и подготовка механизмов (включая финансовые) по интеграция общественных  работников в штат медицинских учрежденийсистему здравоохранения.</t>
  </si>
  <si>
    <t xml:space="preserve"> Повышение эффективности лечения путем обеспечения приверженности к АРТ</t>
  </si>
  <si>
    <t>Разработка стандарта оказании психо-социальных услуг для мультидисциплинарных команд при кабинетах АРТ</t>
  </si>
  <si>
    <t xml:space="preserve">Проведение расчета стоимости пакета услуг по психо-социальной поддержки и разраотка механизмов контрактирования услуг по психосоциальной поддержке </t>
  </si>
  <si>
    <t>Предоставление услуг по психосоциальной поддержке с фокусом на формирование привержености к лечению</t>
  </si>
  <si>
    <t>Обеспечение деятельности координационной структуры Национальной программы</t>
  </si>
  <si>
    <t xml:space="preserve"> Укрепление потенциала координаторов территориальных программ</t>
  </si>
  <si>
    <t>Повышение координации менеджмента программ по ВИЧ, ТБ и гепатитам</t>
  </si>
  <si>
    <t>Усиление координации програм путем укрепления потенциала управления программой</t>
  </si>
  <si>
    <t>Разработка новой модели взаимодействия программ и подготовка нормативной базы по интеграции их управленческих аппаратов</t>
  </si>
  <si>
    <t>Внедрение единой структуры управления через единые механизмы принятия решений основанных на стратегической информации</t>
  </si>
  <si>
    <t>Обеспечение единого процесса планирования и отчетности в рамках созданной структуры управления</t>
  </si>
  <si>
    <t xml:space="preserve"> Оценка, пересмотр функционала и обновление организационной структуры МиО  на всех уровнях</t>
  </si>
  <si>
    <t>мониторинговый визит</t>
  </si>
  <si>
    <t>Пересмотр нормативной базы, регламентирующей  рутиныи эпидемиологический надзор за ВИЧ и ИППП /Revizuirea actelor normative in supravegherea epidemiologică operativă a infecţiei cu HIV şi ITS</t>
  </si>
  <si>
    <t>Обучение специалистов общественного здравоохранения  по рyтиному эпидемиологическому надзору за ВИЧ и ИППП  Instruirea specialistilor din domeniul sănătăţii publice în supravegherea epidemiologică operative a infecţiei cu HIV şi ITS</t>
  </si>
  <si>
    <t>Проведение ежегодных  мероприятий по отслежованя внедрения  оперативному эпидемиологическому надзору за ВИЧ и ИППП   Realizarea activităţilor de follow up anuale în supravegherea epidemiologică operativă a infecţiei cu HIV şi ITS</t>
  </si>
  <si>
    <t>семинар</t>
  </si>
  <si>
    <t xml:space="preserve">Осуществление оперативного эпидемиологического надзора за ВИЧ и ИППП с разработкой полугодовых и годовых показателей на местном и национальном уровне   Efectuarea supravegherii epidemiologice operative a infecției cu HIV și ITS  cu elaborarea  indicatorilor semestrial și anual la nivel local si național </t>
  </si>
  <si>
    <t xml:space="preserve">Проведение исследования среди мобильного населения.  Efectuarea studiului in rândurile populaţiei mobile   </t>
  </si>
  <si>
    <t xml:space="preserve">Проведение иследования  знаний, отношений и практик  среди  молодежи  Efectuarea studiului cunostințe, adtitudini și practici în rindurile tineriilor </t>
  </si>
  <si>
    <t xml:space="preserve">Разработка и публикация ежегодного национального доклада об эпидемиологической ситуации по ВИЧ / СПИД / ИППП.  Elaborarea și publicarea Raportului național anual privind situația epidemiologică in HIV/SIDA/ITS </t>
  </si>
  <si>
    <t>Представление эпидемиологических данных о ВИЧ / СПИД-инфекции в Европейском бюро ВОЗ и Европейском центре контроля заболеваний      Raportarea  datelor epidemiologice in infecția HIV/SIDA  la  Biroul European OMS şi Centrul European de Control al Bolilor</t>
  </si>
  <si>
    <t>Оперативные исследования для оценки  эпидемиологического надзора за ВИЧ / СПИД инфекцией и участия  СГНОЗ в мерах контроля и ответа Cercetarea operaţională de evaluare a supravegherii epidemiologice a infecţiei cu HIV/SIDA si implicarea SSSP in masurile de control si raspuns</t>
  </si>
  <si>
    <t>Разработка и публикация периодических аналитических дайджестов, подготовленных силами сообществ, по результатам мониторинга основных показателей программы</t>
  </si>
  <si>
    <t>Обеспечить эффективность внедрения программы путем инвестиции в знания и навыки, необходимые для предоставления услуг</t>
  </si>
  <si>
    <t>Предоставить своевременную, качественую информацию для принятия стратегических решений</t>
  </si>
  <si>
    <t>Усовершенствование государственной политики по планированию и развитию  человеческих ресурсов для выполнения программы</t>
  </si>
  <si>
    <t>Разработка/пересмотр нормативной базы по планированию подготовки кадров и удержания сотрудников в учреждениях для возможности выполнения национальной программы. Разработка эффективных моделей мотивация (включая финансовую)</t>
  </si>
  <si>
    <t>Пересмотра функцинальных обязанностей и квалификационных требований для сотрудников государственных учреждений и НПО, оказывающих услуги для представителей клчевых групп и ЛЖВ</t>
  </si>
  <si>
    <t>Оперативное управление человеческими ресурсами и обеспечение непрерывного профессионального развития</t>
  </si>
  <si>
    <t>Разработка и внедрение курикула програм для повышения квалификации специалистов</t>
  </si>
  <si>
    <t>Разработка и институционализация цифровых учебных платформ для лиц, предоставляющих услуги (профилактики, лечения, диагностики)</t>
  </si>
  <si>
    <t>Развитие и поддержка современных форм дистанционного обучения с использованием учебных платформ и мощностей медицинских вузов</t>
  </si>
  <si>
    <t>Формирование благоприятной  среды для открытия помещения для безопасного потребления наркотиков (профилактика передозировок), пилотв одном-двум регионам Молдовы</t>
  </si>
  <si>
    <t>Поддержка  общественного (публичного) лидерства ЛЖВ и ключевых групп</t>
  </si>
  <si>
    <t>ВСЕГО</t>
  </si>
  <si>
    <t>Поддерживать адвокацию , коммуникацию и социальную мобилизацию гражданского общества путем укрепления системы сообществ</t>
  </si>
  <si>
    <t>Оказание методической и технической помощи ВИЧ-сервисным организациям и формальным инициативным группам для актуализации стратегических планов и их внедрения</t>
  </si>
  <si>
    <t xml:space="preserve">Привлечение экспертов для разработки/актуализации стратегических планов  (1 организация - 10 дней, 2021 - 7 организаций, 2022 - 5 организаций) + менторская поддержка реализации планов (10 дней, 2022 - 7 организаций, 2023 - 5 организаций) </t>
  </si>
  <si>
    <t>Повышение эффективности функционирования и охвата ключевых уязвимых групп на коммуникационных платформах путем поддержки современных коммуникационных стратегий</t>
  </si>
  <si>
    <t xml:space="preserve">Обеспечение мониторинга силами сообществ процесса выполнения программы для обеспечения перехода на государственное финансирование и оценки выполнения национальной программы в целом  </t>
  </si>
  <si>
    <t>привлечение экспертов для обеспечения процесса программного (2 человека) и финансового (2 человека) мониторинга на национальном и региональном уровне  (5 дней в месяц) +  для сопровождения разработки территориальных программ (по 5 дней на территорию в 2021 году)</t>
  </si>
  <si>
    <t xml:space="preserve">Адвокация и социальная мобилизация сообществ для обеспечения финансирования программ снижения рисков, ухода и поддержки из местных источников (Национальные и локальные бюджеты, CNAM и др.) </t>
  </si>
  <si>
    <t>круглые столы/встречи</t>
  </si>
  <si>
    <t>региональные и национальный круглые столы (встречи) - 3 встречи за два месяца, с возможностью проведения пресс-конференции</t>
  </si>
  <si>
    <t>Повышение потенциала представителей сообществ для обеспечения ээфективной адвокации выполнения национальной программы</t>
  </si>
  <si>
    <t xml:space="preserve">двухдневные тренинги для представителей сообществ по вопросам методологии мониторинга, бюджетной адвокации, аккредитации сервисных организаций, обеспечение сбора  показателей  национальной программы и сбора данных по сатисфакции полученных услуг </t>
  </si>
  <si>
    <t xml:space="preserve">Оказание техничесой помощи ВИЧ сервисным организаций в получении аккредитации для предоставления услуг </t>
  </si>
  <si>
    <t>привлечение экспертов для оказания технической помощи организациям при прохождении аккредитации (2 дня для организации)</t>
  </si>
  <si>
    <t>Разработка и поддержка информационных и образовательных кампаний для отдельных групп населения для популяризации тестирования на ВИЧ и ИППП, снижения рискового поведения, доступности современных методов профилактики и лечения с использованием современнх технологий</t>
  </si>
  <si>
    <t xml:space="preserve">организация информационных кампаний посвященных критическим и важным проблем связанным с ВИЧ (популяризация тестирования, информирование о PrEP, повышение общего уровня знаний среди молодежи, санитарно-просветительская работа) Тематика кампании определяется на основании открытого обсуждения с ключевыми стейхолдерами </t>
  </si>
  <si>
    <t>Разработка и печать разнообразных информационных материалов для представителей групп риска и ЛЖВ</t>
  </si>
  <si>
    <t xml:space="preserve">
информационные материалы</t>
  </si>
  <si>
    <t>Разработка, дизайн и печать информационных материалов (листовки, брошюры, плакаты, баннеры, электронные макеты) для раздачи представителям групп риска и ЛЖВ, размещения в общественных местах. Дизайн утверждается рабочей группой с представителями сообществ и ключевых министерств.
Количество и специфика определяется для каждой группы (ЛУИН, МСМ, СР, ТГ, заключенные, ЛЖВ)</t>
  </si>
  <si>
    <t>Обеспечение систематическиго сбора и обработки данных о случаях дискриминации и нарушения прав ключевых уязвимых групп (Soft R.I.D.) путем поддержки сети равных консультантов по правовым вопросам (параюристов)</t>
  </si>
  <si>
    <t>Обеспечение стратегических судебных разбирательств по отдельным делам и техническая поддержка адвокатов CNAJGS</t>
  </si>
  <si>
    <t>Укрепления потенциала сети равных консультантов, параюристов и адвокатов CNAJGS по правовым вопросам (PromoLex traning)</t>
  </si>
  <si>
    <t>Проведение иследования Индекс СТИГМЫ людей, живущих с ВИЧ</t>
  </si>
  <si>
    <t>смотри отдельный бюджет</t>
  </si>
  <si>
    <t>Проведение иследования представлений и установок в отношении вопроса равенства в Республике Молдова</t>
  </si>
  <si>
    <t>Разработка и пилотирование модульной программы по предоставлению услуг для преодоления самостигматизации в рамках ВИЧ сервиса</t>
  </si>
  <si>
    <t>проведение мероприятий к Всемирному дню СПИДа и Дню памяти людей умерших от СПИДа</t>
  </si>
  <si>
    <t>информационная кампания</t>
  </si>
  <si>
    <t>Вовлечение представителей сообществ в рабочие группы, коммитеты, государственные и международные структуры для обсждения и подготовки рекомендаций к стратегически важным документам (политики, стратегии, законодательство, международные обязательства)</t>
  </si>
  <si>
    <t>международные поездки</t>
  </si>
  <si>
    <t xml:space="preserve">Экспертиза для анализа, разработки и продвижения приоритетов сообщества уязвимых групп в рамках общественных политик и законодательства  </t>
  </si>
  <si>
    <t>Рабочие встречи для определния приоритетов сообщества уязвимых групп в рамках политик и законодательства (Закупки КАПС, интелектуальная собственость)</t>
  </si>
  <si>
    <t>1 day event</t>
  </si>
  <si>
    <t>participants</t>
  </si>
  <si>
    <t>quantity</t>
  </si>
  <si>
    <t>frequency</t>
  </si>
  <si>
    <t>price</t>
  </si>
  <si>
    <t>cost</t>
  </si>
  <si>
    <t xml:space="preserve">Moderator fee </t>
  </si>
  <si>
    <t>person</t>
  </si>
  <si>
    <t xml:space="preserve">Coffee breaks  2 times per day </t>
  </si>
  <si>
    <t xml:space="preserve">Lunch  </t>
  </si>
  <si>
    <t xml:space="preserve">Rental fees for premises and equipment </t>
  </si>
  <si>
    <t>day</t>
  </si>
  <si>
    <t>Transportation costs for moderators</t>
  </si>
  <si>
    <t>Incidental  (5%)</t>
  </si>
  <si>
    <t>total</t>
  </si>
  <si>
    <t>2 days event (training)</t>
  </si>
  <si>
    <t>days</t>
  </si>
  <si>
    <t>Dinner</t>
  </si>
  <si>
    <t xml:space="preserve">Accomodation </t>
  </si>
  <si>
    <t xml:space="preserve">night </t>
  </si>
  <si>
    <t xml:space="preserve">Handouts kit </t>
  </si>
  <si>
    <t xml:space="preserve">person </t>
  </si>
  <si>
    <t>Ticket (round trip)</t>
  </si>
  <si>
    <t>Registration fee</t>
  </si>
  <si>
    <t>Per diem</t>
  </si>
  <si>
    <t>3 days event (training)</t>
  </si>
  <si>
    <t>% план</t>
  </si>
  <si>
    <t>АРВ план, в том числе</t>
  </si>
  <si>
    <t>консультанты</t>
  </si>
  <si>
    <t>день</t>
  </si>
  <si>
    <t>национальный консультант</t>
  </si>
  <si>
    <t>международный консультант</t>
  </si>
  <si>
    <t>Лечение ВИЧ</t>
  </si>
  <si>
    <t xml:space="preserve">Снижение новых случаев ВИЧ-инфекции </t>
  </si>
  <si>
    <t>Предоставление профилактических услуг для заключенных</t>
  </si>
  <si>
    <t>Расширение фармакологического лечения опиатной зависимости в гражданском и пенитенциарном секторе</t>
  </si>
  <si>
    <t>Внедрить и расширить усилия по профилактике ВИЧ-инфекции с помощью комбинированных эффективных доказательных подходов</t>
  </si>
  <si>
    <t xml:space="preserve">90/90/90 Повышение доступа к медицинской помощи и улучшение показателей здоровья людей, живущих с ВИЧ </t>
  </si>
  <si>
    <t xml:space="preserve">Развивать и поддерживать современные подходы тестирования на ВИЧ для раннего выявления ВИЧ-инфекции (finding the positives) </t>
  </si>
  <si>
    <t xml:space="preserve">Сформировать устойчивые системы, способствующие раннему назначению АРТ </t>
  </si>
  <si>
    <t>Разработать дифференцированную модель предоставления услуг, включая расчет стоимости пакетов услуг</t>
  </si>
  <si>
    <t>Поддержка и развитие подходов по децентрализации лечения</t>
  </si>
  <si>
    <t>Укрепление системы здравохранения для обеспечения непрерывности услуг</t>
  </si>
  <si>
    <t>Разработка и пилотирование инновационных подходов для поддержания привержености к лечению для разных групп населения</t>
  </si>
  <si>
    <t xml:space="preserve">Укрепление системы здравохранения с целю улучшения качества предоставления услуг </t>
  </si>
  <si>
    <t>Обеспечение мероприятий для ликвидации передачи ВИЧ от матери ребенку</t>
  </si>
  <si>
    <t>Укрепление систем здравохранения для ликвидации передачи ВИЧ от матери ребенку</t>
  </si>
  <si>
    <t>Обеспечение универсального доступа к тестирования на ВИЧ и ИППП для беременных женщин</t>
  </si>
  <si>
    <t>Обеспечение  универсального доступа к тестированию новорожденных</t>
  </si>
  <si>
    <t>Обеспечение всеобщего доступа к  тестированию на ВИЧ и ИППП образцов крови, собранных в Службе переливания крови</t>
  </si>
  <si>
    <t>Обеспечение универсального доступа для подтверждения ВИЧ-инфекции и сифилиса с помощью лабораторных методов для своевременного назначения АРТ</t>
  </si>
  <si>
    <t xml:space="preserve"> Обеспечение универсального доступа для подтверждения диагноза других ИППП с помощью лабораторных методов.</t>
  </si>
  <si>
    <t xml:space="preserve"> Обеспечение мониторинга лечения пациентов с ВИЧ </t>
  </si>
  <si>
    <t>Тесты для определения вирусной нагрузки</t>
  </si>
  <si>
    <t>Тесты для определения CD4</t>
  </si>
  <si>
    <t xml:space="preserve">LAM determination </t>
  </si>
  <si>
    <t xml:space="preserve">Разработка модели создания мультидисциплинарных команд с привлечением социальных медсестер в сельських районах
</t>
  </si>
  <si>
    <t>Пилотирование модели поддержки мультидисциплинарных команд с привлечением социальных медсестер в сельських районах для расширения тестирования на ВИЧ, сифилис и гепатит</t>
  </si>
  <si>
    <t>Обеспечение всеобщего доступа к услугам по тестированию на ВИЧ и ИППП по инициативе медицинского работника  (клинические показания, бюрократия и т. Д.)</t>
  </si>
  <si>
    <t>Надзор за эффективностью применения АРВ препаратов</t>
  </si>
  <si>
    <t>Проведение операционных и эпидемиологических исследований</t>
  </si>
  <si>
    <t xml:space="preserve">Обеспечение распространения данных и  отчетов. </t>
  </si>
  <si>
    <t>Укрепление потенциала Службы тестирования и диагностики ВИЧ / ИППП путем обеспечения качественных результатов как минимум в 95% подразделений тестирования и диагностики ВИЧ / ИППП.</t>
  </si>
  <si>
    <t>Создание и укрепление Национальной референс лаборатории по ВИЧ / ИППП.</t>
  </si>
  <si>
    <t>Создание и укрепление региональных лабораторий по подтверждению ВИЧ</t>
  </si>
  <si>
    <t>Обзор политик и протоколов в области тестирования на ВИЧ / ИППП</t>
  </si>
  <si>
    <t>Развитие человеческих ресурсов для службы тестирования на ВИЧ</t>
  </si>
  <si>
    <t>Устранить барьеры для внедрения технологии (диагностика, лаборатория), лекарственные препараты и усиление системы снабжения. (УСЗ)</t>
  </si>
  <si>
    <t>Стратегические направления, ключевые мероприятия и мероприятия программы</t>
  </si>
  <si>
    <t>Обеспечение общественного обсуждения разработанных документов и предложенных механизмов</t>
  </si>
  <si>
    <t xml:space="preserve">офисное оборудование для  обеспечения места работы (компьютер, принтер) </t>
  </si>
  <si>
    <t>полная зарплата социального работника</t>
  </si>
  <si>
    <t>Всего на 1 пилот</t>
  </si>
  <si>
    <t>Пилотныq  проект децентрализация</t>
  </si>
  <si>
    <t>цена</t>
  </si>
  <si>
    <t>мес</t>
  </si>
  <si>
    <t>стоимость</t>
  </si>
  <si>
    <t>1 days event (training)</t>
  </si>
  <si>
    <t>пилот</t>
  </si>
  <si>
    <t xml:space="preserve">20% надбавки к зарплате специалистов </t>
  </si>
  <si>
    <t xml:space="preserve">траспортные расходы для доставки анализов,  получения АРВ </t>
  </si>
  <si>
    <t>Пилотныq  проект социальные медсестры</t>
  </si>
  <si>
    <t>для обеспечения прозрачности принятия решения и обсуждения разработанных механизмов будут проведены круглые столы/встречи на национальному уровне (2 встречи каждый год)</t>
  </si>
  <si>
    <t>привлечение эксперта по 20 рабочих дней ежегодно</t>
  </si>
  <si>
    <t>Пересмотр нормативной базы для перепрофилирования социальных центров в медико-социальные, с возможностью предоставления медицинских услуг, таких как: выдача АРТ, ТБ лечения, метадона и т.д.</t>
  </si>
  <si>
    <t>стоимость содержания центра</t>
  </si>
  <si>
    <t>инфекционист, фтизиатр, нарколог, гинеколог, дерматолог ,  2 мед.сестры</t>
  </si>
  <si>
    <t>консультанты равный равному 5 человек</t>
  </si>
  <si>
    <t>пероборудование под медицинские требования</t>
  </si>
  <si>
    <t>на транспортные расходы</t>
  </si>
  <si>
    <t>Пилотные проекты на базе Социальных Центров</t>
  </si>
  <si>
    <t>международный эксперт</t>
  </si>
  <si>
    <t>в среднем выявляют в год 900 случаев туберкулеза, из них 12 % смертность в первый год и 15 % заболевают ТБ + 7% отказов) - 
потребность в среднем  600 человек в год</t>
  </si>
  <si>
    <t>изониазид</t>
  </si>
  <si>
    <t>пиридоксин</t>
  </si>
  <si>
    <t>всего</t>
  </si>
  <si>
    <t>профилактика туберкулеза на 1 пациента 6 мес</t>
  </si>
  <si>
    <t xml:space="preserve">курс </t>
  </si>
  <si>
    <t>Котримаксозол 480 мг</t>
  </si>
  <si>
    <t>Котримаксозол 200/40 мг</t>
  </si>
  <si>
    <t>пневмоцистная терапия</t>
  </si>
  <si>
    <t>на 1 пациента</t>
  </si>
  <si>
    <t>В среднем в год рассчитано на 1000 взрослых и 30 детей</t>
  </si>
  <si>
    <t>Флюконазол 100 мг</t>
  </si>
  <si>
    <t>лечение и профилактика криптококкового менингита</t>
  </si>
  <si>
    <t xml:space="preserve"> 2 таб*365</t>
  </si>
  <si>
    <t>Профилактика и лечение Криптококового менингита</t>
  </si>
  <si>
    <t>20 пациентов в год</t>
  </si>
  <si>
    <t>рассчитываем на всех с СД4 менее 100 - среднее количество в год  300 человек</t>
  </si>
  <si>
    <t>Повышение потенциала медицинских работников по предоставлению и использованию информации по фармнадзору за побочными реакциями АРВ препаратов</t>
  </si>
  <si>
    <t xml:space="preserve">1 тренинг в год  </t>
  </si>
  <si>
    <t>2 консультации врача по 90 лей, забор анализа -35 лей и сам тест 125</t>
  </si>
  <si>
    <t>Обеспечение лечения вирусного гепатита С на местах выдачи АРТ</t>
  </si>
  <si>
    <t>не требует дополнительных средств</t>
  </si>
  <si>
    <t>средства в национальной программе по гепатитам</t>
  </si>
  <si>
    <t>2 специалиста по 10 рабочих дней</t>
  </si>
  <si>
    <t xml:space="preserve">1 круглый стол на 25 человек </t>
  </si>
  <si>
    <t>Всего</t>
  </si>
  <si>
    <t>годовая стоимость</t>
  </si>
  <si>
    <t xml:space="preserve">сумма взята из матрицы ГАМ (и включает в себя сумму потраченную на стационарное лечение пациентов с ОИ, в том числе с ко-инфекцией ВИЧ/ТБ и паллиативный уход) </t>
  </si>
  <si>
    <t>Обеспечение лечения гонореи</t>
  </si>
  <si>
    <t>смотри расчеты на листе Budget assumption)</t>
  </si>
  <si>
    <t>Закупка препаратов для лечения сифилиса</t>
  </si>
  <si>
    <t>Закупка препаратов для лечения гонореи</t>
  </si>
  <si>
    <t>Развитие и продвижение возможностей самотестирования на ВИЧ</t>
  </si>
  <si>
    <t>Обеспечение всех мероприятий по ППМР для ликвидации передачи ВИЧ от матери ребенку</t>
  </si>
  <si>
    <t>Повышение уровня знаний в области ППМР для семейных врачей и медицинского персонала родильных домов</t>
  </si>
  <si>
    <t>1 флакон Зидовудина для ребенка</t>
  </si>
  <si>
    <t>пакет для экстренной профилактики</t>
  </si>
  <si>
    <t>Caps. Zidovudin</t>
  </si>
  <si>
    <t>Sirop Nevirapin</t>
  </si>
  <si>
    <t>Sirop Zidovudin</t>
  </si>
  <si>
    <t>клиент</t>
  </si>
  <si>
    <t>расчетное количество Людей в ДКП</t>
  </si>
  <si>
    <t>Общественное обсуждение программы ДКП и ее результатов</t>
  </si>
  <si>
    <t>годовой курс ДКП</t>
  </si>
  <si>
    <t>TDF+FTC</t>
  </si>
  <si>
    <t xml:space="preserve">смотри расчеты на листе Budget assumption  </t>
  </si>
  <si>
    <t xml:space="preserve">проект  </t>
  </si>
  <si>
    <t>В стоимость курса ПКП входит стоимость одного флакона (TDF+FTC+DTG)</t>
  </si>
  <si>
    <t>разработка он-лайн инструкции</t>
  </si>
  <si>
    <t>предполагается печать 100 экземпляров документа</t>
  </si>
  <si>
    <t>Travel refund for participants</t>
  </si>
  <si>
    <t xml:space="preserve">3 однодневных   follow up   тренингов   по  рутиному  эпидемиологическому надзору за ВИЧ-инфекцией и ИППП для специалистов  системы ОЗ </t>
  </si>
  <si>
    <t>Данное мероприятие не включают расходы</t>
  </si>
  <si>
    <t>Обеспечение эпидемиологического надзора (рутинного и cased based)  за ВИЧ и ИППП, интегрированного в систему   ГНОЗ .</t>
  </si>
  <si>
    <t xml:space="preserve">Печать  документов предусмотренных  эпидемиологическим надзор за ВИЧ-инфекцией и ИППП.            </t>
  </si>
  <si>
    <t xml:space="preserve">  Усиление навыков  специалистов по эпидемиологическому надзору  ориентированн на случаи ВИЧ и мониторинг  пациента. </t>
  </si>
  <si>
    <t xml:space="preserve">Обеспечение качества  эпидемиологического надзора (case based)  на территориальном уровне с визитах в  териториальнных  учереждения и оранизации  ОЗ и ГМУЗ     </t>
  </si>
  <si>
    <t>мониторинговій визит</t>
  </si>
  <si>
    <t xml:space="preserve">Expert fee </t>
  </si>
  <si>
    <t xml:space="preserve">Transportation costs </t>
  </si>
  <si>
    <t xml:space="preserve">био-поведенческое исследование  среди ПИН, РКС, МСМ, заключенных. </t>
  </si>
  <si>
    <t xml:space="preserve">био-поведенческое исследование  cреди мобильного населения ( мигрантов и иммигрантов) предусмотрено с целю  изученния  анализа ВИЧ ситуации  и разработке мероприятии для предотвращения ВИЧ инфекции </t>
  </si>
  <si>
    <t xml:space="preserve"> Оперативные исследования для оценки проведение  эпидемиологического надзора за ВИЧ / СПИД инфекцией на национальном и териториальном  уровне и оценке  участия  специалистов  системы  ГНОЗ в мерах контроля и ответа за ВИЧ инфекции  с предстовдением  выводами и рекомендациями. </t>
  </si>
  <si>
    <t>привлечение 2 экспертов по 20 рабочих дней ежегодно</t>
  </si>
  <si>
    <t>#</t>
  </si>
  <si>
    <t>Источники финансирования</t>
  </si>
  <si>
    <t>Министерство здравоохранения, труда и социальной защиты</t>
  </si>
  <si>
    <t>Дефицит</t>
  </si>
  <si>
    <t xml:space="preserve">тренинг </t>
  </si>
  <si>
    <t>организация обучающих мероприятий  для сотрудников и пользователей услуг снижения вреда в области гендерной чувствительности и ориентации . 1 раз в год ежегодно</t>
  </si>
  <si>
    <t>GRSI</t>
  </si>
  <si>
    <t>estimativ</t>
  </si>
  <si>
    <t>base-line</t>
  </si>
  <si>
    <t>BSB</t>
  </si>
  <si>
    <t>количество бенефициаров</t>
  </si>
  <si>
    <t xml:space="preserve">правый берег </t>
  </si>
  <si>
    <t>левый берег</t>
  </si>
  <si>
    <t>FG</t>
  </si>
  <si>
    <t>CNAM</t>
  </si>
  <si>
    <t>CDI</t>
  </si>
  <si>
    <t>LS</t>
  </si>
  <si>
    <t>TSO</t>
  </si>
  <si>
    <t>количество людей</t>
  </si>
  <si>
    <t>Министерство Здрав.</t>
  </si>
  <si>
    <t>Метадон</t>
  </si>
  <si>
    <t>Бупренорфин</t>
  </si>
  <si>
    <t>закупка для ЗТМ/TSO</t>
  </si>
  <si>
    <t>дозаторы</t>
  </si>
  <si>
    <t>стаканчики</t>
  </si>
  <si>
    <t>итого</t>
  </si>
  <si>
    <t>Desciption</t>
  </si>
  <si>
    <t>Units</t>
  </si>
  <si>
    <t>Cant.</t>
  </si>
  <si>
    <t>Unit cost, EUR</t>
  </si>
  <si>
    <t>Total cost, EUR</t>
  </si>
  <si>
    <t>Clinica Mobilă</t>
  </si>
  <si>
    <t>Salariu șofer (inclusiv impozitele)</t>
  </si>
  <si>
    <t>lunar</t>
  </si>
  <si>
    <t>Combustibil</t>
  </si>
  <si>
    <t>Deservirea tehnica (TO, asigurare, casco)</t>
  </si>
  <si>
    <t>an</t>
  </si>
  <si>
    <t>Deservire anuală</t>
  </si>
  <si>
    <t>TG</t>
  </si>
  <si>
    <t>nr. benefciciarilor</t>
  </si>
  <si>
    <t>Предоставление пакета услуг по снижению вреда для заключенных в пенитенциарной системе</t>
  </si>
  <si>
    <t xml:space="preserve"> - Schimbul de seringi și servețele imbibate cu alcool;                                                                  - программа обмена шприцев
</t>
  </si>
  <si>
    <t xml:space="preserve">привлечение  2 экспертов по 5 дней, проведение 2 круглых столов, закупка  метадона, дозаторов и стаканчиков в соответствующих активностях                                                                                                                                                                                 </t>
  </si>
  <si>
    <t>четыре тренинга в первый год программы</t>
  </si>
  <si>
    <t xml:space="preserve">Ежеквартальный аналитический отчёт основаный на результатах мониторинга основных показателей силами сообществ.     5 рабочих дней ежеквартально для каждого эксперта (дизайнер, редактор, програмный и финансовый эксперты) </t>
  </si>
  <si>
    <t xml:space="preserve">Экспертная поддержка для разработки законопроектов и проектов регламентирующих документов и поддержка для проведения адвокационных кампаний, направленных на изменение законодательства. 
Экспертная поддержка для анализа и доработки программ подготовки (курикулум) и переподготовки ключевых профессиональных групп (медперсонал, судьи, прокуроры, адвокаты, сотрудники пенитенциарной системы, полицейские) на предмет соблюдения прав, недискриминации, дестигматизации ключевых уязвимых групп. (90 дней в год)
</t>
  </si>
  <si>
    <t>Устранению правовых барьеров и дискриминационного законодательства на основании оценки правового поля в сфере ВИЧ (к  2025 году внедрено 70% рекомендаций)</t>
  </si>
  <si>
    <t>оплата услуг экспертов для подготовки материалов для стратегических тяжб (100 дней в год)</t>
  </si>
  <si>
    <t>1 исследование в 2021 и 1 в 2024. со-финансирование от Совета по обеспечению равества</t>
  </si>
  <si>
    <t>Глобальный фонд всего</t>
  </si>
  <si>
    <t>Предоставление профилактических услуг посредством других альтернативных источников (аптечная сеть, автоматы для выдачи раздаточного материала) для представителей всех групп риска</t>
  </si>
  <si>
    <t>Total cost, MDL</t>
  </si>
  <si>
    <t>1.2.6.1.</t>
  </si>
  <si>
    <t>total cost</t>
  </si>
  <si>
    <t>cost MDL</t>
  </si>
  <si>
    <t>1.1.2.5.</t>
  </si>
  <si>
    <t>description</t>
  </si>
  <si>
    <t>cost/MDL</t>
  </si>
  <si>
    <t>кол. Дней</t>
  </si>
  <si>
    <t>total cost MDL</t>
  </si>
  <si>
    <t>Нац. Консультант</t>
  </si>
  <si>
    <t>Внешний эксперт</t>
  </si>
  <si>
    <t>рабочая группа</t>
  </si>
  <si>
    <t xml:space="preserve">круглый стол </t>
  </si>
  <si>
    <t>тотал</t>
  </si>
  <si>
    <t>1.1.3.2.</t>
  </si>
  <si>
    <t>1.1.3.6.</t>
  </si>
  <si>
    <t>прямые расходы</t>
  </si>
  <si>
    <t>ед. измерения/визит</t>
  </si>
  <si>
    <t>стоимость ед. измерения</t>
  </si>
  <si>
    <t>частота</t>
  </si>
  <si>
    <t>cost total, MDL</t>
  </si>
  <si>
    <t>по персоналу</t>
  </si>
  <si>
    <t>соц. Ассистент</t>
  </si>
  <si>
    <t>консультация психолога</t>
  </si>
  <si>
    <t>консультация юриста</t>
  </si>
  <si>
    <t>конс. Равный равному</t>
  </si>
  <si>
    <t xml:space="preserve">total cost direct personal </t>
  </si>
  <si>
    <t>другие прямые расходы</t>
  </si>
  <si>
    <t>инф. Материалы</t>
  </si>
  <si>
    <t>семинары/кругл. Столы/инф. Материалы для тренинга</t>
  </si>
  <si>
    <t>total other cost direct</t>
  </si>
  <si>
    <t>Total cost direct</t>
  </si>
  <si>
    <t>непрямые расходы</t>
  </si>
  <si>
    <t>cost per benef. MDL</t>
  </si>
  <si>
    <t xml:space="preserve">manager de proiect </t>
  </si>
  <si>
    <t>бугалтер</t>
  </si>
  <si>
    <t>водитель</t>
  </si>
  <si>
    <t>администратор</t>
  </si>
  <si>
    <t>уборщица</t>
  </si>
  <si>
    <t>Total cost indirect personal</t>
  </si>
  <si>
    <t>consum de regie</t>
  </si>
  <si>
    <t>Total cost indirect</t>
  </si>
  <si>
    <t>1.2.6.2.</t>
  </si>
  <si>
    <t>CD non- injectabile</t>
  </si>
  <si>
    <t>кол. Бенефициаров</t>
  </si>
  <si>
    <t xml:space="preserve"> MDL</t>
  </si>
  <si>
    <t>организация круглого стола</t>
  </si>
  <si>
    <t>услуги для бенефициаров</t>
  </si>
  <si>
    <t>total cost ( MDL)</t>
  </si>
  <si>
    <t>1.2.5..1</t>
  </si>
  <si>
    <t>Территории</t>
  </si>
  <si>
    <t>Количество мест выдачи</t>
  </si>
  <si>
    <t>Количество клиентов /год</t>
  </si>
  <si>
    <t>Цена МДЛ/ клиент/год</t>
  </si>
  <si>
    <t>Итого МДЛ  год</t>
  </si>
  <si>
    <t>2021 год</t>
  </si>
  <si>
    <t>2022 год</t>
  </si>
  <si>
    <t>2023 год</t>
  </si>
  <si>
    <r>
      <rPr>
        <sz val="11"/>
        <color rgb="FFFF0000"/>
        <rFont val="Times New Roman"/>
        <family val="1"/>
      </rPr>
      <t>*</t>
    </r>
    <r>
      <rPr>
        <sz val="11"/>
        <color theme="1"/>
        <rFont val="Times New Roman"/>
        <family val="1"/>
      </rPr>
      <t>Сумма МДЛ рассчитана исходя из метода когда товар закупался у аптек. В том случае, если выдача будет осуществляться через вендинговые аппараты, сумма будет меньше, и за счет экономии можно будет закупить часть аппаратов</t>
    </r>
  </si>
  <si>
    <r>
      <t>Учитывая 10%</t>
    </r>
    <r>
      <rPr>
        <strike/>
        <sz val="11"/>
        <color theme="1"/>
        <rFont val="Times New Roman"/>
        <family val="1"/>
        <charset val="204"/>
      </rPr>
      <t xml:space="preserve"> </t>
    </r>
    <r>
      <rPr>
        <sz val="11"/>
        <color theme="1"/>
        <rFont val="Times New Roman"/>
        <family val="1"/>
      </rPr>
      <t>ежемесячный прирост бенефициаров оценочно можно запланировать к 2022 году 10700 бенефициаров и соответственно на 2023 год - 14300 человек</t>
    </r>
  </si>
  <si>
    <t xml:space="preserve"> Предоставление пакета услуг по профилактике потребителям неинъекционных  наркотиков в соответствии с положениями Стандарта по организации и функционированию услуг по профилактике ВИЧ в ключевых группах населения, включая молодых людей из этих групп.</t>
  </si>
  <si>
    <t>бенефициар</t>
  </si>
  <si>
    <t>тестирование</t>
  </si>
  <si>
    <t xml:space="preserve">Test Rapid DUO_Sânge_HIV&amp;Syphilis /HIV&amp;Syphilis rapid diagnostic test </t>
  </si>
  <si>
    <t>заключенные</t>
  </si>
  <si>
    <t>x0.9</t>
  </si>
  <si>
    <t>Министерство здравоохранения, труда и сокциальной защиты</t>
  </si>
  <si>
    <t>Description</t>
  </si>
  <si>
    <t>Cost Total</t>
  </si>
  <si>
    <t>3.3.1.1</t>
  </si>
  <si>
    <t xml:space="preserve">Consultant </t>
  </si>
  <si>
    <t>Zile</t>
  </si>
  <si>
    <t>Subtotal</t>
  </si>
  <si>
    <t>3.3.1.2</t>
  </si>
  <si>
    <t>Audit</t>
  </si>
  <si>
    <t>3.3.1.3</t>
  </si>
  <si>
    <t>1. Elaborarea proiectului pentru renovare.</t>
  </si>
  <si>
    <t>2. Aprobarea autorizațiilor de construcție.</t>
  </si>
  <si>
    <t>3. Elaborarea specificațiilor tehncie pentru contractarea companiei de construcții (Contract Individual specialist)</t>
  </si>
  <si>
    <t>4. Contractarea companiei de construcții (Tender, semnarea contractului).</t>
  </si>
  <si>
    <t>6. Procurarea mobilierului de laborator.</t>
  </si>
  <si>
    <t>7. Darea în exploatare oficială.</t>
  </si>
  <si>
    <t>Activitate</t>
  </si>
  <si>
    <t>3.3.1.4</t>
  </si>
  <si>
    <t>3.3.1.5</t>
  </si>
  <si>
    <t>Material de Referință</t>
  </si>
  <si>
    <t>5. Procurarea materiale de referință EQC alte ITS.</t>
  </si>
  <si>
    <t>оборудование</t>
  </si>
  <si>
    <t>Equipment</t>
  </si>
  <si>
    <t>BDFACS Count platform</t>
  </si>
  <si>
    <t>Centrifuge for standard reaction tubes</t>
  </si>
  <si>
    <t>Freezer, (-80C)</t>
  </si>
  <si>
    <t>Refrigerator</t>
  </si>
  <si>
    <t>Minishaker</t>
  </si>
  <si>
    <t>Termoblock</t>
  </si>
  <si>
    <t>PCR-Workstation, UV light</t>
  </si>
  <si>
    <t xml:space="preserve">1-channel pipette, variable from 10 µl, </t>
  </si>
  <si>
    <t>1-channel pipette, variable from 20 µl</t>
  </si>
  <si>
    <t>1-channel pipette, variable from 100 µl</t>
  </si>
  <si>
    <t>1-channel pipette, variable from 200 µl,</t>
  </si>
  <si>
    <t>1-channel pipette, variable from 1000 µl</t>
  </si>
  <si>
    <t>Multistep pipette 100-1000 µl</t>
  </si>
  <si>
    <t>EQUIPMENT MAINTENANCE &amp; REPAIR</t>
  </si>
  <si>
    <t>Spare parts</t>
  </si>
  <si>
    <t>Certification</t>
  </si>
  <si>
    <t>Calibration kit</t>
  </si>
  <si>
    <t>BDFACS_GF</t>
  </si>
  <si>
    <t>GeneXpert 4-module_GF</t>
  </si>
  <si>
    <t>Centrifuge_CNAM</t>
  </si>
  <si>
    <t>Pipets Automatic_CNAM</t>
  </si>
  <si>
    <t>3.3.2.1</t>
  </si>
  <si>
    <t>1. Elaborarea Regulamentului de Funcționare a Serviciului de Testare HIV/ITS/HV, a Structurii Rețelei, Responsabililor /Responsabilităților, etc.</t>
  </si>
  <si>
    <t>Consultant</t>
  </si>
  <si>
    <t>3.3.2.2</t>
  </si>
  <si>
    <t>Implementarea și menținerea Sistemului Informațional Național de Testare HIV/ITS/HV în Centrele de Testare HIV/ITS (Modul Testare, Inventariere, Raportare și QC) /Implementation of the National Information Register for HIV / STI / VH Testing in HIV / STI Testing Centers (Testing, Inventory, Reporting, and QC Module).</t>
  </si>
  <si>
    <t>3.3.2.3</t>
  </si>
  <si>
    <t>Auditarea periodică a Centrelor de Testare HIV/ITS pentru a asigura menţinerea calităţii investigaţiilor efectuate /Periodic audit of HIV / STI Testing Centers to ensure that the quality of investigations is maintained.</t>
  </si>
  <si>
    <t>3.3.2.4</t>
  </si>
  <si>
    <t>Elaborarea și Implementarea Programelor Naționale de Control al Calității pentru LRR HIV/ITS și alte Centre de testare HIV/ITS /Development and Implementation of National Quality Control Programs for HIV / STI LRR and other HIV / STI Testing Centers.</t>
  </si>
  <si>
    <t>2. Procurarea materialelor de referință și a consumabilelor pentru pregătirea lor. Prepararea mostrelor.</t>
  </si>
  <si>
    <t>Consumabile</t>
  </si>
  <si>
    <t>3.3.3.1</t>
  </si>
  <si>
    <t>Revizuirea Ghidului Național de Testare HIV /Revision of the National HIV Testing Guide.</t>
  </si>
  <si>
    <t>1. Revizuirea Ghidului Național de Testare HIV /Revision of the National HIV Testing Guid.</t>
  </si>
  <si>
    <t>Recenzenți</t>
  </si>
  <si>
    <t>Pagini</t>
  </si>
  <si>
    <t>Pagina</t>
  </si>
  <si>
    <t>Exemplare</t>
  </si>
  <si>
    <t>3.3.3.2</t>
  </si>
  <si>
    <t>1. Elaborarea Ghidului metodologic destinat supravegherii de laborator a ITS.</t>
  </si>
  <si>
    <t>3.3.4.1</t>
  </si>
  <si>
    <t>3.3.4.2</t>
  </si>
  <si>
    <t>Instruirea continuă a persoanelor din cadrul IMSP, ONG, etc. prin participare la programe interne de instruire (consiliere, metode, personal medical nou laborator HIV/ONG, etc.) /Continuous training of people from MHIs, NGOs, etc. through the internal training program (counseling, methods, new medical staff HIV / NGO laboratory, etc.).</t>
  </si>
  <si>
    <t>per person</t>
  </si>
  <si>
    <t xml:space="preserve">Unit basis </t>
  </si>
  <si>
    <t xml:space="preserve">Unit cost </t>
  </si>
  <si>
    <t xml:space="preserve">Number units </t>
  </si>
  <si>
    <t>Budget per Year</t>
  </si>
  <si>
    <t>International Consultancy fee (3.1)</t>
  </si>
  <si>
    <t xml:space="preserve">Travel costs </t>
  </si>
  <si>
    <t>Per diem, WHO DSA, average (http://apps.who.int/bfi/tsy/PerDiem.aspx)</t>
  </si>
  <si>
    <t>Interpreter's fee, per day</t>
  </si>
  <si>
    <t xml:space="preserve">Subtotal </t>
  </si>
  <si>
    <t>Secretarial support&amp;coordination (7%)</t>
  </si>
  <si>
    <t xml:space="preserve"> Type of payment  </t>
  </si>
  <si>
    <t>Unit cost</t>
  </si>
  <si>
    <t>Q-ty</t>
  </si>
  <si>
    <t>Persons</t>
  </si>
  <si>
    <t>Local Consultancy fee (3.1)</t>
  </si>
  <si>
    <t>2.4.1.1.</t>
  </si>
  <si>
    <t xml:space="preserve"> работа команды  консультантов</t>
  </si>
  <si>
    <t>Обучение по вопросам интегрированной помощи на уровне специализированной медицинской помощи</t>
  </si>
  <si>
    <t>Международный консультант. Feasibility study on integrated management of national programs
2022 - смотри бюджет на листе Budget assumption</t>
  </si>
  <si>
    <t>3.1.2.1</t>
  </si>
  <si>
    <t>Elaborarea cadrului normativ pentru gestionarea integrata a programelor nationale/Elaboration of the normative framework for the integrated management of the national programs. 3 national experts 10 days 2023</t>
  </si>
  <si>
    <t>Costurile și etapele de dezvoltare și implementare a Sistemului Informatic SIME_HIV 2.0</t>
  </si>
  <si>
    <t>Etape</t>
  </si>
  <si>
    <t>Descriere</t>
  </si>
  <si>
    <t>Costuri (EUR)</t>
  </si>
  <si>
    <t>Costuri (MD)</t>
  </si>
  <si>
    <t>Elaborarea studiului de fezabilitate</t>
  </si>
  <si>
    <t>Se vor documenta următoarele:
• Fezabilitatea tehnică a programulelor informatice existente, cuprins din componentele hardware, software și alte resurse tehnice;
• Fezabilitatea operațională, evaluarea motivelor pentru utilizarea unei noi soluții tehnice;
• Asigurarea interoperabilității și identificarea actorilor implicați; 
• Recomandări;</t>
  </si>
  <si>
    <t>Elaborarea caietului de sarcini</t>
  </si>
  <si>
    <t>Va descrie arhitectura sistemului informatic și va conţine explicaţii privind funcționalitățile sistemului, cerinţele faţă de programul de control, cerinţe de securitate, hardware, software, interoperabilitate;</t>
  </si>
  <si>
    <t>Elaborarea sistemului informatic</t>
  </si>
  <si>
    <t>• Autentificare
• Administare
• Tratamentul și monitorizarea pacienților TB
• Tratamentul și monitorizarea pacienților HIV
• Trimiteri
• Laborator
• Managementul stocurilor farmaceutice
• Raportare și exportarea datelor
• Analiză
• Instruire și documentare
• Jurnalizarea evenimentelor din sistem</t>
  </si>
  <si>
    <t>Migrarea și păstrarea integrității datelor din SIME-TB 1.0 în SIMETA 2.0</t>
  </si>
  <si>
    <t>Pregătirea și realizarea scenariilor de testare a sistemului informatic.</t>
  </si>
  <si>
    <t>Pregătirea și livrarea manualului utilizatorului în limba română.</t>
  </si>
  <si>
    <t>Pregătirea și livrarea manualului administratorului în limba română.</t>
  </si>
  <si>
    <t>Documentarea privind configurarea și desfășurarea sistemului.</t>
  </si>
  <si>
    <t>Documentații de instruire destinată trainerilor care vor instrui personalul medical și de management implicat.</t>
  </si>
  <si>
    <t>Asistență în perioada de testare în producție a sistemului.</t>
  </si>
  <si>
    <t>Asistență în punerea sistemului în producție.</t>
  </si>
  <si>
    <t>Suport tehnic post implementare și garanție pentru o perioadă de 12 luni.</t>
  </si>
  <si>
    <t>Etapa de implementare   a sistemului</t>
  </si>
  <si>
    <t>Va începe odată cu aprobarea procesului verbal de acceptare de   proprietarul sistemului informatic.</t>
  </si>
  <si>
    <t xml:space="preserve">Etapa de instruire </t>
  </si>
  <si>
    <t>Dezvoltatorul va asigura instruirea utilizatorilor de nivel central implicați.</t>
  </si>
  <si>
    <t>Darea în exploatare</t>
  </si>
  <si>
    <t>Începe odată cu semnarea actului de punere în exploatare a sistemului informatic și începere exploatării acestuia.</t>
  </si>
  <si>
    <t>Mentenanța sistemului</t>
  </si>
  <si>
    <t>Mentenanța va fi asigurată conform contractului semnat cu compania  IT, care va conține menținerea capacității tehnice a sistemului informatic și servicii de modificare/ajustare a acestuia.</t>
  </si>
  <si>
    <t>Будет закуплено техническое оборудование: компьютеры, принтеры для существующих 8 центров АРВ и 10, которые планируется создать, всего 18 центров.
смотри бюджет на листе Budget assumption</t>
  </si>
  <si>
    <t>Procurement of IT equipment - Computers, incl. licenses</t>
  </si>
  <si>
    <t>Procurement of IT equipment - Printers</t>
  </si>
  <si>
    <t>3.2.1.2</t>
  </si>
  <si>
    <t>Повышение потенциала медицинского персонала, задействованного в использовании информационной системы SIME_HIV</t>
  </si>
  <si>
    <t>Тренинги будут организованы для национального и территориального уровня: 4 двухдневных тренинга будут организованы для 25 участников каждый год</t>
  </si>
  <si>
    <t>поддержка специалиста с функциями МиО (или функцией, зависящей от размера центра) в каждом региональном центре, возможно, также в центрах, где будут интегрированы услуги.
Обучение людей на национальном уровне - 1 международный тренинг ежегодно
Национальный консультант, который будет корректировать необходимые документы и будет содействовать включению специальности специалиста по МиО в номенклатуру профессий
Встречи, круглые столы по выделению финансовых ресурсов для финансовой поддержки функции МиО из государственного бюджета
смотри бюджет на листе Budget assumption</t>
  </si>
  <si>
    <t>3.2.2.1</t>
  </si>
  <si>
    <t>участие в международных тренингах</t>
  </si>
  <si>
    <t>эксперты для пересмотра нормативной базы и включению специальности специалиста по МиО в номенклатуру профессий</t>
  </si>
  <si>
    <t>круглый стол для обсуждения предложений</t>
  </si>
  <si>
    <t>Сайт ccm.md будет обновляться и развиваться, чтобы использовать его в качестве платформы для размещения нормативных актов в области ВИЧ, национальных и международных отчетов 
смотри бюджет на листе Budget assumption</t>
  </si>
  <si>
    <t>Maintenance</t>
  </si>
  <si>
    <t>3.2.2.4</t>
  </si>
  <si>
    <t>Local Consultancy fee (3.1) - jurnalist</t>
  </si>
  <si>
    <t>3.2.2.5</t>
  </si>
  <si>
    <t> Type of payment  </t>
  </si>
  <si>
    <t>Travel costs </t>
  </si>
  <si>
    <t>Meeting costs</t>
  </si>
  <si>
    <t>смотри бюджет на листе Budget assumption</t>
  </si>
  <si>
    <t>3.4.1.2</t>
  </si>
  <si>
    <t>привлечение 4 экспертов по 10 рабочих дней в 2022 году</t>
  </si>
  <si>
    <t>Платформа электронного обучения будет разработана путем адаптации онлайн-платформы Moodle, предназначенной для развития потенциала широкого круга участников, работающих в области ВИЧ и предоставления услуг, путем предоставления интерактивного, основанного на фактических данных обучения для всех темы, относящиеся к профилактике туберкулеза, диагностике, лечению, уходу и поддержке, правам человека, уходу за пациентами, защите интересов, коммуникации, осведомленности, оказанию услуг и т. д.
расчет на листе Budget assumption</t>
  </si>
  <si>
    <t>The eLearning Platform needs to contain the pages and functionalities, but not limited to, as specified: Home page, course categories, course details, user registration, user login, news, etc.</t>
  </si>
  <si>
    <t>· Development of the video section, as compulsory part of the training module, with minimum characteristics such as: video-in, video-out of the course, material minimum resolution 1024x768;</t>
  </si>
  <si>
    <t>· Development of the audio section with minimum characteristics and supporting format, like: audio / wave (preferably), audio / wav, audio / x-wav, audio / x-pn-wav;</t>
  </si>
  <si>
    <t>· Development of a section to upload different file formats: doc, docx, pdf, xlsx, xlsm, pptx, sldx and a view option;</t>
  </si>
  <si>
    <t>· Development of a compartment for interim assessment tests at the end of the module, of graduating with the option of imported / exported (format - Articulated Quizmaker, Hot Potatoes XML, Aiken, Blackboard, Embedded answers, Examview, Gift format, Learnwise, Missing Word, XML, WebCT) and with generating /displaying standard, Calculated , Calculated MultiChoice, Calculated simple, Embedded answers, Essay, Matching, Multiple Choice, Numerical, Random short-answer matching, Short answer, True / False, Description.</t>
  </si>
  <si>
    <t>· Ensuring Search Engine Optimization of the web pages.</t>
  </si>
  <si>
    <t>· Development of the course methodology with all technical specifications, providing individual learners with tools, resources, and tactics for achieving specific instructional outcomes.</t>
  </si>
  <si>
    <t>3.4.2.4</t>
  </si>
  <si>
    <t>Vor fi dezvoltata platforma pentru instruire online prin elaborarea de 10 module
расчет на листе Budget assumption</t>
  </si>
  <si>
    <t>Unit cost, MDL</t>
  </si>
  <si>
    <t xml:space="preserve"># of units </t>
  </si>
  <si>
    <t>Curriculum development, expert fees</t>
  </si>
  <si>
    <r>
      <t xml:space="preserve">Expert development of curriculum including recording of video, </t>
    </r>
    <r>
      <rPr>
        <sz val="10"/>
        <color rgb="FFFF0000"/>
        <rFont val="Calibri"/>
        <family val="2"/>
        <scheme val="minor"/>
      </rPr>
      <t>10 modules total</t>
    </r>
    <r>
      <rPr>
        <sz val="10"/>
        <color theme="1"/>
        <rFont val="Calibri"/>
        <family val="2"/>
        <scheme val="minor"/>
      </rPr>
      <t>, 30 days per module</t>
    </r>
  </si>
  <si>
    <t>Quality assurance for curricula</t>
  </si>
  <si>
    <t>Services from professional associations to review and update the modules</t>
  </si>
  <si>
    <t>module</t>
  </si>
  <si>
    <t>Integration of curricula into formal education</t>
  </si>
  <si>
    <t>Services from academic institutions (graduate and post-graduate) to integrate modules into their programs</t>
  </si>
  <si>
    <t>Conversion of modules into electronic format</t>
  </si>
  <si>
    <t>Professional video recording, presentation conversion and editing</t>
  </si>
  <si>
    <t>Platform develompent</t>
  </si>
  <si>
    <t>IT services for platform development and maintenance</t>
  </si>
  <si>
    <t>platform</t>
  </si>
  <si>
    <t>PR and Advocacy events</t>
  </si>
  <si>
    <t>In-country working meetings</t>
  </si>
  <si>
    <t>event</t>
  </si>
  <si>
    <t>Translation services</t>
  </si>
  <si>
    <t>Translation of modules</t>
  </si>
  <si>
    <t>page</t>
  </si>
  <si>
    <t>3.4.2.5</t>
  </si>
  <si>
    <t>3.5.1.1.</t>
  </si>
  <si>
    <t>международная экспертиза и привлечение национаьных экспертов
расчет на листе Budget assumption</t>
  </si>
  <si>
    <t>Анализ международного механизма закупок с разработкой предложений по их совершенствованию</t>
  </si>
  <si>
    <t>круглый стол</t>
  </si>
  <si>
    <t xml:space="preserve">Повышение потенциала национальных экспертов в подготовке документов для участия в WHO Collaborative </t>
  </si>
  <si>
    <t>разработка подзаконных актов для внедрения новых механизмов для авторизации в маркетинге</t>
  </si>
  <si>
    <t>2 эксперта для финализации предложений по результатам тренинга и круглых столов
1 юрист для разработки подзаконных актов</t>
  </si>
  <si>
    <t>Разработка положения о закупках и поставках лекарств и лабораторных товаров и товаров для Приднестровья и пенитенциарной системы.</t>
  </si>
  <si>
    <t>повышения потенциала сотрудников программ в  Приднестровье и пенитенциарной системе по осуществлению эффективных закупок и поставок.</t>
  </si>
  <si>
    <t>3.1.1.1</t>
  </si>
  <si>
    <t>nr unitati</t>
  </si>
  <si>
    <t>Cost unitate</t>
  </si>
  <si>
    <t>%</t>
  </si>
  <si>
    <t>coordonatori 6300/luna</t>
  </si>
  <si>
    <t>salariu SDMC 148000/luna</t>
  </si>
  <si>
    <t>cheltuieli benzina(5 vizite/luna/200km</t>
  </si>
  <si>
    <t>расчеты на листе Budget assumption</t>
  </si>
  <si>
    <t>Стоимость пакета услуг для ТГ состоит из стоимости базавого пакета+стоимость расширенного. Услуги для ТГ описаны в Стандарте.</t>
  </si>
  <si>
    <t>стоимость одного бенефициара</t>
  </si>
  <si>
    <t>2.3.1.7</t>
  </si>
  <si>
    <t>Пилотные проекты на базе Социальных Центров по оказанию полного пакета услуг для групп риска и ЛЖВ</t>
  </si>
  <si>
    <t xml:space="preserve">стоимость специалистов </t>
  </si>
  <si>
    <t>на транспортные расходы для транспортировеи анализов)</t>
  </si>
  <si>
    <t>контракт на лабораторные и инструментальные исследования</t>
  </si>
  <si>
    <t xml:space="preserve">проект </t>
  </si>
  <si>
    <t xml:space="preserve">Пакет услуг описан в Стандарте, стоимость услуг расчитана (2017) и утверждена на рабочей группе </t>
  </si>
  <si>
    <t>Предоставление атрактивного пакета услуг для новых бенефициаров- диагностика ИППП</t>
  </si>
  <si>
    <t>В стоимость входит 2 консультации врача, а стоимость тестов в 2.2.2.</t>
  </si>
  <si>
    <t xml:space="preserve">привлечение 2 экспертов по 10 рабочих дней в 2021 </t>
  </si>
  <si>
    <t>Медицинское наблюдение  бенефициаров на ДКП в год</t>
  </si>
  <si>
    <t>один бенефициар в год</t>
  </si>
  <si>
    <t>Стоимость состоит из 4 визитов врача по 90 лей - 4 исследований на ВИЧ и сифилис, и стоимость работы на тестирование на гепатиты и на креатинин</t>
  </si>
  <si>
    <t>привлечение 2 эксперто по 5 рабочих дней в 2021 и 2023</t>
  </si>
  <si>
    <t>привлечение 2 экспертов по 5 рабочих дней в 2021 и 2022 и два круглых стола в 2021 и 2022</t>
  </si>
  <si>
    <t>Стоимость пакета состоит из базового пакета для ПИН , за исключением шприцов</t>
  </si>
  <si>
    <t>ежегодно 4 тренингов для семейных врачей и 4 для медперсонала родильных домов (для ознакомления с новой пересмотренной нормативной базой)</t>
  </si>
  <si>
    <t>смотри расчеты на листе Budget assumption, 38 родильных домов + 12 комплектов для смены</t>
  </si>
  <si>
    <t>все дети рожденные ВИЧ-позитивными матерями обеспечиваются искусственным питанием на первом году жизни из расчета 1 кг - 160 лей</t>
  </si>
  <si>
    <t>привлечение 2 экспертов по 10 рабочих дней в 2021 и проведение одного круглого стола</t>
  </si>
  <si>
    <t xml:space="preserve">При каждом выявлении нового случая ВИЧ - 1000 </t>
  </si>
  <si>
    <t>При каждом выявлении нового случая  Сифилиса  -200</t>
  </si>
  <si>
    <t>выявленный случай</t>
  </si>
  <si>
    <t>Медицинское наблюдение пациента на АРТ включает в себя 4 консультации врача инфекциониста территориального кабинета, с обязательным скринингом на ТБ, обследованием 2 раза в год на вирусную нагрузку и СД4, один раз в год  - общий и биохимический анализ крови,  обследование на сифилис, вирусные гепатита и консультация гинеколога и при необходимости на криптоккоковый антиген, HLA-B*5701, антитела на токсоплазмоз, консультация офтальмолога.</t>
  </si>
  <si>
    <t xml:space="preserve">привлечение 3 экспертов по 10 рабочих дней в 2021 </t>
  </si>
  <si>
    <t xml:space="preserve">Содержание существующих социальных центов </t>
  </si>
  <si>
    <t>стоимость 3 центров в год</t>
  </si>
  <si>
    <t>Сумма затрат на содержания 3 центров составила 2920497.97 из средств Госсударственного бюджета в 2019 году</t>
  </si>
  <si>
    <t>стоимость 1 бенефициара</t>
  </si>
  <si>
    <t xml:space="preserve">Из расчета 50% ЛЖВ являются иногородними и в год будут оплачены 2 поездки </t>
  </si>
  <si>
    <t>всего на пилот</t>
  </si>
  <si>
    <t>Оплата дорожных расходов для ЛЖВ</t>
  </si>
  <si>
    <t>Сумма, предусмотренная для скрининга на ТБ всех ЛЖВ, включена в стоимость медицинского наблюдения ЛЖВ, стоимость 2.2.4.1, лечение пациентов с ко-инфекцией ТБ/ВИЧ - в программе по ТБ</t>
  </si>
  <si>
    <t>предполагается поддержка районных координаторов в виде доплаты в течение 12 месяцев</t>
  </si>
  <si>
    <t xml:space="preserve">для обеспечения прозрачности принятия решения и обсуждения разработанных механизмов будут проведены круглые столы/встречи на национальному уровне </t>
  </si>
  <si>
    <t>Asigurarea cu funcții de M&amp;E la nivel național și regional  corespunzător implicării în realizarea PN HIV (atribuții de funcții/ fișa de post și salarizare)/Предоставление позиций по МиО на национально, региональном уровнях, соответствующих участию в реализации НП ВИЧ (обязанности / должностная инструкция и зарплата)</t>
  </si>
  <si>
    <t>-2 funcții de M&amp;E la nivel național in cadrul unității de coordonare a PN
- cîte o funcție de M&amp;E în organizațiile regionale  implicate în răspunsul HIV         
Fisa de post pentru fincții de M&amp;E și/sau atribuții de funcții pentru personalul din organizațiile  implicate în răspunsul HIV</t>
  </si>
  <si>
    <t>месяц работы</t>
  </si>
  <si>
    <t>Instruirea personalului de M&amp;E de la nivel național privind analiza și interpretarea datelor colectate în sistemul de supraveghere, monitorizare evaluarea în domeniul HIV/Обучение персонала по МиО на национальном уровне анализу и интерпретации данных, собранных в системе эпиднадзора, мониторинга и оценки в области ВИЧ</t>
  </si>
  <si>
    <t>Activități de lobby și advocacy privind alocarea resurselor financiare pentu activitățile de M&amp;E (salariul specialiștilor M&amp;E, vizite de monitorizare și supervizare abilitantă)/
Лоббирование  в отношении выделения финансовых ресурсов для мероприятий по МиО (зарплата специалистов по МиО, мониторинг визитов и обеспечение надзора)</t>
  </si>
  <si>
    <t>Ședințe, mese rotunde pentru alocarea de resurse financiare pentru specialistii de M&amp;E din bugetul de stat cu autoritațile din domeniu 2 mese rotunde câte 20 participanți  in anul 3</t>
  </si>
  <si>
    <t xml:space="preserve">общественное обсуждение предложенных стратегий финансирования для мероприятий по МиО </t>
  </si>
  <si>
    <t>1. Elaborarea bazei de date
2. implementarea bazei de date și ajustarea în procesul de lucru
Va fi elaborat un sistem informational pentru a asigura monitorizarea pacientilor, consumul preparatelor ARV etc. Sistemul informational va fi elaborat tinind cont de posibilitatea de interconexiune cu sistemele informationale din sistemul de sanatate, inclusiv baza de date privind mortalitatea si alte sisteme informationale utilizate in domeniul prevenirii si diagnosticarii HIV
смотри бюджет на листе Budget assumption</t>
  </si>
  <si>
    <t>Mentenanța sistemelor informaționale/
Техническое обеспечение функциональности информационных систем</t>
  </si>
  <si>
    <t>2 дневный мониторинговый визит</t>
  </si>
  <si>
    <t>1 дневный мониторинговый визит</t>
  </si>
  <si>
    <t>Vizite de supraveghere abilitantă și validare a datelor la instituțiile și organizațiile subordonate/Обеспечение визитов по оценке качества  сбора данных в подчиненные учреждения и организации</t>
  </si>
  <si>
    <t>Studiul integrat biocomportamental în rândul grupurilor cu risc sporit de infectare (CDI, LS; BSB, deținuți))/Интегрированное био-поведенческое исследование среди групп с высоким риском заражения (CDI, LS; BSB, prisoners)</t>
  </si>
  <si>
    <t>Cercetarea pentru estimarea numărului persoanelor transgen cu componenta calitativă pentru determinarea necesităților de servicii pentru persoanele transgen
исследования оценки ТГ лиц с промежуточной оценкой полученных данных Оценка  потребностей трансгендерных людей</t>
  </si>
  <si>
    <t>В 2023 будет  проведение иследования  знаний, отношений и практик  среди  молодежи 
studiul estimat a fi 35 mii euro - consider ca banii acestea ajunf pentru KAP pop gen 15-49 ani + eșantion ajustat pentru 15-24 ani</t>
  </si>
  <si>
    <t>Cercetarea pentru estimarea numărului populațiilor cheie CDI, BSB, LS / Size estimation of MARs (linked ti IBBS)</t>
  </si>
  <si>
    <t>привлечение 1 эксперта  30 рабочих дней в 2024</t>
  </si>
  <si>
    <t>Cercetarea operativă pentru determinarea cazurilor de incidență recentă
Проведение исследования по выявлению ранних случаев ВИЧ инфицирования</t>
  </si>
  <si>
    <t xml:space="preserve">cercetare calitativa - 150 respondenti </t>
  </si>
  <si>
    <t>Studiu de documentare a eficienței integrării serviciilor/
 исследования для оценки эффективности интеграции услуг</t>
  </si>
  <si>
    <t>Evaluarea la mijloc de termen a PN/Среднесрочная оценка НП</t>
  </si>
  <si>
    <t>Evaluarea finală a PN</t>
  </si>
  <si>
    <t xml:space="preserve">Обеспеспечение родильных домов набором медикаментов АРВ для экстренной профилактики </t>
  </si>
  <si>
    <t>проведение публичных мероприятий, теле и радиопередач направленных на снижение стигмы и привлечению к тестированию и лечению</t>
  </si>
  <si>
    <t>привлечение 3 экспертов по 10 рабочих дней в 2021 и 2022</t>
  </si>
  <si>
    <t>The packages of medical and non-medical services will be elaborated for the provision of care and support and their costification in order to be able to be contracted by the NHIC.</t>
  </si>
  <si>
    <t>4 national consultants (CNAM, PN HIV, ONG, MSPS) for 10 days each</t>
  </si>
  <si>
    <t>Усовершенствование нормативной базы по осуществлению фармнадзора за побочными эффектами АРВ препратов, из анализ и обобщение для принятия решений</t>
  </si>
  <si>
    <t xml:space="preserve"> 2 national consultants, 10 days for each  (HIV specialist and  specialist in pharmacovigilance) for 20 per each (10 days per regulation). 
</t>
  </si>
  <si>
    <t>Разработка нормативно-правовой базы для комплексных услуг на уровне специализированной амбулаторной медицинской помощи</t>
  </si>
  <si>
    <t>Оказание технической помощи для организации предоставления интегрированных услуг на уровне неправительственного сектора</t>
  </si>
  <si>
    <t>для обеспечения прозрачности принятия решения и обсуждения разработанных механизмов будут проведены круглые столы/встречи на национальному уровне (2 встречи в первый год)</t>
  </si>
  <si>
    <t>проведение общественного обсуждения предложений с ключевыми игроками</t>
  </si>
  <si>
    <t>Activity 2.2.1</t>
  </si>
  <si>
    <t>Nr of beneficiaries</t>
  </si>
  <si>
    <t>Right Bank</t>
  </si>
  <si>
    <t>Left Bank</t>
  </si>
  <si>
    <t>Cover with HIV testing</t>
  </si>
  <si>
    <t>% of Negativ from BSB beneficiaries</t>
  </si>
  <si>
    <t xml:space="preserve">Target for HIV testing </t>
  </si>
  <si>
    <t>Rapid test DUO_HIV&amp;Syphilis</t>
  </si>
  <si>
    <t>Rapid HIV Self-testing</t>
  </si>
  <si>
    <t>Target for Syphilis testing</t>
  </si>
  <si>
    <t>Rapid test_Syphilis</t>
  </si>
  <si>
    <t>(HIV Testing-HIV DUO)</t>
  </si>
  <si>
    <t>Target for HCV testing</t>
  </si>
  <si>
    <t>Rapid test_HCV</t>
  </si>
  <si>
    <t>Target for HBV testing</t>
  </si>
  <si>
    <t>Rapid test_HBV</t>
  </si>
  <si>
    <t>Preventive services for UDI</t>
  </si>
  <si>
    <t>UDI</t>
  </si>
  <si>
    <t>% of Negativ from UDI beneficiaries</t>
  </si>
  <si>
    <t>Rapid test_HIV 1/2</t>
  </si>
  <si>
    <t>Preventive services for LS</t>
  </si>
  <si>
    <t>% of Negativ from LS beneficiaries</t>
  </si>
  <si>
    <t>Person</t>
  </si>
  <si>
    <r>
      <t xml:space="preserve">Tests = Person *15% </t>
    </r>
    <r>
      <rPr>
        <sz val="12"/>
        <rFont val="Calibri"/>
        <family val="2"/>
        <charset val="204"/>
        <scheme val="minor"/>
      </rPr>
      <t>(10%Buffer + 2%QC + 1%Repetition + 2% Wastage_Roundup-1</t>
    </r>
  </si>
  <si>
    <t>GRSI+Penitenciary</t>
  </si>
  <si>
    <t>Test price</t>
  </si>
  <si>
    <t>Consumables</t>
  </si>
  <si>
    <t xml:space="preserve">Other work </t>
  </si>
  <si>
    <t>Total per test</t>
  </si>
  <si>
    <t>Total Tests</t>
  </si>
  <si>
    <t>Source  of the budget</t>
  </si>
  <si>
    <t>GF</t>
  </si>
  <si>
    <t>NAC/CNAM</t>
  </si>
  <si>
    <t>Activity 1.3.2//1.3.3//2.1.6//2.1.7</t>
  </si>
  <si>
    <t>General Population</t>
  </si>
  <si>
    <t>Pregnant women</t>
  </si>
  <si>
    <t>Rapid test DUO_HIV&amp;Syphilis_Right Bank</t>
  </si>
  <si>
    <t>decreasing by each year with 1%</t>
  </si>
  <si>
    <t>HIV_ELISA_Left Bank</t>
  </si>
  <si>
    <t>Newborn</t>
  </si>
  <si>
    <t>Multiplied by 3 tests/1 year</t>
  </si>
  <si>
    <t>GX_HIV 1/2 Qual_Right Bank</t>
  </si>
  <si>
    <t>AMP</t>
  </si>
  <si>
    <t>Rapid test DUO_HIV&amp;Syphilis_AMP</t>
  </si>
  <si>
    <t>AMS</t>
  </si>
  <si>
    <t>Rapid test_HIV 1/2_AMS</t>
  </si>
  <si>
    <t>RPR_Syphilis_AMS</t>
  </si>
  <si>
    <t>General Population_Left Bank</t>
  </si>
  <si>
    <t>Transfusion Center</t>
  </si>
  <si>
    <t>Nr. of the beneficiaries</t>
  </si>
  <si>
    <t>HIV&amp;Syphilis Testing (ECLEA)</t>
  </si>
  <si>
    <t>Transfusion Center_Right Bank</t>
  </si>
  <si>
    <t>HIV&amp;Syphilis Testing (ELISA)</t>
  </si>
  <si>
    <t>TOTAL_Rigth Bank</t>
  </si>
  <si>
    <t>General population, pregantn, New Borns, Transfusion Center</t>
  </si>
  <si>
    <t>Pregnant women_Right Bank</t>
  </si>
  <si>
    <t>Newborns_RM</t>
  </si>
  <si>
    <t>TOTAL_Left Bank</t>
  </si>
  <si>
    <t>Pregnant women_Left Bank</t>
  </si>
  <si>
    <t>GX_HIV 1/2 Qual</t>
  </si>
  <si>
    <t>Newborn_Left Bank</t>
  </si>
  <si>
    <t>HIV Testing_ELISA</t>
  </si>
  <si>
    <t>Transfusion_Left Bank</t>
  </si>
  <si>
    <t>Sourse of procurement</t>
  </si>
  <si>
    <t>NMAC/CNAM</t>
  </si>
  <si>
    <t>1. Contractarea Consultantului Extern (Asistență tehnică: Elaborare Metodologie,  Elaborare POS, Materiale Informaționale, Implementarea metodei, Analiza rezultatelor).</t>
  </si>
  <si>
    <t xml:space="preserve">3. Revizuirea și adaptarea bazei normative privind autotestarea. </t>
  </si>
  <si>
    <t>4. Identificarea și contractarea rețelei de farmacii.</t>
  </si>
  <si>
    <t>Activity 2.2.2</t>
  </si>
  <si>
    <t>MSM</t>
  </si>
  <si>
    <t>ITS PCR_for MSM</t>
  </si>
  <si>
    <t>Cover with ITS testing</t>
  </si>
  <si>
    <t>ITS PCR_for LS</t>
  </si>
  <si>
    <t>MSM+LS</t>
  </si>
  <si>
    <t>PCR_N. gonorrhoeae</t>
  </si>
  <si>
    <t>RotorGene</t>
  </si>
  <si>
    <t>PCR_C. trachomatis</t>
  </si>
  <si>
    <t xml:space="preserve">PCR_ M. hominis </t>
  </si>
  <si>
    <t>PCR_U.urealyticum</t>
  </si>
  <si>
    <t>HIV+ persons</t>
  </si>
  <si>
    <t>Person tested</t>
  </si>
  <si>
    <t>Follow up</t>
  </si>
  <si>
    <t>Determinarea alelei HLA*B 5701 /The HLA*B 5701 determination</t>
  </si>
  <si>
    <t>Rotor Gene</t>
  </si>
  <si>
    <t>Activity 2.3.3.6</t>
  </si>
  <si>
    <r>
      <rPr>
        <b/>
        <sz val="10"/>
        <color theme="1"/>
        <rFont val="Calibri"/>
        <family val="2"/>
        <scheme val="minor"/>
      </rPr>
      <t xml:space="preserve">Determinarea subtipurilor HIV și a rezistenţei la preparatele antiretrovirale prin testare genotipică / </t>
    </r>
    <r>
      <rPr>
        <sz val="10"/>
        <color theme="5" tint="-0.249977111117893"/>
        <rFont val="Calibri"/>
        <family val="2"/>
        <scheme val="minor"/>
      </rPr>
      <t>Determination of HIV subtypes and resistance to antiretroviral preparations by genotypic testing</t>
    </r>
  </si>
  <si>
    <t>Name</t>
  </si>
  <si>
    <t>Numbers</t>
  </si>
  <si>
    <t>I</t>
  </si>
  <si>
    <t>Works</t>
  </si>
  <si>
    <t>National Consultants</t>
  </si>
  <si>
    <t>Local Coordinator_Full time</t>
  </si>
  <si>
    <t>Local Consultant 1 Microbiologist_Full time</t>
  </si>
  <si>
    <t>Local Consultant 2 Microbiologist__0.5 unit</t>
  </si>
  <si>
    <t>Local Consultant 1 Assistant_Full time</t>
  </si>
  <si>
    <t>Local Consultant 2 Assitant_0.5 unit</t>
  </si>
  <si>
    <t>SUBTOTAL National Consultants</t>
  </si>
  <si>
    <t>International Consultants</t>
  </si>
  <si>
    <t xml:space="preserve"> TBD 1_5 days per each month </t>
  </si>
  <si>
    <t>SUBTOTAL International Consultants</t>
  </si>
  <si>
    <t>II</t>
  </si>
  <si>
    <t>Equipment and Consumables</t>
  </si>
  <si>
    <t>Reagents NGS, kit</t>
  </si>
  <si>
    <t>Materials for Spectrophotometer</t>
  </si>
  <si>
    <t>General Consumables</t>
  </si>
  <si>
    <t>Control EQA</t>
  </si>
  <si>
    <t>IT equipment</t>
  </si>
  <si>
    <t>SUBTOTAL Equipment and Consumables</t>
  </si>
  <si>
    <t>III</t>
  </si>
  <si>
    <t>Trainings</t>
  </si>
  <si>
    <t>1st On-site training in NGS</t>
  </si>
  <si>
    <t>2nd On-site training in NGS</t>
  </si>
  <si>
    <t>SUBTOTAL Trainings</t>
  </si>
  <si>
    <t>IV</t>
  </si>
  <si>
    <t xml:space="preserve">Other </t>
  </si>
  <si>
    <t>Adaptation of the Infrastructure</t>
  </si>
  <si>
    <t>Laboratory Furniture</t>
  </si>
  <si>
    <t>Office supplies</t>
  </si>
  <si>
    <t>Transportation of biomaterials</t>
  </si>
  <si>
    <t>Other services</t>
  </si>
  <si>
    <t>SUBTOTAL Other</t>
  </si>
  <si>
    <t>TOTAL, MDL</t>
  </si>
  <si>
    <t>Activity 3.2.4.1</t>
  </si>
  <si>
    <t>3.2.4.1</t>
  </si>
  <si>
    <t>2. Contractarea Consultanților Naționali (Specialist Diagnostic de laborator - 6, Specialist Economie -1, Specialist Sisteme de Sănătate - 1).</t>
  </si>
  <si>
    <t>4. Elaborarea mini soft electronic pt completarea și compilarea chestionarelor. Administrarea lui.</t>
  </si>
  <si>
    <t>km</t>
  </si>
  <si>
    <t>3.2.4.2</t>
  </si>
  <si>
    <t>2. Contractarea Consultanților Naționali Coordonator -1, Microbiolog -2, Felcer laborant - 2). 0,25% zilnic</t>
  </si>
  <si>
    <t>4. Procurarea reagenților/consumabilelor pentru Extragerea ARN (1 probă extragere ARN=1000 MDL).</t>
  </si>
  <si>
    <t>Eveniment</t>
  </si>
  <si>
    <t xml:space="preserve">% of the budget </t>
  </si>
  <si>
    <t>Inginer</t>
  </si>
  <si>
    <t xml:space="preserve">Serviciu </t>
  </si>
  <si>
    <t>3.3.1.6</t>
  </si>
  <si>
    <t>Procurement of Laboratory Equipments for NRLs and RRLs</t>
  </si>
  <si>
    <t>3.3.1.7</t>
  </si>
  <si>
    <t>Refrigerators_CNAM</t>
  </si>
  <si>
    <t>Total costs, MDL</t>
  </si>
  <si>
    <t xml:space="preserve">2. Aprobarea Structurii Serviciului de Testare (funcționalitate/unități LRR, Responsabili LRR HIV/ITS/HV prin ordin MS. </t>
  </si>
  <si>
    <t>Procurări</t>
  </si>
  <si>
    <t>3.3.3.3</t>
  </si>
  <si>
    <t>Activities for laboratory Component</t>
  </si>
  <si>
    <t>Covered by Syphilis testing</t>
  </si>
  <si>
    <t>Covered by Viral hepatitis HCV testing</t>
  </si>
  <si>
    <t>Covered by Viral hepatitis HBV testing</t>
  </si>
  <si>
    <r>
      <t xml:space="preserve">Tests = Person *15% </t>
    </r>
    <r>
      <rPr>
        <sz val="12"/>
        <rFont val="Calibri"/>
        <family val="2"/>
        <charset val="204"/>
        <scheme val="minor"/>
      </rPr>
      <t>(10%Buffer + 2%QC + 1%Repetition + 2%Wastage_Roundup-1)</t>
    </r>
  </si>
  <si>
    <t>incresing by each year with 2%</t>
  </si>
  <si>
    <t>General Population_Right Bank</t>
  </si>
  <si>
    <t>increasing by each year with 2%</t>
  </si>
  <si>
    <t>increasing by each year with 1%</t>
  </si>
  <si>
    <t>Multiplied by 20% for Second test in Group Risk</t>
  </si>
  <si>
    <t>Transfusion Center_Left Bank_blood sample</t>
  </si>
  <si>
    <t>HIV&amp;Syphilis Testing (ECLIA)</t>
  </si>
  <si>
    <t>6. Procurarea consumabilelor pentru metoda Autotestare.</t>
  </si>
  <si>
    <t>Teste</t>
  </si>
  <si>
    <t>9. Monitorizarea persoanelor ce au utilizat autotestul.</t>
  </si>
  <si>
    <t>11. Elaborarea Recomandărilor privind implementarea metodei de Autotestare HIV în rândul Populației Generale HIV și prezentarea către MS.</t>
  </si>
  <si>
    <t>Persons to be tested</t>
  </si>
  <si>
    <t>General population, Pregnant women, Newborns, Transfusion Center</t>
  </si>
  <si>
    <r>
      <t xml:space="preserve">Tests = Person *15% </t>
    </r>
    <r>
      <rPr>
        <sz val="12"/>
        <rFont val="Calibri"/>
        <family val="2"/>
        <charset val="204"/>
        <scheme val="minor"/>
      </rPr>
      <t>(10%Buffer + 2%QC + 1%Repetition + 2%Wastage_Roundup-1</t>
    </r>
  </si>
  <si>
    <t>Yearly new LS cases</t>
  </si>
  <si>
    <t>Yearly new MSM cases</t>
  </si>
  <si>
    <t>1. Contractarea Consultantului Extern (Asistență tehnică - Elaborare Metodologie, Protocol, Raportul final, Elaborare Recomandări de Optimizare a Serviciului de Testare HIV/ITS/HV).</t>
  </si>
  <si>
    <t>5. Contractarea persoanelor responsabile din instituțiile evaluate pentru completarea chestionarelor. (1 zi-pregatire date; 1 zi-completare; 1 zi - lucru cu consultantul național).</t>
  </si>
  <si>
    <t xml:space="preserve">7. Compilarea, Analiza datelor obținute.  Elaborarea Raportului final.  </t>
  </si>
  <si>
    <t>1. Contractarea Consultanților Externi (Elaborare Metodologie , Protocol studiu, Protocol Metoda Extracția ARN, Implementarea metodei).</t>
  </si>
  <si>
    <t>3. Instruirea Personalului LNR HIV în cadrul Laboratorului Extern.</t>
  </si>
  <si>
    <t>per person/day</t>
  </si>
  <si>
    <r>
      <t xml:space="preserve">1. Procurarea materialelor de referință EQC </t>
    </r>
    <r>
      <rPr>
        <i/>
        <sz val="10"/>
        <rFont val="Calibri"/>
        <family val="2"/>
        <charset val="204"/>
        <scheme val="minor"/>
      </rPr>
      <t>HIV.</t>
    </r>
  </si>
  <si>
    <r>
      <t xml:space="preserve">2. Procurarea materiale de referință EQC </t>
    </r>
    <r>
      <rPr>
        <i/>
        <sz val="10"/>
        <rFont val="Calibri"/>
        <family val="2"/>
        <charset val="204"/>
        <scheme val="minor"/>
      </rPr>
      <t>T. pallidum</t>
    </r>
  </si>
  <si>
    <r>
      <t xml:space="preserve">3. Procurarea materiale de referință EQC </t>
    </r>
    <r>
      <rPr>
        <i/>
        <sz val="10"/>
        <rFont val="Calibri"/>
        <family val="2"/>
        <charset val="204"/>
        <scheme val="minor"/>
      </rPr>
      <t>N. gonorrhoeae.</t>
    </r>
  </si>
  <si>
    <r>
      <t xml:space="preserve">4. Procurarea materiale de referință EQC </t>
    </r>
    <r>
      <rPr>
        <i/>
        <sz val="10"/>
        <rFont val="Calibri"/>
        <family val="2"/>
        <charset val="204"/>
        <scheme val="minor"/>
      </rPr>
      <t>C. trachomatise.</t>
    </r>
  </si>
  <si>
    <t>1. Revizuirea Procedurilor de laborator și al Manualului Calității.</t>
  </si>
  <si>
    <t>2. Auditul anual intermediar MOLDAC.</t>
  </si>
  <si>
    <t>per person/2 days</t>
  </si>
  <si>
    <t>1. Implementarea și Menținerea Sistemului.</t>
  </si>
  <si>
    <t>2. Elaborarea Ghidului Utilizatorului pentru Centrele de Testare și LRR.</t>
  </si>
  <si>
    <t xml:space="preserve">Monitoring visits _HIV Testing Service </t>
  </si>
  <si>
    <t>Eveniment 1 zi.</t>
  </si>
  <si>
    <t>1. Implementarea Programului Național de Control al Calității pentru Serviciul de Testare HIV/ITS/HV. Colectare date, analiza și raportare rezultate.</t>
  </si>
  <si>
    <t>2. Recenzarea Ghidului Național de Testare HIV/ITS.</t>
  </si>
  <si>
    <t>1. Elaborarea Materialelor pentru Consiliere (pretest și postest) pentru Serviciul Medical și ONG.</t>
  </si>
  <si>
    <t>3. Distribuirea.</t>
  </si>
  <si>
    <t>Instruirea continuă a persoanelor din cadrul LNR și LRR prin participarea la programe externe de instruire (metode de laborator, biosecuritate, echipamente, management) /Continuous training of persons within LNR and LRR by participating in external and internal training programs (methods, biosecurity, equipment, management).</t>
  </si>
  <si>
    <t>test</t>
  </si>
  <si>
    <t>Nr. of tests = Nr. of Pregnant Women estimated in the last 12 month by National management Agency with annually decreasing by 1%. X 20% for retesting Risc Group x 15% (10%Buffer + 2%QC + 1%Repetition + 2% Wastage_Roundup-1)</t>
  </si>
  <si>
    <t>ELISA_HIV test_Left bank</t>
  </si>
  <si>
    <t>Nr. of tests = Nr. of Pregnant Women tested by Left Bank in 2019 with annually decreasing by 1%. x 15% (10%Buffer + 2%QC + 1%Repetition + 2% Wastage_Roundup-1)</t>
  </si>
  <si>
    <t>Nr. of tests = Nr. of Newborns (p1.3.1.2) from mothers HIV+ x 3 times/Year x 15% (10%Buffer + 2%QC + 1%Repetition + 2% Wastage_Roundup-1)</t>
  </si>
  <si>
    <t>Nr. of tests = Nr. of Newborns (p1.3.1.2) from mothers HIV+ x 3 times x 15% (10%Buffer + 2%QC + 1%Repetition + 2% Wastage_Roundup-1)</t>
  </si>
  <si>
    <t>Other work (Maintenance, staff work, etc.)</t>
  </si>
  <si>
    <t>Rapid test_DUO_HIV&amp;Syphilis_GRI+Penitenciary non-UDI_Right+Left bank</t>
  </si>
  <si>
    <t>Nr. of tests = Nr. of Benificiaries (MSM+LS+Udi+penitenciary non-UDI) x *15% (10%Buffer + 2%QC + 1%Repetition + 2% Wastage_Roundup-1)</t>
  </si>
  <si>
    <t>Nr. of tests = Nr. of Beneficiaries (MSM+LS+Udi+penitenciary non-UDI) x *15% (10%Buffer + 2%QC + 1%Repetition + 2%Wastage_Roundup-1)</t>
  </si>
  <si>
    <t>Rapid test_HIV Syphilis_GRI+Penitenciary non-UDI</t>
  </si>
  <si>
    <t>Nr. of tests = Nr. of Beneficiaries (MSM+LS+Udi+penitenciary non-UDI) x *15% (10%Buffer + 2%QC + 1%Repetition + 2% Wastage_Roundup-1)</t>
  </si>
  <si>
    <t>Rapid test_HCV_GRI+Penitenciary non-UDI</t>
  </si>
  <si>
    <t>Rapid test_HBV_GRI+Penitenciary non-UDI</t>
  </si>
  <si>
    <t>Rapid test_Consumables_GRI+Penitenciary non-UDI</t>
  </si>
  <si>
    <t>Nr. of all Type of tests = Nr. of Beneficiaries (MSM+LS+Udi+penitenciary non-UDI)_2.1.2.1-2.1.2.5 x *15% (10%Buffer + 2%QC + 1%Repetition + 2%Wastage_Roundup-1)</t>
  </si>
  <si>
    <t>HIV&amp;Syphilis Testing (ECLEA)_Right Bank (ECLEA) + Left Bank (ELISA)</t>
  </si>
  <si>
    <t>Nr. of  blood samples</t>
  </si>
  <si>
    <t>Budgeted by National Transfusion Center</t>
  </si>
  <si>
    <t>Rapid test DUO_HIV&amp;Syphilis_Primary Health Sector_AMP</t>
  </si>
  <si>
    <t>Nr. of Tests = Nr. of persons according to Nr. of Tests conducted in 2019_AMP + yearly increasing with 2% x 15% (10%Buffer + 2%QC + 1%Repetition + 2%Wastage_Roundup-1)</t>
  </si>
  <si>
    <t>Rapid test_HIV 1/2_Regional &amp; Republican Hospitals_AMS</t>
  </si>
  <si>
    <t>Nr. of Tests = Nr. of persons according to Nr. of Tests conducted in 2019_AMS+ yearly increasing with 1% x 15% (10%Buffer + 2%QC + 1%Repetition + 2%Wastage_Roundup-1)</t>
  </si>
  <si>
    <t>RPR Test_SYphilis_Regional &amp; Republican Hospitals_AMS</t>
  </si>
  <si>
    <t>Nr. of Tests = Nr. of persons according to Nr. of Tests conducted in 2019_AMS + yearly increasing with 1% x 15% (10%Buffer + 2%QC + 1%Repetition + 2%Wastage_Roundup-1)</t>
  </si>
  <si>
    <t>All tests Objective 2.7.1-2.1.7.3_AMS+AMP</t>
  </si>
  <si>
    <t>Nr. of Tests = Nr. of Beneficiaries (2.1.7.1-2.1.7.3) x 15% (10%Buffer + 2%QC + 1%Repetition + 2%Wastage_Roundup-1)</t>
  </si>
  <si>
    <t>Other work (Maintennace, Work, Other)_Average of Rapid+RPR test</t>
  </si>
  <si>
    <t>HIV 1/2 Test_ELISA_Left Bank</t>
  </si>
  <si>
    <t>Implementation and uptake of HIV self-testing in General Population</t>
  </si>
  <si>
    <t>Project</t>
  </si>
  <si>
    <t>See Budget Assumption_Lab Comp</t>
  </si>
  <si>
    <t>Rapid test_Selftesting_GRI+Penitenciary non-UDI</t>
  </si>
  <si>
    <t>Teste de Confirmare Alternative</t>
  </si>
  <si>
    <t>Teste de confirmare sifilis+HIV_Right Bank</t>
  </si>
  <si>
    <t>Teste de confirmare sifilis+HIV_RM</t>
  </si>
  <si>
    <t>Other work (Maintennace, Staff Work, Other)</t>
  </si>
  <si>
    <t>New cases MSM+LS (See Budget Assumption_Lab Comp)</t>
  </si>
  <si>
    <t>Consumable</t>
  </si>
  <si>
    <t>Other (Staff Work+Maintenance, etc.)</t>
  </si>
  <si>
    <t>Follow-up tests (2.3.3.1-2.3.3.3)</t>
  </si>
  <si>
    <t>Otjer work (Maintenace+Staff work), etc.</t>
  </si>
  <si>
    <t>Calculated for 100 persons</t>
  </si>
  <si>
    <t>See Budget Assumption_Lab Comp_distributed during 3 years of the implementation.</t>
  </si>
  <si>
    <t>Service</t>
  </si>
  <si>
    <t>International Training</t>
  </si>
  <si>
    <t>GeneXpert, separate module</t>
  </si>
  <si>
    <t>Transfusion Center_Right Bank_blood sample</t>
  </si>
  <si>
    <t>Nu corespunde cu E-I145</t>
  </si>
  <si>
    <t>HIV Testing (ELISA)</t>
  </si>
  <si>
    <t>Multiplied by 2 for Second test for all</t>
  </si>
  <si>
    <t>1. Mențenanța LIS (Tehnica IT, piese).</t>
  </si>
  <si>
    <t>Сумма ГФ</t>
  </si>
  <si>
    <t xml:space="preserve">Услуги по тестированию на ИППП для атрактивного пакета для МСМ (для всех новых бенефициаров). Стоимость пакета услуг - 90 лей консультация врача *2= 180. Стоимость тестов включена в 2.2.2. </t>
  </si>
  <si>
    <t>привлечение 2 экспертов по 10 рабочих дней в 2021, 2024</t>
  </si>
  <si>
    <t>один  двухдневный тренинг в год ежегодно</t>
  </si>
  <si>
    <t>Предоставление профилактических услуг посредством других альтернативных источников</t>
  </si>
  <si>
    <t>привлечение 3 экспертов по 10 рабочих дней (создание в 2021 и пересмоьр в 2025)</t>
  </si>
  <si>
    <t>Обеспечение скринингом на ТБ всех ЛЖВ и лечение ко-инфекции ВИЧ /ТБ в том числе и тестирование на GeneXpert</t>
  </si>
  <si>
    <t>привлечение 3 экспертов по 10 рабочих дней в 2021 и одного эксперта в 2022</t>
  </si>
  <si>
    <t>Поддержка и развитие координатора по децентрализации</t>
  </si>
  <si>
    <t>Подготовка специалистов районных кабинетов</t>
  </si>
  <si>
    <t>привлечение 2 экспертов по 10 рабочих дней в 2022</t>
  </si>
  <si>
    <t>Повышение потенциала для совместных команд на районном уровне по вопросам интегрированной помощи, в районнах, где будет децентрализация лечения</t>
  </si>
  <si>
    <t>1. Mentenanța sistemelor din partea companiilor care vor elabora sistemele
2. mentenața și ajustarea curentă a sistemelor informaționale
Va fi contractat un specialist in domeniul tehnologiilor in formationale care va asigura implementarea sistemului informational la nivel national si de teritorii si mentenanta acestuia. +1 специалист IT с зарплатой 30000 брутто/месяц</t>
  </si>
  <si>
    <t xml:space="preserve"> привлечение  4 консультантов для пересмотра нормативного акта по  рутинному эпидемиологическому надзору   по 10 дней - 2021 год</t>
  </si>
  <si>
    <t>экземпляр</t>
  </si>
  <si>
    <t>Проведение ежегодно   6 мониторинговых 1  дневных визита в териториальнные учереждения и организации</t>
  </si>
  <si>
    <t>Consultanță națională - 3 consultanti nationali a cite 10 zile anul 3</t>
  </si>
  <si>
    <t>Consultanță națională - 5 consultanti nationali a cite 10 zile anul 3</t>
  </si>
  <si>
    <t>5 consultanti naționali cite 10 zile</t>
  </si>
  <si>
    <t>привлечение 2 экспертов по 10 рабочих дней ежегодно</t>
  </si>
  <si>
    <t xml:space="preserve"> Предоставление основного пакета услуг по снижению вреда</t>
  </si>
  <si>
    <r>
      <t xml:space="preserve"> организация мероприятий по обучению сотрудников НПО в работе с потребителями  новых психоактивных веществ  неинъекционным путем  (1 мероприятие в год  1 день с участием 25 человек)  на 2021 год                                             </t>
    </r>
    <r>
      <rPr>
        <sz val="12"/>
        <color theme="1"/>
        <rFont val="Calibri"/>
        <family val="2"/>
        <scheme val="minor"/>
      </rPr>
      <t xml:space="preserve">                                                                                                 </t>
    </r>
  </si>
  <si>
    <r>
      <t xml:space="preserve">GX_HIV 1/2 Qual for Newborns </t>
    </r>
    <r>
      <rPr>
        <i/>
        <sz val="10"/>
        <color theme="1"/>
        <rFont val="Calibri (Body)"/>
      </rPr>
      <t>(NAAT)_Right bank+ Left bank</t>
    </r>
  </si>
  <si>
    <r>
      <t xml:space="preserve">GX_HIV 1/2 Qual for Newborns </t>
    </r>
    <r>
      <rPr>
        <i/>
        <sz val="10"/>
        <color theme="1"/>
        <rFont val="Calibri (Body)"/>
      </rPr>
      <t>(NAAT)_Right bank</t>
    </r>
  </si>
  <si>
    <r>
      <rPr>
        <b/>
        <sz val="10"/>
        <color theme="1"/>
        <rFont val="Calibri (Body)"/>
      </rPr>
      <t>test price</t>
    </r>
    <r>
      <rPr>
        <sz val="10"/>
        <color theme="1"/>
        <rFont val="Calibri (Body)"/>
      </rPr>
      <t xml:space="preserve"> (reagents)</t>
    </r>
  </si>
  <si>
    <r>
      <t xml:space="preserve">Teste de confirmare de alternativă HIV-1 și HIV-2 </t>
    </r>
    <r>
      <rPr>
        <i/>
        <sz val="10"/>
        <color theme="1"/>
        <rFont val="Calibri (Body)"/>
      </rPr>
      <t>/HIV-1 and HIV-2 confirmation tests_Genius_RM</t>
    </r>
  </si>
  <si>
    <r>
      <t xml:space="preserve">Teste pentru determinarea Aviditatii HIV </t>
    </r>
    <r>
      <rPr>
        <i/>
        <sz val="10"/>
        <color theme="1"/>
        <rFont val="Calibri (Body)"/>
      </rPr>
      <t>/Tests for HIV Recency / Avidity_RM</t>
    </r>
  </si>
  <si>
    <r>
      <t xml:space="preserve">Teste de confirmare sifilis TPHA </t>
    </r>
    <r>
      <rPr>
        <i/>
        <sz val="10"/>
        <color theme="1"/>
        <rFont val="Calibri (Body)"/>
      </rPr>
      <t>/Syphilis confirmation by TPHA_Right Bank</t>
    </r>
  </si>
  <si>
    <r>
      <t xml:space="preserve">Teste de confirmare sifilis ELISA IgM si IgG </t>
    </r>
    <r>
      <rPr>
        <i/>
        <sz val="10"/>
        <color theme="1"/>
        <rFont val="Calibri (Body)"/>
      </rPr>
      <t>/Syphilis confirmation by ELISA IgM and IgG_Right bank</t>
    </r>
  </si>
  <si>
    <r>
      <t xml:space="preserve">Teste de confirmare sifilis Western Blot IgM si IgG </t>
    </r>
    <r>
      <rPr>
        <i/>
        <sz val="10"/>
        <color theme="1"/>
        <rFont val="Calibri (Body)"/>
      </rPr>
      <t>/Syphilis confirmation by WesternBlot IgM and IgG_Right Bank</t>
    </r>
  </si>
  <si>
    <r>
      <t xml:space="preserve">Asigurarea confirmării de laborator prin metoda PCR și determinarea sensibilității antibacteriene pentru </t>
    </r>
    <r>
      <rPr>
        <i/>
        <sz val="10"/>
        <color theme="1"/>
        <rFont val="Calibri (Body)"/>
      </rPr>
      <t>N. gonorrhoeae</t>
    </r>
    <r>
      <rPr>
        <sz val="10"/>
        <color theme="1"/>
        <rFont val="Calibri (Body)"/>
      </rPr>
      <t xml:space="preserve"> </t>
    </r>
    <r>
      <rPr>
        <i/>
        <sz val="10"/>
        <color theme="1"/>
        <rFont val="Calibri (Body)"/>
      </rPr>
      <t xml:space="preserve">/Ensuring laboratory confirmation by PCR method and determination of antibacterial susceptibility to N. gonorrhoeae </t>
    </r>
  </si>
  <si>
    <r>
      <t xml:space="preserve">Asigurarea confirmării de laborator pentru </t>
    </r>
    <r>
      <rPr>
        <i/>
        <sz val="10"/>
        <color theme="1"/>
        <rFont val="Calibri (Body)"/>
      </rPr>
      <t xml:space="preserve">C. trachomatis </t>
    </r>
    <r>
      <rPr>
        <sz val="10"/>
        <color theme="1"/>
        <rFont val="Calibri (Body)"/>
      </rPr>
      <t>prin metoda PCR /</t>
    </r>
    <r>
      <rPr>
        <i/>
        <sz val="10"/>
        <color theme="1"/>
        <rFont val="Calibri (Body)"/>
      </rPr>
      <t>Providing laboratory confirmation for C. trachomatis by PCR method</t>
    </r>
  </si>
  <si>
    <r>
      <t xml:space="preserve">Asigurarea confirmării de laborator pentru </t>
    </r>
    <r>
      <rPr>
        <i/>
        <sz val="10"/>
        <color theme="1"/>
        <rFont val="Calibri (Body)"/>
      </rPr>
      <t xml:space="preserve">M. hominis </t>
    </r>
    <r>
      <rPr>
        <sz val="10"/>
        <color theme="1"/>
        <rFont val="Calibri (Body)"/>
      </rPr>
      <t xml:space="preserve">prin metoda PCR </t>
    </r>
    <r>
      <rPr>
        <i/>
        <sz val="10"/>
        <color theme="1"/>
        <rFont val="Calibri (Body)"/>
      </rPr>
      <t>/Providing laboratory confirmation for M. hominis by PCR method</t>
    </r>
  </si>
  <si>
    <r>
      <t xml:space="preserve">Asigurarea confirmării de laborator pentru </t>
    </r>
    <r>
      <rPr>
        <i/>
        <sz val="10"/>
        <color theme="1"/>
        <rFont val="Calibri (Body)"/>
      </rPr>
      <t xml:space="preserve">U.urealyticum </t>
    </r>
    <r>
      <rPr>
        <sz val="10"/>
        <color theme="1"/>
        <rFont val="Calibri (Body)"/>
      </rPr>
      <t xml:space="preserve">prin metoda PCR </t>
    </r>
    <r>
      <rPr>
        <i/>
        <sz val="10"/>
        <color theme="1"/>
        <rFont val="Calibri (Body)"/>
      </rPr>
      <t>/Providing laboratory confirmation for U.urealyticum by PCR method</t>
    </r>
  </si>
  <si>
    <r>
      <t xml:space="preserve">Asigurarea confirmării de laborator pentru </t>
    </r>
    <r>
      <rPr>
        <i/>
        <sz val="10"/>
        <color theme="1"/>
        <rFont val="Calibri (Body)"/>
      </rPr>
      <t xml:space="preserve">ITS </t>
    </r>
    <r>
      <rPr>
        <sz val="10"/>
        <color theme="1"/>
        <rFont val="Calibri (Body)"/>
      </rPr>
      <t xml:space="preserve">prin metoda PCR </t>
    </r>
    <r>
      <rPr>
        <i/>
        <sz val="10"/>
        <color theme="1"/>
        <rFont val="Calibri (Body)"/>
      </rPr>
      <t>/Providing laboratory confirmation for STI by PCR method</t>
    </r>
  </si>
  <si>
    <r>
      <t xml:space="preserve">Asigurarea confirmării de laborator pentru </t>
    </r>
    <r>
      <rPr>
        <i/>
        <sz val="10"/>
        <color theme="1"/>
        <rFont val="Calibri (Body)"/>
      </rPr>
      <t xml:space="preserve">ITS </t>
    </r>
    <r>
      <rPr>
        <sz val="10"/>
        <color theme="1"/>
        <rFont val="Calibri (Body)"/>
      </rPr>
      <t xml:space="preserve">prin metoda PCR </t>
    </r>
    <r>
      <rPr>
        <i/>
        <sz val="10"/>
        <color theme="1"/>
        <rFont val="Calibri (Body)"/>
      </rPr>
      <t>/Providing laboratory confirmation for STI by PCR method_Right bank</t>
    </r>
  </si>
  <si>
    <r>
      <t xml:space="preserve">Determinarea alelei HLA*B 5701 </t>
    </r>
    <r>
      <rPr>
        <i/>
        <sz val="10"/>
        <color theme="1"/>
        <rFont val="Calibri (Body)"/>
      </rPr>
      <t>/The HLA*B 5701 determination</t>
    </r>
  </si>
  <si>
    <r>
      <t xml:space="preserve">Determinarea subtipurilor HIV și a rezistenţei la preparatele antiretrovirale prin testare genotipică </t>
    </r>
    <r>
      <rPr>
        <i/>
        <sz val="10"/>
        <color theme="1"/>
        <rFont val="Calibri (Body)"/>
      </rPr>
      <t>/Determination of HIV subtypes and resistance to antiretroviral preparations by genotypic testing</t>
    </r>
  </si>
  <si>
    <r>
      <t>Evaluarea capacităților și caracteristicilor Serviciului de Testare HIV/ITS/HV în RM /</t>
    </r>
    <r>
      <rPr>
        <i/>
        <sz val="10"/>
        <color theme="1"/>
        <rFont val="Calibri (Body)"/>
      </rPr>
      <t>Laboratory Assessment of National HIV/ITS/VH Laboratory System.</t>
    </r>
  </si>
  <si>
    <r>
      <t xml:space="preserve">Evaluarea genotipurilor HIV și a rezistenței către preparatele ARV prin metoda de genotipare HIV în parteneriat cu România </t>
    </r>
    <r>
      <rPr>
        <i/>
        <sz val="10"/>
        <color theme="1"/>
        <rFont val="Calibri (Body)"/>
      </rPr>
      <t>/Collaborative studies to develop and validate methodologies aimed at improving the feasibility of genotype testing in RM</t>
    </r>
  </si>
  <si>
    <r>
      <t xml:space="preserve">Implementarea și menținerea Sistemului Informațional de Laborator în cadrul LNR HIV/ITS </t>
    </r>
    <r>
      <rPr>
        <i/>
        <sz val="10"/>
        <color theme="1"/>
        <rFont val="Calibri (Body)"/>
      </rPr>
      <t>/Implementation of the Laboratory Information System within the HIV / STI NRL</t>
    </r>
  </si>
  <si>
    <r>
      <t xml:space="preserve">Participarea la Programe de Control Extern al Calității (Internaționale și Naționale) petru LNR </t>
    </r>
    <r>
      <rPr>
        <i/>
        <sz val="10"/>
        <color theme="1"/>
        <rFont val="Calibri (Body)"/>
      </rPr>
      <t>/Participation in External Quality Control Programs (International and National) for NRL.</t>
    </r>
  </si>
  <si>
    <r>
      <t xml:space="preserve">Asigurarea complexă a mentenanței echpamentelor de laborator pentru LNR și LRR HIV </t>
    </r>
    <r>
      <rPr>
        <i/>
        <sz val="10"/>
        <color theme="1"/>
        <rFont val="Calibri (Body)"/>
      </rPr>
      <t>/Ensuring the complex maintenance of laboratory equipment for HIV NRL and RRL</t>
    </r>
  </si>
  <si>
    <r>
      <t xml:space="preserve">Desemnarea și Fortificarea Laboratoarelor Regionale de Referință HIV/ITS </t>
    </r>
    <r>
      <rPr>
        <i/>
        <sz val="10"/>
        <color theme="1"/>
        <rFont val="Calibri (Body)"/>
      </rPr>
      <t xml:space="preserve">/Designation and strengthening of the regional HIV / TSI reference laboratory. </t>
    </r>
  </si>
  <si>
    <r>
      <t>Implementarea Sistemului Informațional Național de Testare HIV/ITS/HV în Centrele de Testare HIV/ITS (Modul Testare, Inventariere, Raportare și QC) /</t>
    </r>
    <r>
      <rPr>
        <i/>
        <sz val="10"/>
        <color theme="1"/>
        <rFont val="Calibri (Body)"/>
      </rPr>
      <t>Implementation of the National Information Register for HIV / STI / VH Testing in HIV / STI Testing Centers (Testing, Inventory, Reporting, and QC Module).</t>
    </r>
  </si>
  <si>
    <r>
      <t xml:space="preserve">Auditarea periodică a Centrelor de Testare HIV/ITS pentru a asigura menţinerea calităţii investigaţiilor efectuate </t>
    </r>
    <r>
      <rPr>
        <i/>
        <sz val="10"/>
        <color theme="1"/>
        <rFont val="Calibri (Body)"/>
      </rPr>
      <t>/Periodic audit of HIV / STI Testing Centers to ensure that the quality of investigations is maintained.</t>
    </r>
  </si>
  <si>
    <r>
      <t xml:space="preserve">Elaborarea și Implementarea Programelor Naționale de Control al Calității pentru LRR HIV/ITS și alte Centre de testare HIV/ITS </t>
    </r>
    <r>
      <rPr>
        <i/>
        <sz val="10"/>
        <color theme="1"/>
        <rFont val="Calibri (Body)"/>
      </rPr>
      <t>/Development and Implementation of National Quality Control Programs for HIV / STI LRR and other HIV / STI Testing Centers.</t>
    </r>
  </si>
  <si>
    <r>
      <t xml:space="preserve">Revizuirea Ghidului Național de Testare HIV </t>
    </r>
    <r>
      <rPr>
        <i/>
        <sz val="10"/>
        <color theme="1"/>
        <rFont val="Calibri (Body)"/>
      </rPr>
      <t>/Revision of the National HIV Testing Guide.</t>
    </r>
  </si>
  <si>
    <r>
      <t xml:space="preserve">Elaborarea Ghidului metodologic destinat supravegherii de laborator a ITS şi implementarea acestuia la toate nivelurile sistemului de testare </t>
    </r>
    <r>
      <rPr>
        <i/>
        <sz val="10"/>
        <color theme="1"/>
        <rFont val="Calibri (Body)"/>
      </rPr>
      <t>/Development of the Guide for ITS laboratory surveillance methodology and its implementation at all testing system levels.</t>
    </r>
  </si>
  <si>
    <r>
      <t xml:space="preserve">Elaborarea, editarea, distribuirea materialelor informaționale pentru Serviciul de Testare HIV/ITS (consiliere, testare) </t>
    </r>
    <r>
      <rPr>
        <i/>
        <sz val="10"/>
        <color theme="1"/>
        <rFont val="Calibri (Body)"/>
      </rPr>
      <t>/Development, editing, distribution of information materials for the HIV / STI Testing Service (counseling, testing)</t>
    </r>
  </si>
  <si>
    <r>
      <t xml:space="preserve">Instruirea continuă a persoanelor din cadrul IMSP, ONG, etc. prin participare la programe interne de instruire (consiliere, metode, personal medical nou laborator HIV/ONG, etc.) </t>
    </r>
    <r>
      <rPr>
        <i/>
        <sz val="10"/>
        <color theme="1"/>
        <rFont val="Calibri (Body)"/>
      </rPr>
      <t>/Continuous training of people from MHIs, NGOs, etc. through the internal training program (counseling, methods, new medical staff HIV / NGO laboratory, etc.).</t>
    </r>
  </si>
  <si>
    <t>test kit+consumables+work</t>
  </si>
  <si>
    <t>Nr. of tests = projected 5000 in 2021 (included in the Project_2.1.8.1) + increasing by 1000 each year + Nr. of tests = Nr. of Beneficiaries (MSM+LS+UDI+Penitenciary non-UDI) requiered HIV Selftesting x *15% (10%Buffer + 2%QC + 1%Repetition + 2%Wastage_Roundup-1)</t>
  </si>
  <si>
    <t>Activity 2.1.4.1</t>
  </si>
  <si>
    <t>2.1.4.1</t>
  </si>
  <si>
    <t>20 визитов кажый год</t>
  </si>
  <si>
    <t xml:space="preserve">Адвокация для организации пилотных проектов фармакологического лечения опиатной зависимости в Приднестровском регионе
</t>
  </si>
  <si>
    <t>стоимость пакета услуг для привлечения и удержания в течении 6 месяцев бенефициаров в ДКП ( тестирование на ВИЧ, вирусные гепатиты, сифилис, определение креатинина крови, консультирование по приверженности)</t>
  </si>
  <si>
    <t xml:space="preserve">Предполагается разработка и проведение одной информационной кампании в год для всех групп по продвижения ДКП (кампания, сайт, ТВ, инфо материалы, социальные сети) </t>
  </si>
  <si>
    <t xml:space="preserve">  3 national consultants, 10 days for each в 2021 
смотри расчеты на листе Budget assumption</t>
  </si>
  <si>
    <t>Усовершенствование системы качества услуг путем обновления, разработанных  стандартов оказания помощи,  стандартов оказания профилактических услуг, протоколов диагностики и лечения, проведения клинического аудита. (стандарт по профилактике среди групп риска, среди заключенных, сифилис, 5 НКП по АРТ)</t>
  </si>
  <si>
    <t>пересмотр 8 нормативных актов (в среднем по 2 специалиста по 10 рабочих дней)</t>
  </si>
  <si>
    <t>Для эпидемиологов и инфекционнистов  будет организовано 3 учебных однодневных тренингов  по эпидемиологическому надзору  ориентированн на случаи ВИЧ и мониторинг  пациента</t>
  </si>
  <si>
    <t>Se propune realizarea IBBS in rindul persoane TG odată cu IBBS in grpurile cheie  2 locatii cite 100 respondenti</t>
  </si>
  <si>
    <t>привлечение 3 экспертов по 10 рабочих дней в 2023 году</t>
  </si>
  <si>
    <t xml:space="preserve"> - 1 round tables with key actors (MoH, gov, national programs, NGO, etc), 1 day, 20 participants</t>
  </si>
  <si>
    <t>привлечение 2экспертов по 10 рабочих дней в 2022 году</t>
  </si>
  <si>
    <t>5. Executarea procesului de ajustare a utilităților tehnico-sanitare (electricitate, ventilare, sistem de incendiu, sistem flux material patologic și deșeuri medicale, sistem cotrol acces).</t>
  </si>
  <si>
    <t>компьютер и принтер</t>
  </si>
  <si>
    <t>сейф</t>
  </si>
  <si>
    <t>оснащение пунктов выдачи метадона сейфами, компютерми, принтерами ,дозаторами и стаканчиками для фармакологического лечения метадоновой опиатной зависимости</t>
  </si>
  <si>
    <t>1 международный консультант по экспертной работе по пересмотру и формулированию предложений по внедрению альтернативных вариантов предоставления права на продажу, ускоренной / упрощенной процедуры - 10 дней</t>
  </si>
  <si>
    <t>Обеспечение технических условий для внедрения информационной системы SIME HIV в территориальных отделениях для лечения АРВ</t>
  </si>
  <si>
    <t>angajare 1 expert extern, 2 experți naționali, cheltuieli de promovare studiu</t>
  </si>
  <si>
    <t>Стимулирование индексного тестирование с целью развития инновациооных подходов по раннему выявлению ВИЧ инфекции</t>
  </si>
  <si>
    <t>Стимулирование индексного тестирование с целью развития инновациооных подходов по раннему выявлению Сифилиса</t>
  </si>
  <si>
    <t>Пилотирование и поддержка проектов на базе Социальных Центров по оказанию полного пакета услуг для ЛЖВ и групп риска</t>
  </si>
  <si>
    <t xml:space="preserve">Вовлечение Социальных Центров для оказанию полного пакета услуг ЛЖВ и  для групп риска </t>
  </si>
  <si>
    <t>пакет услуг для повышения приверженности будет предоставляться всем кто начинает впервые + повторно 500 +беременные 200 человек +130 детей+200 с ко-инфекцией ТБ/ВИЧ</t>
  </si>
  <si>
    <t>Запланировано открытие 18 новых пунктов лечения опиатной зависимости. Один раз в год привлечение 2 экспертов по 5 рабочих дней и проведений 1 круглого стола</t>
  </si>
  <si>
    <t xml:space="preserve"> Предоставление дополнительного пакета профилактических услуг для РС (в том числе мужчин и ТГ)</t>
  </si>
  <si>
    <t>стоимость медикамента на одного новорожденного</t>
  </si>
  <si>
    <t>пакет медикаментов дя экстренной профилактики в родах</t>
  </si>
  <si>
    <t>стоимость на одного ребенка</t>
  </si>
  <si>
    <t>Calcultor+printer</t>
  </si>
  <si>
    <t>2 консультанта по 10 дней</t>
  </si>
  <si>
    <t>Consultant național pentru ajustarea și includerea funcției de Specialist M&amp;E în nomenclatorul profesiilor - 2 consultanți naționali cite 7 zile fiecare, anul 3</t>
  </si>
  <si>
    <r>
      <t xml:space="preserve">Procurarea echipamentelor adiționale pentru LNR și LRR HIV </t>
    </r>
    <r>
      <rPr>
        <i/>
        <sz val="10"/>
        <color theme="1"/>
        <rFont val="Calibri (Body)"/>
      </rPr>
      <t>/Procurement of additional equipment for NRL and HIV RRL (GeneXpert aditional modules, flow cytometer, etc.)</t>
    </r>
  </si>
  <si>
    <t>Атрактивные услуги для привлечения новых бенефициаров</t>
  </si>
  <si>
    <t xml:space="preserve">Адвокация по организации дополнительных кабинетов  по предоставлению фармакологического лечения опиатной зависимости в гражданском секторе (открытия дополнительных пунктов лечения опиатной зависимости) и в пенетенциарных учреждениях и оснащение </t>
  </si>
  <si>
    <t xml:space="preserve">включает стоимость препарата (включая все затраты на  закупку, доставку и др. ) </t>
  </si>
  <si>
    <t>Предоставить  услуги по обмену шприцев  для профилактики ВИЧ  у заключенных  ПИН  в пенетенциарной системе</t>
  </si>
  <si>
    <t>Развитие человеческого ресурса (обучение сотрудников тюрьмы, НПО, заключенных) по профилактике ВИЧ  организации основных мер по снижению риска и профилактике</t>
  </si>
  <si>
    <t>по 1 семинару ежегодно</t>
  </si>
  <si>
    <t>Обучение  персонала медицинских учреждений, ответсвенного за предоставление ПКП с помощью дистанционного метода обучения</t>
  </si>
  <si>
    <t>оказание мобильных услуг по профилактике :  
 - отбор НПО на конкурсной основе, закрепленный автомобиль;
-  включает  топливо и затраты, связанные с техническим обслуживанием автомобиля</t>
  </si>
  <si>
    <t xml:space="preserve">Повышение потенциала по предоставлению услуг по профилактике употребления неинъекционных  наркотиков </t>
  </si>
  <si>
    <t>2 тренинга ежегодно</t>
  </si>
  <si>
    <t>1 тренинг в 2021 и 2024</t>
  </si>
  <si>
    <t>Обеспечение всеобщего доступа к услугам по тестированию на ВИЧ и ИППП для групп риска</t>
  </si>
  <si>
    <t>Развитие и стимулирование индексного тестирования для выявления новых случаев ВИЧ  и Сифилиса</t>
  </si>
  <si>
    <t xml:space="preserve">Удержаниe пациентов для достижения устойчивого угнетения вируса для снижения риска передачи ВИЧ </t>
  </si>
  <si>
    <t>Переоборудование для открытия (ремонт помещений, закупка оборудования)</t>
  </si>
  <si>
    <t xml:space="preserve">Улучшение каскада лечения - устранение потерь с помощью дифференцированных моделей ухода и лечения, децентрализации, качества помощи, непрерывного подхода и интеграци профилактики и лечения </t>
  </si>
  <si>
    <t>содержание менеджеров программы</t>
  </si>
  <si>
    <t>Разработка информационной системы регистрации людей, живущих с ВИЧ, SIME HIV (ИППП) (модули для АРТ, лаборатория по тестированию людей на ВИЧ, ИППП, учет лекарственных средств и товаров медицинского назначения, приобретенные и используемые для реализации ВИЧ / ИППП</t>
  </si>
  <si>
    <t xml:space="preserve">поддержка организаций и групп для коммуникации </t>
  </si>
  <si>
    <t>оценнка уровня стигмы в лечебных учреждениях, учреждениях образования, государственных органах, самостигмы в группе ЛЖВ. Проводится по стандартизированной методике UNAIDS</t>
  </si>
  <si>
    <t xml:space="preserve"> TBD 1_3 days per each month </t>
  </si>
  <si>
    <t>Procurement and Installation NGS/with TB program</t>
  </si>
  <si>
    <t>Maintenance NGS/with TB program</t>
  </si>
  <si>
    <t>Procurement and Installation FA/with TB program</t>
  </si>
  <si>
    <t>Maintenance FA/with TB program</t>
  </si>
  <si>
    <t>Spectrophotometer/with TB program</t>
  </si>
  <si>
    <t>проведение обучающих программ для разработки  териториальных программ для 40 координаторов(2  двухдневных тренинга)</t>
  </si>
  <si>
    <t>3.2.4.11</t>
  </si>
  <si>
    <t>Cercetarea operativă pentru determinarea cazurilor de incidență recentă</t>
  </si>
  <si>
    <t>3. Instruirea Personalului privind completarea chestionarului on-line</t>
  </si>
  <si>
    <t>4. Procurarea de IT pentru completarea chestionarului. In primul an se vor cumpara pentru CTARV existente, in 2022-2025 pentru cele 6 si 6 care se vor deschide anual</t>
  </si>
  <si>
    <t>5. Elaborarea soft pentru colectarea datelor on-line (10% din costul proiectului) + mentinerea si administrarea soft-ului</t>
  </si>
  <si>
    <t>Разработка и внедрение нормативной базы, регламентирующей механизмы предоставления услуг, обеспечивающих их непрерывность между услугами профилактики, тестирования и медицинской помощи</t>
  </si>
  <si>
    <t>С 2023 года планируется функционирование единой структуры для управления и координации всех Национальный Программ. Учитывая что эта структура единая для всех программ бюджет заложен в Министерстве Здравоохранения, труда и социальной защиты</t>
  </si>
  <si>
    <t>Nattional Training</t>
  </si>
  <si>
    <t>национальный эксперт</t>
  </si>
  <si>
    <t xml:space="preserve">
</t>
  </si>
  <si>
    <t xml:space="preserve"> Экспертная поддержка для разработки и пилотирование модульной программы по предоставлению услуг для преодоления самостигматизации (2 эксперта по 20 дней 2021 год) (+500000 пилотирования) 2021 год)</t>
  </si>
  <si>
    <t xml:space="preserve">Specialiștii M&amp;E de la nivel național vor participa la o instruire internațională privind interpretarea datelor 2 specialisti pe an </t>
  </si>
  <si>
    <t>привлечение 2 экспертов по 10 рабочих дней в 2022 и 5 дней в 2023</t>
  </si>
  <si>
    <t>2 тренинг в год для районных координаторов</t>
  </si>
  <si>
    <t>привлечение 3 экспертов по 5 рабочих дней в 2021</t>
  </si>
  <si>
    <t>привлечение 2 экспертов по 10 рабочих дней в 2021</t>
  </si>
  <si>
    <t>costuri de întreținere departament 7000 lei/luna</t>
  </si>
  <si>
    <t>3.7.3.3</t>
  </si>
  <si>
    <t>year/2022</t>
  </si>
  <si>
    <t>Предоставление 200 клиентам пилотных услуг по снижению самостигмагизации (200 пакетов услуг х 200 клиентов)</t>
  </si>
  <si>
    <t xml:space="preserve">оборудование для работы (компьютер, принтер, мебель) </t>
  </si>
  <si>
    <t>привлечение эксперта по 5 рабочих дней в 2022 и 2023. Будет разработана нормативная база, которая будет предусматривать механизм передачи информации и обеспечения непрерывности медицинских и немедицинских услуг в гражданском и пенитенциарном секторах. Для правительственного сектора будет разработан алгоритм сотрудничества, утвержденный совместным приказом MЮ и МЗ. (2 эксперта 10 дней - 2021)  Для неправительственного сектора будет разработано руководство, которое будет регулировать передачу информации и ведение передачи случая из гражданском в пенитенциарном секторе и наоборот. (2 эксперта 10 дней - 2021)</t>
  </si>
  <si>
    <t>для обеспечения прозрачности принятия решения и обсуждения разработанных механизмов будут проведены круглые столы/встречи на национальному уровне (1 встречa каждый год)</t>
  </si>
  <si>
    <t>Будет оказана техническая поддержка для систематического сбора и обработки данных о случаях дискриминации и нарушения прав ключевых уязвимых групп  (10 консультантов в месяц)</t>
  </si>
  <si>
    <t xml:space="preserve">2 тренинга в год
</t>
  </si>
  <si>
    <t>будет разработана нормативно-правовая база для комплексных услуг на уровне специализированной амбулаторной медицинской помощи (2 консультанта по 10 дней в 2021 )</t>
  </si>
  <si>
    <t>1 тренинг в год</t>
  </si>
  <si>
    <t>Формирование привержености к безопасному и недискримирующему поведению  сотрудников Министерства внутренних дел при работе с представителями групп риска и ЛЖВ (ToT) и повышение уровня знаний сотрудников полиции в области ПКП</t>
  </si>
  <si>
    <t>Повышение знаний и навыков  сотрудников Министерства внутренних дел при работе с представителями групп риска и ЛЖВ (ToT) и в вопросах ПКП</t>
  </si>
  <si>
    <t>Обеспечение сотрудников генерального инспектората полиции наборами средств индивидуальной защиты для предупреждения инфицирования ВИЧ и ТБ на рабочем месте</t>
  </si>
  <si>
    <t>стоимость одного набора</t>
  </si>
  <si>
    <t>Buget</t>
  </si>
  <si>
    <t>Документирование и анализ внедрения пилотных услуг на снижение самостигмагизации. Разработка рекомендаций (3 эксперта х 15 дней = 45 дней)</t>
  </si>
  <si>
    <t>Ajustarea spațiilor LN HIV/ITS in conformitate cu Standartul ISO 15189 pentru Laboratoare Medicale.</t>
  </si>
  <si>
    <r>
      <t xml:space="preserve">Implementarea și Menținerea Sistemului de Management al Calității în cadrul LN HIV conform Standardului ISO 15189 </t>
    </r>
    <r>
      <rPr>
        <i/>
        <sz val="10"/>
        <color theme="1"/>
        <rFont val="Calibri (Body)"/>
      </rPr>
      <t>/Implementation and Maintenance of the Quality Management System within the HIV NRL according to the ISO 15189 Standard.</t>
    </r>
  </si>
  <si>
    <r>
      <t>Desemnarea Laboratorului Naţional  HIV/ITS şi fortificarea capacităţilor lui./</t>
    </r>
    <r>
      <rPr>
        <i/>
        <sz val="10"/>
        <color theme="1"/>
        <rFont val="Calibri (Body)"/>
      </rPr>
      <t>Designation of NL and strengthening the capacities.</t>
    </r>
  </si>
  <si>
    <t>1.1.3.5.</t>
  </si>
  <si>
    <t>cost unit MDL</t>
  </si>
  <si>
    <t>коефициент</t>
  </si>
  <si>
    <t>date narcologie</t>
  </si>
  <si>
    <t>doza medie/zi</t>
  </si>
  <si>
    <t>nr. zilelor</t>
  </si>
  <si>
    <t>cantitatea anuală pentru procurare/per pacient/an</t>
  </si>
  <si>
    <t>preț 1 litru MDL</t>
  </si>
  <si>
    <t>preț 1 ml MDL</t>
  </si>
  <si>
    <t>preț/an/benef,  MDL</t>
  </si>
  <si>
    <t>metadon</t>
  </si>
  <si>
    <t>12ml -  5%</t>
  </si>
  <si>
    <t>60mg</t>
  </si>
  <si>
    <t>cantitatea tab.</t>
  </si>
  <si>
    <t>doza</t>
  </si>
  <si>
    <t>preț,/tab</t>
  </si>
  <si>
    <t>suma MDL</t>
  </si>
  <si>
    <t>nr. benef</t>
  </si>
  <si>
    <t>cost/benef/an</t>
  </si>
  <si>
    <t xml:space="preserve"> buprenorfin, doza medie /zi -10mg</t>
  </si>
  <si>
    <t>8mg</t>
  </si>
  <si>
    <t>2mg</t>
  </si>
  <si>
    <t>Expert per diem</t>
  </si>
  <si>
    <t>зарплата 1 IT x 3 ani</t>
  </si>
  <si>
    <r>
      <t xml:space="preserve">Instruirea continuă a persoanelor din cadrul LN și LRR prin participarea la programe externe și interne de instruire (metode, biosecuritate, echipamente, management) </t>
    </r>
    <r>
      <rPr>
        <i/>
        <sz val="10"/>
        <color theme="1"/>
        <rFont val="Calibri (Body)"/>
      </rPr>
      <t>/Continuous training of persons within LNR and LRR by participating in external and internal training programs (methods, biosecurity, equipment, management).</t>
    </r>
  </si>
  <si>
    <t>Preventive services for MSM</t>
  </si>
  <si>
    <t>Nr. of beneficiaries</t>
  </si>
  <si>
    <t>Total RM</t>
  </si>
  <si>
    <t>FG_Right Bank</t>
  </si>
  <si>
    <t>Uncovered</t>
  </si>
  <si>
    <t>FG_Left</t>
  </si>
  <si>
    <t>Local Budget_Left Bank</t>
  </si>
  <si>
    <t>% of Negativ from MSM beneficiaries</t>
  </si>
  <si>
    <t>CAPS</t>
  </si>
  <si>
    <t>GF/Local Budget</t>
  </si>
  <si>
    <t>Rigth Bank</t>
  </si>
  <si>
    <t>de exclus 15%</t>
  </si>
  <si>
    <t>de inclus 15%</t>
  </si>
  <si>
    <t>de verificat cu Victoria</t>
  </si>
  <si>
    <t>Preventive services for Penitenciary</t>
  </si>
  <si>
    <t>Penitenciary</t>
  </si>
  <si>
    <t>UDI Right Bank</t>
  </si>
  <si>
    <t>Diferenta din 30% - UDI (3043-2772)</t>
  </si>
  <si>
    <t>Right</t>
  </si>
  <si>
    <t>Left</t>
  </si>
  <si>
    <t>UDI Left Bank</t>
  </si>
  <si>
    <t>de inclus 15%, de adăugat de la Maia (3043)</t>
  </si>
  <si>
    <t>de concretizat cu Victoria cu 3043</t>
  </si>
  <si>
    <t>TOTAL GRI+ Penitenciary_RM</t>
  </si>
  <si>
    <t>GF+CAPCS</t>
  </si>
  <si>
    <t>GF_GRI+ Penitenciary_Left Bank</t>
  </si>
  <si>
    <t>CAPCS_GRSI+ Penitenciary_Right Bank</t>
  </si>
  <si>
    <t>CAPCS</t>
  </si>
  <si>
    <t>GX_HIV 1 Qual_Right Bank</t>
  </si>
  <si>
    <t>GX_HIV 1 Qual_Left Bank</t>
  </si>
  <si>
    <r>
      <t xml:space="preserve">Tests = Persons *15% </t>
    </r>
    <r>
      <rPr>
        <sz val="12"/>
        <rFont val="Calibri"/>
        <family val="2"/>
        <charset val="204"/>
        <scheme val="minor"/>
      </rPr>
      <t>(10%Buffer + 2%QC + 1%Repetition + 2%Wastage_Roundup-2</t>
    </r>
    <r>
      <rPr>
        <sz val="11"/>
        <color theme="1"/>
        <rFont val="Calibri"/>
        <family val="2"/>
        <scheme val="minor"/>
      </rPr>
      <t/>
    </r>
  </si>
  <si>
    <t>Beneficiaries for HIV Confirmation</t>
  </si>
  <si>
    <t>base-line_2019</t>
  </si>
  <si>
    <t>Nr. of beneficiaries_Total RM</t>
  </si>
  <si>
    <r>
      <t xml:space="preserve">Tests = Persons *15% </t>
    </r>
    <r>
      <rPr>
        <sz val="12"/>
        <rFont val="Calibri"/>
        <family val="2"/>
        <charset val="204"/>
        <scheme val="minor"/>
      </rPr>
      <t>(10%Buffer + 2%QC + 1%Repetition + 2%Wastage_Roundup-1</t>
    </r>
  </si>
  <si>
    <t>Confirmatory_TOTAL</t>
  </si>
  <si>
    <t>Confirmatory tests_HIV&amp;Syphilis</t>
  </si>
  <si>
    <t>Rapid Test_Alternative_Rapid test</t>
  </si>
  <si>
    <t>Equal with Projected Confirmed HIV cases + 30%</t>
  </si>
  <si>
    <t>Confirmation Test_HIV-1_GeneXpert</t>
  </si>
  <si>
    <t>Equal with Projected Confirmed HIV cases</t>
  </si>
  <si>
    <t>Confirmation Test_HIV-1 and HIV-2_Alternative_Genius</t>
  </si>
  <si>
    <t>10% from Confirmed cases</t>
  </si>
  <si>
    <t>Recency Test_HIV / Avidity_ELISA</t>
  </si>
  <si>
    <t>Confirmation Test_Syphilis_TPHA</t>
  </si>
  <si>
    <t>Confirmations_1</t>
  </si>
  <si>
    <t>Confirmation Test_Syphilis IgM and IgG_ELISA</t>
  </si>
  <si>
    <t>Confirmations_2</t>
  </si>
  <si>
    <t>Confirmation Test_Syphilis_IgM and IgG_Western Blot</t>
  </si>
  <si>
    <t>Confirmations_3</t>
  </si>
  <si>
    <t>Confirmatory_Right Bank</t>
  </si>
  <si>
    <t>Activity 2.3.4.1-2.3.4.5</t>
  </si>
  <si>
    <t xml:space="preserve">Persons in ARV </t>
  </si>
  <si>
    <t>TOTAL_RM</t>
  </si>
  <si>
    <t>Persons in ARV x 1.1 times/year (protocol)</t>
  </si>
  <si>
    <t>Follow up_Right Bank</t>
  </si>
  <si>
    <t>Follow up_Left Bank</t>
  </si>
  <si>
    <t>Cost Unit, MDL</t>
  </si>
  <si>
    <t>Activity</t>
  </si>
  <si>
    <t>Tip Unitate</t>
  </si>
  <si>
    <t>Cost Unitate (MDL)</t>
  </si>
  <si>
    <t>Nr. unități</t>
  </si>
  <si>
    <t xml:space="preserve">Cost </t>
  </si>
  <si>
    <t>Zi</t>
  </si>
  <si>
    <t>2. Contractarea Consultanților Naționali - 2.</t>
  </si>
  <si>
    <t>Contractare serviciu</t>
  </si>
  <si>
    <t>5. Procurarea reagenților pentru metoda Autotestare (vezi 2.1.4.2)</t>
  </si>
  <si>
    <t>7. Elaborarea Instrucțiunii de utilizare și materialelor informaționale pentru metoda de Autotestare. Multiplicarea.</t>
  </si>
  <si>
    <t>8. Promovarea metodei de autotestare (rețele sociale, reclama, etc.)</t>
  </si>
  <si>
    <t>Per Beneficiar</t>
  </si>
  <si>
    <t>10. Compilarea și analiza rapoartelor de distribuire/vânzare teste.</t>
  </si>
  <si>
    <t xml:space="preserve">Administrative work (Telephon, IT, etc.) - 10% </t>
  </si>
  <si>
    <r>
      <t xml:space="preserve">Consultant international nr persoane
</t>
    </r>
    <r>
      <rPr>
        <i/>
        <sz val="11"/>
        <color theme="1"/>
        <rFont val="Calibri"/>
        <family val="2"/>
        <charset val="204"/>
        <scheme val="minor"/>
      </rPr>
      <t># of international facilitators</t>
    </r>
  </si>
  <si>
    <r>
      <t xml:space="preserve">Consultant national, nr persoane
</t>
    </r>
    <r>
      <rPr>
        <i/>
        <sz val="11"/>
        <color theme="1"/>
        <rFont val="Calibri"/>
        <family val="2"/>
        <charset val="204"/>
        <scheme val="minor"/>
      </rPr>
      <t># of national facilitators</t>
    </r>
  </si>
  <si>
    <t>Evaluarea capacităților și caracteristicilor Serviciului de Testare HIV/ITS/HV în RM /Laboratory Assessment of National HIV/ITS/VH Laboratory System.</t>
  </si>
  <si>
    <r>
      <t>Numar participanti,</t>
    </r>
    <r>
      <rPr>
        <sz val="11"/>
        <color theme="1"/>
        <rFont val="Calibri"/>
        <family val="2"/>
        <charset val="204"/>
        <scheme val="minor"/>
      </rPr>
      <t xml:space="preserve"> 
</t>
    </r>
    <r>
      <rPr>
        <i/>
        <sz val="11"/>
        <color theme="1"/>
        <rFont val="Calibri"/>
        <family val="2"/>
        <charset val="204"/>
        <scheme val="minor"/>
      </rPr>
      <t># of participants total</t>
    </r>
  </si>
  <si>
    <r>
      <t xml:space="preserve">Durata, zile
</t>
    </r>
    <r>
      <rPr>
        <i/>
        <sz val="11"/>
        <color theme="1"/>
        <rFont val="Calibri"/>
        <family val="2"/>
        <charset val="204"/>
        <scheme val="minor"/>
      </rPr>
      <t>duration, days</t>
    </r>
  </si>
  <si>
    <r>
      <t xml:space="preserve">Cazare, numar persoane, 
</t>
    </r>
    <r>
      <rPr>
        <i/>
        <sz val="11"/>
        <color theme="1"/>
        <rFont val="Calibri"/>
        <family val="2"/>
        <charset val="204"/>
        <scheme val="minor"/>
      </rPr>
      <t># of participants requiring  accommodation</t>
    </r>
  </si>
  <si>
    <r>
      <t xml:space="preserve">Rambursare costuri calatorie, numar persoane, 
</t>
    </r>
    <r>
      <rPr>
        <i/>
        <sz val="11"/>
        <color theme="1"/>
        <rFont val="Calibri"/>
        <family val="2"/>
        <charset val="204"/>
        <scheme val="minor"/>
      </rPr>
      <t># of participants requiring  travel costs rembursment</t>
    </r>
  </si>
  <si>
    <t xml:space="preserve">3. Elaborarea Protocolului studiului/Chestionarului/Dispoziția MS/Planul de vizite și aprobarea MSMPS. </t>
  </si>
  <si>
    <t>Cazare, nopti</t>
  </si>
  <si>
    <t>Denumire serviciu_ro</t>
  </si>
  <si>
    <t>Denumire serviciu_eng</t>
  </si>
  <si>
    <t>Unitate
Units</t>
  </si>
  <si>
    <t>Pret unitate
Unit cost</t>
  </si>
  <si>
    <t>Valuta_pret
Currency</t>
  </si>
  <si>
    <t>Cost_MDL</t>
  </si>
  <si>
    <t>Numar de unitati 
per curs, persoana</t>
  </si>
  <si>
    <t>Remunerarea consultant national</t>
  </si>
  <si>
    <t>Teritorii</t>
  </si>
  <si>
    <t>Pauza cafea</t>
  </si>
  <si>
    <t>6. Efectuarea vizitelor de evaluare a chestionarelor și a situației locale de către consultanții naționali contractați. (45 raioane=150 km)</t>
  </si>
  <si>
    <t>Km</t>
  </si>
  <si>
    <t>Prânz</t>
  </si>
  <si>
    <t>Cost calatorie RM, participant curs de instruire/seminar</t>
  </si>
  <si>
    <t>Consumabile de birou</t>
  </si>
  <si>
    <t>8. Editarea Raportului final. Multiplicarea</t>
  </si>
  <si>
    <t>Închiriere spațiu pentru evenimente</t>
  </si>
  <si>
    <t>9. Prezentarea publică a rezultatelor.</t>
  </si>
  <si>
    <t>Eveniment_1 zi_50 persoane</t>
  </si>
  <si>
    <t>Servicii secretariat, 7%</t>
  </si>
  <si>
    <t>MDL</t>
  </si>
  <si>
    <t>10. Elaborarea Recomandărilor de îmbunătățire a Serviciului de Testare HIV/ITS/HV și prezentarea către MS.</t>
  </si>
  <si>
    <t>Cost total, curs de instruire</t>
  </si>
  <si>
    <t>11. Planificarea măsurilor de Fortificare a Serviciului de Testare HIV/ITS/HV pentru următorii ani.</t>
  </si>
  <si>
    <t xml:space="preserve">Administrative work (Telephon, IT, etc.)   </t>
  </si>
  <si>
    <t>Activity 3.2.4.2</t>
  </si>
  <si>
    <t>Collaborative studies to develop and validate methodologies aimed at improving the feasibility of genotype testing in RM (primary and secondary) // Evaluarea genotipurilor HIV și a rezistenței către preparatele ARV (primară și secundară) prin metoda de genotipare HIV în parteneriat cu România.</t>
  </si>
  <si>
    <t>Instruire externă</t>
  </si>
  <si>
    <t>Probă</t>
  </si>
  <si>
    <t>5. Instruirea de către Consultantul Extern în cadrul Laboratorului LNR (la locul de muncă)</t>
  </si>
  <si>
    <t>6. Transportarea probelor ARN către Laboratorul Extern. (1 transportare pe an a câte 25 probe).</t>
  </si>
  <si>
    <t>Transportare curier</t>
  </si>
  <si>
    <t>7. Contractarea laboratorului Extern pentru efectuarea testelor WGS.</t>
  </si>
  <si>
    <t>Test WGS</t>
  </si>
  <si>
    <t>8. Elaborarea Raportului anual de Analiză pentru probele testate.</t>
  </si>
  <si>
    <t>9. Publicarea/Prezentarea rezultatelor obținute la evenimente internaționale.</t>
  </si>
  <si>
    <t>Vizită externă/3 z</t>
  </si>
  <si>
    <t>Activity 3.2.4.11</t>
  </si>
  <si>
    <t>Activity 3.2.4.11, pnct. 3</t>
  </si>
  <si>
    <t>Activity 3.2.4.11, pnct. 8</t>
  </si>
  <si>
    <t>1. Contractarea Consultantului Extern (Revizuirea și adaptarea Chestionarului).</t>
  </si>
  <si>
    <t>2. Contractarea Consultanților Naționali privind elaborara Chestionarului HIV Recency și Analiza datelor (Consultant -2, Data Manager - 1)</t>
  </si>
  <si>
    <t>Instruire 1 zi_25 persoane</t>
  </si>
  <si>
    <t>Tableta IT</t>
  </si>
  <si>
    <t xml:space="preserve">6. Introducerea datelor în soft de către persoane instruite din CTARV  </t>
  </si>
  <si>
    <t>Ancheta</t>
  </si>
  <si>
    <t>7. Analiza datelor si Elaborarea raportului anual.</t>
  </si>
  <si>
    <t>8. Prezentarea publică a rezultatelor.</t>
  </si>
  <si>
    <t>Activity 3.3.1</t>
  </si>
  <si>
    <t>Desemnarea Laboratorului Naţional HIV/ITS şi fortificarea capacităţilor lui./Designation of NRL and strengthening the capacities.</t>
  </si>
  <si>
    <t>1. Elaborarea Regulamentului LNR HIV/ITS., Organigrama, Responsabilități, Statele de funncții, Facilități. Elaborarea și prezentarea proiectului de ordin MS.</t>
  </si>
  <si>
    <t>2. Aprobarea Ordinului LNR HIV/ITS</t>
  </si>
  <si>
    <t>3. Inițierea activității LNR HIV/ITS.</t>
  </si>
  <si>
    <t>Implementarea și Menținerea Sistemului de Management al Calității în cadrul LNR HIV conform Standardului ISO 15189 /Implementation and Maintenance of the Quality Management System within the HIV NRL according to the ISO 15189 Standard.</t>
  </si>
  <si>
    <t>Activity 3.3.1.3, pnct. 7</t>
  </si>
  <si>
    <t>Ajustarea spațiilor LNR HIV/ITS, inclusiv dotarea cu mobilier de laborator și echipament adițional /Renovation of HIV/STI NRL spaces, including equipping  with laboratory furniture and additional equipment</t>
  </si>
  <si>
    <t>Implementarea și menținerea Sistemului Informațional de Laborator/LIS în cadrul LNR HIV/ITS. /Implementation of the Laboratory Information System within the HIV / STI NRL</t>
  </si>
  <si>
    <t>Tehnica IT</t>
  </si>
  <si>
    <t>Activity 3.3.1.4, pnct. 2</t>
  </si>
  <si>
    <t>2. Instruirea persoanelor din cadrul LNR (nou și actualizare)</t>
  </si>
  <si>
    <t>Instrurie 1 zi</t>
  </si>
  <si>
    <t>Număr unităti</t>
  </si>
  <si>
    <t>GeneXpert, 16 modules</t>
  </si>
  <si>
    <t>Echipament</t>
  </si>
  <si>
    <t>Biosaftey cabinets_CNAM</t>
  </si>
  <si>
    <t xml:space="preserve">Service 1 year </t>
  </si>
  <si>
    <t>Subtotal_BSC</t>
  </si>
  <si>
    <t>RotorGene_CNAM</t>
  </si>
  <si>
    <t>Subtotal_RotorGene</t>
  </si>
  <si>
    <t>Service+Calibration</t>
  </si>
  <si>
    <t>Subtotal_BDFACS</t>
  </si>
  <si>
    <t>Subtotal_GX</t>
  </si>
  <si>
    <t>Subtotal_Centrifuge</t>
  </si>
  <si>
    <t>Subtotal_Pipets</t>
  </si>
  <si>
    <t>Subtotal_Refrigerator</t>
  </si>
  <si>
    <t>Total_GF</t>
  </si>
  <si>
    <t>Total_CNAM</t>
  </si>
  <si>
    <t>Activity 3.3.2</t>
  </si>
  <si>
    <t>Activity 3.3.2.1, pnct. 4</t>
  </si>
  <si>
    <t xml:space="preserve">Desemnarea și Fortificarea Laboratoarelor Regionale de Confirmare HIV/ITS /Designation and strengthening of the regional HIV / TSI reference laboratory. </t>
  </si>
  <si>
    <t xml:space="preserve">3. Activarea noilor LRC HIV. Câte 6 noi LRC din 2022. Dotare minimă pt activitate. </t>
  </si>
  <si>
    <t>4. Ședințe de lucru cu Responsabili LRC.</t>
  </si>
  <si>
    <t>Sedintă de lucru</t>
  </si>
  <si>
    <t>3. Validarea datelor introduse și Instruirea personalului privnd utilizarea Sistemului Informațional Național de Testare HIV/ITS/HB.</t>
  </si>
  <si>
    <t>Activity 3.3.2.2, pnct. 3</t>
  </si>
  <si>
    <t>1. Elaborarea Chestionarului pentru Auditul Centrelor de Testare și Laboratoare de Confirmare.</t>
  </si>
  <si>
    <t>2. Instruirea personalului LNR privind proceduri de Audit al Laboratoare Medicale.</t>
  </si>
  <si>
    <t>Instrurie externă</t>
  </si>
  <si>
    <t xml:space="preserve">3. Vizite de Audit în Centrele de testare HIV/ITS și Laboratoarele Regionale HIV. În anul 2021 sunt incluse in Lab Assesment. </t>
  </si>
  <si>
    <t xml:space="preserve">4. Elaborare unui modul informațional pentru introducerea, prelucrarea și Chestionarelor de Audit. </t>
  </si>
  <si>
    <t>5 Elaborarea de Recomandări privind îmbunătățirea Serviciului de testare HIV/ITS.</t>
  </si>
  <si>
    <t>6. Ședință de lucru cu factori de decizie din teritorii, responsabili de Centele de Testare HIV privind implementarea recomandărilor de îmbunătățire a Serviciului de Testare HIV.</t>
  </si>
  <si>
    <t>Activity 3.3.2.3, pnct. 6</t>
  </si>
  <si>
    <t>Test QC</t>
  </si>
  <si>
    <t>Activity 3.3.3</t>
  </si>
  <si>
    <t>3. Aprobarea Ghidului Național de Testare HIV/ITS.</t>
  </si>
  <si>
    <t>4. Editarea, Corecția. Multiplicarea.</t>
  </si>
  <si>
    <t>5. Distribuirea Ghidului Național de Testare HIV/ITS.</t>
  </si>
  <si>
    <t>Elaborarea Ghidului metodologic destinat supravegherii de laborator a ITS şi implementarea acestuia la toate nivelurile sistemului de testare /Development of the Guide for ITS laboratory surveillance methodology and its implementation at all testing system levels.</t>
  </si>
  <si>
    <t>2. Recenzarea Ghidului metodologic destinat supravegherii de laborator a ITS.</t>
  </si>
  <si>
    <t>3. Aprobarea  Ghidului metodologic destinat supravegherii de laborator a ITS.</t>
  </si>
  <si>
    <t>5. Distribuirea  Ghidului metodologic destinat supravegherii de laborator a ITS.</t>
  </si>
  <si>
    <t>Elaborarea, editarea, distribuirea materialelor informaționale pentru Serviciul de Testare HIV/ITS (consiliere, testare) /Development, editing, distribution of information materials for the HIV / STI Testing Service (counseling, testing)</t>
  </si>
  <si>
    <t>2. Editarea, Corecția. Multiplicarea.</t>
  </si>
  <si>
    <t>Activity 3.3.4</t>
  </si>
  <si>
    <t>Metode de Laborator</t>
  </si>
  <si>
    <t>Biosecuritate</t>
  </si>
  <si>
    <t>Management de Laborator</t>
  </si>
  <si>
    <t>Controlul Calității</t>
  </si>
  <si>
    <t>Echipamente</t>
  </si>
  <si>
    <t>Testare rapidă ONG+Centre de Testare, new &amp; update</t>
  </si>
  <si>
    <t>Instruire internă</t>
  </si>
  <si>
    <r>
      <rPr>
        <b/>
        <sz val="11"/>
        <color rgb="FFFF0000"/>
        <rFont val="Calibri"/>
        <family val="2"/>
        <charset val="204"/>
        <scheme val="minor"/>
      </rPr>
      <t>Left</t>
    </r>
    <r>
      <rPr>
        <b/>
        <sz val="11"/>
        <rFont val="Calibri"/>
        <family val="2"/>
        <charset val="204"/>
        <scheme val="minor"/>
      </rPr>
      <t>_Right Bank</t>
    </r>
  </si>
  <si>
    <t>Determine TB LAM Ag</t>
  </si>
  <si>
    <t>RDT</t>
  </si>
  <si>
    <t>Activity 2.3.4.2//2.3.4.5</t>
  </si>
  <si>
    <t>Tests Cryptococcal Ag</t>
  </si>
  <si>
    <t>35 particip</t>
  </si>
  <si>
    <t>25 part</t>
  </si>
  <si>
    <t>2.4.2.1</t>
  </si>
  <si>
    <t>разработка интерактивной инструкции, которая будет общедоступна для медицинских работников конс. 25 дней</t>
  </si>
  <si>
    <r>
      <rPr>
        <sz val="10"/>
        <rFont val="Calibri (Body)"/>
      </rPr>
      <t xml:space="preserve">Teste pentru determinarea Ag Cryptococal </t>
    </r>
    <r>
      <rPr>
        <i/>
        <sz val="10"/>
        <rFont val="Calibri (Body)"/>
      </rPr>
      <t>/Tests for the determination of Cryptococcal Ag</t>
    </r>
  </si>
  <si>
    <r>
      <t xml:space="preserve">Activitate </t>
    </r>
    <r>
      <rPr>
        <i/>
        <sz val="10"/>
        <rFont val="Calibri (Body)"/>
      </rPr>
      <t>/Activity</t>
    </r>
  </si>
  <si>
    <t>1. закупка дозаторов - 4500 MDL/unit (2021 -2 ; 2022-25  - cite 4 anual)                                     
2. Закупка одноразовых стаканчиков - 0,12 MDL/unit; 1 стаканчик на человека*365.                 3. Закупка компьютеров и принтеров для каждого нового пункта - 20000 MDL 4. Закупка сейфов для каждого нового пункта - 5000 MDL
Средняя стоимость оснащения одного пункта ОЗТ - 34773,52 МДЛ</t>
  </si>
  <si>
    <t>пакет услуг для повышения приверженности будет предоставлен 30% ЛЖВ, которые принимают АРТ, более 12 месяцев  и нуждаются в психосоциальной помощи.</t>
  </si>
  <si>
    <t>1 тренинга в 2023</t>
  </si>
  <si>
    <r>
      <t>Teste de confirmare HIV-1 /</t>
    </r>
    <r>
      <rPr>
        <i/>
        <sz val="10"/>
        <rFont val="Calibri (Body)"/>
      </rPr>
      <t>HIV-1 confirmation tests_RM</t>
    </r>
  </si>
  <si>
    <t xml:space="preserve">3 тренинга 1 день, 25 участников
</t>
  </si>
  <si>
    <t>Participarea la Programe de Control Extern al Calității (Internaționale și Naționale) petru LNR /Participation in External Quality Control Programs (International and National) for NRL</t>
  </si>
  <si>
    <t>для обеспечения прозрачности принятия решения и обсуждения разработанных механизмов будут проведены круглые столы/встречи на национальному уровне (3 встречи в 2021, 3 встречи в 2022 и 3 встречи в 2023)</t>
  </si>
  <si>
    <t>Auditul  al calității serviciilor psihosociale prestate PTH
оценка качества оказания психосоциальных услуг ЛЖВ и их эффективность</t>
  </si>
  <si>
    <t>Рецепиенты -9%</t>
  </si>
  <si>
    <t>National Consultancy fee (3.1)</t>
  </si>
  <si>
    <t>cost/zi</t>
  </si>
  <si>
    <t>Coffe break</t>
  </si>
  <si>
    <t>unitate</t>
  </si>
  <si>
    <t xml:space="preserve">Meal ( lunch) </t>
  </si>
  <si>
    <t>Travel participants</t>
  </si>
  <si>
    <t>cost tichet o directie</t>
  </si>
  <si>
    <t>Supplies</t>
  </si>
  <si>
    <t>set/participant</t>
  </si>
  <si>
    <t>Rent of premises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</si>
</sst>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 _L_-;\-* #,##0.00\ _L_-;_-* &quot;-&quot;??\ _L_-;_-@_-"/>
    <numFmt numFmtId="164" formatCode="_(&quot;UAH&quot;* #,##0.00_);_(&quot;UAH&quot;* \(#,##0.00\);_(&quot;UAH&quot;* &quot;-&quot;??_);_(@_)"/>
    <numFmt numFmtId="165" formatCode="_(* #,##0.00_);_(* \(#,##0.00\);_(* &quot;-&quot;??_);_(@_)"/>
    <numFmt numFmtId="166" formatCode="_(&quot;$&quot;* #,##0.00_);_(&quot;$&quot;* \(#,##0.00\);_(&quot;$&quot;* &quot;-&quot;??_);_(@_)"/>
    <numFmt numFmtId="167" formatCode="0.0%"/>
    <numFmt numFmtId="168" formatCode="0.0"/>
    <numFmt numFmtId="169" formatCode="#,##0.00;[Red]#,##0.00"/>
    <numFmt numFmtId="170" formatCode="[$-409]d\-mmm\-yy;@"/>
    <numFmt numFmtId="171" formatCode="#,##0_р_."/>
    <numFmt numFmtId="172" formatCode="#,##0.00_р_."/>
    <numFmt numFmtId="173" formatCode="_ [$€-413]\ * #,##0.0000_ ;_ [$€-413]\ * \-#,##0.0000_ ;_ [$€-413]\ * &quot;-&quot;_ ;_ @_ "/>
    <numFmt numFmtId="174" formatCode="#,##0.0_р_."/>
    <numFmt numFmtId="175" formatCode="_([$€-2]\ * #,##0.00_);_([$€-2]\ * \(#,##0.00\);_([$€-2]\ * &quot;-&quot;??_);_(@_)"/>
    <numFmt numFmtId="176" formatCode="0.000"/>
    <numFmt numFmtId="177" formatCode="#,##0.000"/>
    <numFmt numFmtId="178" formatCode="0.00;[Red]0.00"/>
  </numFmts>
  <fonts count="189">
    <font>
      <sz val="11"/>
      <color rgb="FF000000"/>
      <name val="Calibri"/>
      <family val="2"/>
    </font>
    <font>
      <sz val="11"/>
      <color theme="1"/>
      <name val="Calibri"/>
      <family val="2"/>
      <charset val="204"/>
      <scheme val="minor"/>
    </font>
    <font>
      <sz val="12"/>
      <color theme="1"/>
      <name val="Calibri"/>
      <family val="2"/>
      <scheme val="minor"/>
    </font>
    <font>
      <sz val="11"/>
      <color theme="1"/>
      <name val="Calibri"/>
      <family val="2"/>
      <scheme val="minor"/>
    </font>
    <font>
      <sz val="11"/>
      <color theme="1"/>
      <name val="Calibri"/>
      <family val="2"/>
      <charset val="204"/>
      <scheme val="minor"/>
    </font>
    <font>
      <sz val="12"/>
      <color theme="1"/>
      <name val="Calibri"/>
      <family val="2"/>
      <scheme val="minor"/>
    </font>
    <font>
      <sz val="12"/>
      <color theme="1"/>
      <name val="Calibri"/>
      <family val="2"/>
      <scheme val="minor"/>
    </font>
    <font>
      <sz val="10"/>
      <name val="Arial"/>
      <family val="2"/>
    </font>
    <font>
      <sz val="10"/>
      <name val="Calibri"/>
      <family val="2"/>
    </font>
    <font>
      <sz val="8"/>
      <name val="Calibri"/>
      <family val="2"/>
    </font>
    <font>
      <b/>
      <sz val="10"/>
      <name val="Calibri (Body)"/>
    </font>
    <font>
      <b/>
      <i/>
      <sz val="10"/>
      <name val="Calibri (Body)"/>
    </font>
    <font>
      <sz val="10"/>
      <name val="Calibri (Body)"/>
    </font>
    <font>
      <b/>
      <i/>
      <sz val="10"/>
      <color indexed="45"/>
      <name val="Calibri (Body)"/>
    </font>
    <font>
      <i/>
      <sz val="10"/>
      <color indexed="45"/>
      <name val="Calibri (Body)"/>
    </font>
    <font>
      <sz val="11"/>
      <color rgb="FF000000"/>
      <name val="Calibri"/>
      <family val="2"/>
    </font>
    <font>
      <sz val="12"/>
      <color theme="1"/>
      <name val="Calibri"/>
      <family val="2"/>
      <charset val="204"/>
      <scheme val="minor"/>
    </font>
    <font>
      <sz val="11"/>
      <color theme="1"/>
      <name val="Calibri"/>
      <family val="2"/>
      <charset val="204"/>
      <scheme val="minor"/>
    </font>
    <font>
      <sz val="12"/>
      <color theme="0"/>
      <name val="Calibri"/>
      <family val="2"/>
      <charset val="204"/>
      <scheme val="minor"/>
    </font>
    <font>
      <sz val="12"/>
      <color rgb="FF9C0006"/>
      <name val="Calibri"/>
      <family val="2"/>
      <charset val="204"/>
      <scheme val="minor"/>
    </font>
    <font>
      <i/>
      <sz val="11"/>
      <color rgb="FF7F7F7F"/>
      <name val="Calibri"/>
      <family val="2"/>
      <charset val="204"/>
      <scheme val="minor"/>
    </font>
    <font>
      <sz val="12"/>
      <color rgb="FF006100"/>
      <name val="Calibri"/>
      <family val="2"/>
      <charset val="204"/>
      <scheme val="minor"/>
    </font>
    <font>
      <sz val="10"/>
      <color rgb="FF000000"/>
      <name val="Calibri"/>
      <family val="2"/>
    </font>
    <font>
      <b/>
      <sz val="11"/>
      <color rgb="FF000000"/>
      <name val="Calibri"/>
      <family val="2"/>
    </font>
    <font>
      <b/>
      <sz val="10"/>
      <color theme="0"/>
      <name val="Calibri (Body)"/>
    </font>
    <font>
      <sz val="10"/>
      <color theme="1"/>
      <name val="Calibri (Body)"/>
    </font>
    <font>
      <b/>
      <sz val="10"/>
      <color theme="1"/>
      <name val="Calibri (Body)"/>
    </font>
    <font>
      <b/>
      <sz val="10"/>
      <color rgb="FFC00000"/>
      <name val="Calibri (Body)"/>
    </font>
    <font>
      <sz val="10"/>
      <color rgb="FF000000"/>
      <name val="Calibri (Body)"/>
    </font>
    <font>
      <sz val="10"/>
      <color theme="2" tint="-0.249977111117893"/>
      <name val="Calibri (Body)"/>
    </font>
    <font>
      <strike/>
      <sz val="10"/>
      <color theme="2" tint="-0.249977111117893"/>
      <name val="Calibri (Body)"/>
    </font>
    <font>
      <strike/>
      <sz val="10"/>
      <color rgb="FF000000"/>
      <name val="Calibri (Body)"/>
    </font>
    <font>
      <b/>
      <sz val="10"/>
      <color rgb="FF000000"/>
      <name val="Calibri (Body)"/>
    </font>
    <font>
      <b/>
      <sz val="10"/>
      <color theme="2" tint="-0.249977111117893"/>
      <name val="Calibri (Body)"/>
    </font>
    <font>
      <sz val="10"/>
      <color theme="2" tint="-9.9978637043366805E-2"/>
      <name val="Calibri (Body)"/>
    </font>
    <font>
      <strike/>
      <sz val="10"/>
      <color theme="2" tint="-9.9978637043366805E-2"/>
      <name val="Calibri (Body)"/>
    </font>
    <font>
      <sz val="10"/>
      <color theme="2"/>
      <name val="Calibri (Body)"/>
    </font>
    <font>
      <sz val="10"/>
      <color rgb="FFC00000"/>
      <name val="Calibri (Body)"/>
    </font>
    <font>
      <sz val="10"/>
      <color theme="1" tint="0.499984740745262"/>
      <name val="Calibri (Body)"/>
    </font>
    <font>
      <sz val="10"/>
      <color theme="1"/>
      <name val="Calibri"/>
      <family val="2"/>
      <scheme val="minor"/>
    </font>
    <font>
      <b/>
      <sz val="10"/>
      <color theme="1"/>
      <name val="Calibri"/>
      <family val="2"/>
      <scheme val="minor"/>
    </font>
    <font>
      <sz val="10"/>
      <color rgb="FFFF0000"/>
      <name val="Calibri"/>
      <family val="2"/>
      <scheme val="minor"/>
    </font>
    <font>
      <b/>
      <sz val="14"/>
      <color theme="0"/>
      <name val="Arial"/>
      <family val="2"/>
    </font>
    <font>
      <sz val="10"/>
      <name val="Calibri"/>
      <family val="2"/>
      <scheme val="minor"/>
    </font>
    <font>
      <sz val="14"/>
      <color rgb="FF000000"/>
      <name val="Arial"/>
      <family val="2"/>
    </font>
    <font>
      <sz val="14"/>
      <color theme="1"/>
      <name val="Calibri"/>
      <family val="2"/>
      <scheme val="minor"/>
    </font>
    <font>
      <b/>
      <sz val="14"/>
      <color theme="7" tint="0.39997558519241921"/>
      <name val="Calibri"/>
      <family val="2"/>
      <scheme val="minor"/>
    </font>
    <font>
      <sz val="14"/>
      <color theme="5" tint="-0.499984740745262"/>
      <name val="Calibri"/>
      <family val="2"/>
      <scheme val="minor"/>
    </font>
    <font>
      <sz val="14"/>
      <name val="Calibri"/>
      <family val="2"/>
      <scheme val="minor"/>
    </font>
    <font>
      <sz val="14"/>
      <color rgb="FF000000"/>
      <name val="Calibri"/>
      <family val="2"/>
      <scheme val="minor"/>
    </font>
    <font>
      <b/>
      <sz val="14"/>
      <color rgb="FF000000"/>
      <name val="Calibri"/>
      <family val="2"/>
      <scheme val="minor"/>
    </font>
    <font>
      <sz val="14"/>
      <color rgb="FFAEAAAA"/>
      <name val="Calibri"/>
      <family val="2"/>
      <scheme val="minor"/>
    </font>
    <font>
      <sz val="12"/>
      <color rgb="FF000000"/>
      <name val="Arial"/>
      <family val="2"/>
    </font>
    <font>
      <i/>
      <sz val="12"/>
      <color rgb="FF000000"/>
      <name val="Arial"/>
      <family val="2"/>
    </font>
    <font>
      <b/>
      <sz val="14"/>
      <color rgb="FF000000"/>
      <name val="Arial"/>
      <family val="2"/>
    </font>
    <font>
      <sz val="12"/>
      <color rgb="FF9C5700"/>
      <name val="Calibri"/>
      <family val="2"/>
      <scheme val="minor"/>
    </font>
    <font>
      <b/>
      <sz val="9"/>
      <color rgb="FF000000"/>
      <name val="Tahoma"/>
      <family val="2"/>
    </font>
    <font>
      <sz val="9"/>
      <color rgb="FF000000"/>
      <name val="Tahoma"/>
      <family val="2"/>
    </font>
    <font>
      <sz val="12"/>
      <name val="Calibri"/>
      <family val="2"/>
      <scheme val="minor"/>
    </font>
    <font>
      <sz val="14"/>
      <color theme="1"/>
      <name val="Calibri"/>
      <family val="2"/>
      <charset val="204"/>
      <scheme val="minor"/>
    </font>
    <font>
      <b/>
      <sz val="11"/>
      <color theme="1"/>
      <name val="Calibri"/>
      <family val="2"/>
      <charset val="204"/>
      <scheme val="minor"/>
    </font>
    <font>
      <b/>
      <sz val="11"/>
      <color rgb="FFC00000"/>
      <name val="Calibri"/>
      <family val="2"/>
      <scheme val="minor"/>
    </font>
    <font>
      <b/>
      <sz val="11"/>
      <name val="Calibri"/>
      <family val="2"/>
      <charset val="204"/>
      <scheme val="minor"/>
    </font>
    <font>
      <sz val="10"/>
      <color theme="1"/>
      <name val="Calibri"/>
      <family val="2"/>
      <charset val="204"/>
      <scheme val="minor"/>
    </font>
    <font>
      <b/>
      <sz val="11"/>
      <color theme="1"/>
      <name val="Calibri"/>
      <family val="2"/>
      <scheme val="minor"/>
    </font>
    <font>
      <sz val="10"/>
      <color theme="1"/>
      <name val="Calibri"/>
      <family val="2"/>
    </font>
    <font>
      <b/>
      <sz val="12"/>
      <color theme="1"/>
      <name val="Calibri"/>
      <family val="2"/>
      <charset val="204"/>
      <scheme val="minor"/>
    </font>
    <font>
      <sz val="12"/>
      <color theme="1"/>
      <name val="Times New Roman"/>
      <family val="1"/>
      <charset val="204"/>
    </font>
    <font>
      <sz val="12"/>
      <color rgb="FF000000"/>
      <name val="Times New Roman"/>
      <family val="1"/>
      <charset val="204"/>
    </font>
    <font>
      <b/>
      <sz val="11"/>
      <color rgb="FF000000"/>
      <name val="Calibri"/>
      <family val="2"/>
      <charset val="204"/>
    </font>
    <font>
      <b/>
      <sz val="14"/>
      <name val="Calibri"/>
      <family val="2"/>
      <charset val="204"/>
      <scheme val="minor"/>
    </font>
    <font>
      <b/>
      <sz val="14"/>
      <color rgb="FF000000"/>
      <name val="Calibri"/>
      <family val="2"/>
      <charset val="204"/>
    </font>
    <font>
      <b/>
      <sz val="11"/>
      <color theme="1"/>
      <name val="Times New Roman"/>
      <family val="1"/>
    </font>
    <font>
      <sz val="11"/>
      <color theme="1"/>
      <name val="Times New Roman"/>
      <family val="1"/>
    </font>
    <font>
      <sz val="11"/>
      <color rgb="FFFF0000"/>
      <name val="Times New Roman"/>
      <family val="1"/>
    </font>
    <font>
      <strike/>
      <sz val="11"/>
      <color theme="1"/>
      <name val="Times New Roman"/>
      <family val="1"/>
      <charset val="204"/>
    </font>
    <font>
      <sz val="10"/>
      <name val="Calibri"/>
      <family val="2"/>
      <charset val="204"/>
      <scheme val="minor"/>
    </font>
    <font>
      <b/>
      <sz val="9"/>
      <name val="Calibri"/>
      <family val="2"/>
      <charset val="204"/>
      <scheme val="minor"/>
    </font>
    <font>
      <b/>
      <sz val="10"/>
      <name val="Calibri"/>
      <family val="2"/>
      <charset val="204"/>
      <scheme val="minor"/>
    </font>
    <font>
      <i/>
      <sz val="10"/>
      <name val="Calibri"/>
      <family val="2"/>
      <charset val="204"/>
      <scheme val="minor"/>
    </font>
    <font>
      <sz val="9"/>
      <name val="Calibri"/>
      <family val="2"/>
      <charset val="204"/>
      <scheme val="minor"/>
    </font>
    <font>
      <b/>
      <sz val="10"/>
      <color rgb="FFC00000"/>
      <name val="Calibri"/>
      <family val="2"/>
      <charset val="204"/>
      <scheme val="minor"/>
    </font>
    <font>
      <b/>
      <sz val="14"/>
      <name val="Arial"/>
      <family val="2"/>
      <charset val="204"/>
    </font>
    <font>
      <b/>
      <sz val="10"/>
      <name val="Arial"/>
      <family val="2"/>
    </font>
    <font>
      <b/>
      <sz val="11"/>
      <color rgb="FFFF0000"/>
      <name val="Calibri"/>
      <family val="2"/>
      <charset val="204"/>
      <scheme val="minor"/>
    </font>
    <font>
      <sz val="8"/>
      <name val="Arial"/>
      <family val="2"/>
    </font>
    <font>
      <b/>
      <sz val="11"/>
      <color rgb="FFC00000"/>
      <name val="Calibri"/>
      <family val="2"/>
      <charset val="204"/>
      <scheme val="minor"/>
    </font>
    <font>
      <b/>
      <sz val="9"/>
      <color indexed="81"/>
      <name val="Tahoma"/>
      <family val="2"/>
      <charset val="204"/>
    </font>
    <font>
      <sz val="9"/>
      <color indexed="81"/>
      <name val="Tahoma"/>
      <family val="2"/>
      <charset val="204"/>
    </font>
    <font>
      <sz val="11"/>
      <color rgb="FF000000"/>
      <name val="Calibri"/>
      <family val="2"/>
      <charset val="204"/>
      <scheme val="minor"/>
    </font>
    <font>
      <sz val="10"/>
      <color rgb="FF000000"/>
      <name val="Calibri"/>
      <family val="2"/>
      <charset val="204"/>
      <scheme val="minor"/>
    </font>
    <font>
      <b/>
      <sz val="11"/>
      <color theme="3"/>
      <name val="Calibri"/>
      <family val="2"/>
      <charset val="204"/>
      <scheme val="minor"/>
    </font>
    <font>
      <b/>
      <sz val="10"/>
      <name val="Cambria"/>
      <family val="1"/>
    </font>
    <font>
      <i/>
      <sz val="10"/>
      <color rgb="FFFF0000"/>
      <name val="Calibri"/>
      <family val="2"/>
      <scheme val="minor"/>
    </font>
    <font>
      <sz val="10"/>
      <name val="Cambria"/>
      <family val="1"/>
    </font>
    <font>
      <i/>
      <sz val="10"/>
      <name val="Calibri"/>
      <family val="2"/>
      <scheme val="minor"/>
    </font>
    <font>
      <sz val="11"/>
      <color theme="1"/>
      <name val="Calibri"/>
      <family val="2"/>
      <scheme val="minor"/>
    </font>
    <font>
      <sz val="10"/>
      <name val="Calibri"/>
      <family val="2"/>
      <charset val="238"/>
    </font>
    <font>
      <sz val="10"/>
      <name val="Arial"/>
      <family val="2"/>
      <charset val="238"/>
    </font>
    <font>
      <b/>
      <sz val="10"/>
      <name val="Calibri"/>
      <family val="2"/>
      <charset val="204"/>
    </font>
    <font>
      <b/>
      <sz val="10"/>
      <name val="Calibri"/>
      <family val="2"/>
      <scheme val="minor"/>
    </font>
    <font>
      <b/>
      <sz val="12"/>
      <name val="Calibri"/>
      <family val="2"/>
    </font>
    <font>
      <b/>
      <sz val="10"/>
      <color rgb="FFFFFFFF"/>
      <name val="Calibri"/>
      <family val="2"/>
    </font>
    <font>
      <b/>
      <sz val="10"/>
      <name val="Calibri"/>
      <family val="2"/>
    </font>
    <font>
      <sz val="11"/>
      <name val="Calibri"/>
      <family val="2"/>
    </font>
    <font>
      <i/>
      <sz val="10"/>
      <name val="Cambria"/>
      <family val="1"/>
    </font>
    <font>
      <i/>
      <sz val="10"/>
      <color rgb="FFFF0000"/>
      <name val="Calibri"/>
      <family val="2"/>
    </font>
    <font>
      <b/>
      <sz val="11"/>
      <name val="Arial"/>
      <family val="2"/>
    </font>
    <font>
      <b/>
      <sz val="10"/>
      <color theme="1"/>
      <name val="Calibri"/>
      <family val="2"/>
      <charset val="204"/>
      <scheme val="minor"/>
    </font>
    <font>
      <sz val="10"/>
      <name val="Times New Roman"/>
      <family val="1"/>
      <charset val="204"/>
    </font>
    <font>
      <b/>
      <sz val="11"/>
      <color theme="0"/>
      <name val="Calibri"/>
      <family val="2"/>
      <scheme val="minor"/>
    </font>
    <font>
      <b/>
      <sz val="14"/>
      <color rgb="FFFF0000"/>
      <name val="Calibri"/>
      <family val="2"/>
      <charset val="204"/>
    </font>
    <font>
      <sz val="11"/>
      <name val="Calibri"/>
      <family val="2"/>
      <charset val="204"/>
      <scheme val="minor"/>
    </font>
    <font>
      <b/>
      <sz val="11"/>
      <color rgb="FF000000"/>
      <name val="Calibri"/>
      <family val="2"/>
      <charset val="204"/>
      <scheme val="minor"/>
    </font>
    <font>
      <sz val="11"/>
      <color theme="0" tint="-0.249977111117893"/>
      <name val="Calibri"/>
      <family val="2"/>
      <charset val="204"/>
      <scheme val="minor"/>
    </font>
    <font>
      <b/>
      <sz val="11"/>
      <color theme="0" tint="-0.249977111117893"/>
      <name val="Calibri"/>
      <family val="2"/>
      <charset val="204"/>
      <scheme val="minor"/>
    </font>
    <font>
      <sz val="11"/>
      <color theme="5"/>
      <name val="Calibri"/>
      <family val="2"/>
      <charset val="204"/>
      <scheme val="minor"/>
    </font>
    <font>
      <b/>
      <sz val="12"/>
      <name val="Calibri"/>
      <family val="2"/>
      <charset val="204"/>
      <scheme val="minor"/>
    </font>
    <font>
      <sz val="12"/>
      <name val="Calibri"/>
      <family val="2"/>
      <charset val="204"/>
      <scheme val="minor"/>
    </font>
    <font>
      <sz val="11"/>
      <color rgb="FFC00000"/>
      <name val="Calibri"/>
      <family val="2"/>
      <charset val="204"/>
      <scheme val="minor"/>
    </font>
    <font>
      <b/>
      <sz val="12"/>
      <color theme="3"/>
      <name val="Calibri"/>
      <family val="2"/>
      <charset val="204"/>
      <scheme val="minor"/>
    </font>
    <font>
      <sz val="12"/>
      <color theme="9" tint="-0.249977111117893"/>
      <name val="Calibri"/>
      <family val="2"/>
      <charset val="204"/>
      <scheme val="minor"/>
    </font>
    <font>
      <sz val="12"/>
      <color theme="0" tint="-0.249977111117893"/>
      <name val="Calibri"/>
      <family val="2"/>
      <charset val="204"/>
      <scheme val="minor"/>
    </font>
    <font>
      <b/>
      <sz val="12"/>
      <color theme="9" tint="-0.249977111117893"/>
      <name val="Calibri"/>
      <family val="2"/>
      <charset val="204"/>
      <scheme val="minor"/>
    </font>
    <font>
      <b/>
      <sz val="12"/>
      <color theme="0" tint="-0.249977111117893"/>
      <name val="Calibri"/>
      <family val="2"/>
      <charset val="204"/>
      <scheme val="minor"/>
    </font>
    <font>
      <sz val="12"/>
      <color theme="3"/>
      <name val="Calibri"/>
      <family val="2"/>
      <charset val="204"/>
      <scheme val="minor"/>
    </font>
    <font>
      <sz val="11"/>
      <color rgb="FFFF0000"/>
      <name val="Calibri"/>
      <family val="2"/>
      <charset val="204"/>
      <scheme val="minor"/>
    </font>
    <font>
      <b/>
      <sz val="10"/>
      <color theme="3"/>
      <name val="Calibri (Body)"/>
    </font>
    <font>
      <b/>
      <sz val="10"/>
      <color rgb="FF000000"/>
      <name val="Calibri"/>
      <family val="2"/>
      <charset val="204"/>
    </font>
    <font>
      <sz val="10"/>
      <color theme="5" tint="-0.249977111117893"/>
      <name val="Calibri"/>
      <family val="2"/>
      <scheme val="minor"/>
    </font>
    <font>
      <b/>
      <sz val="9"/>
      <color theme="1"/>
      <name val="Calibri"/>
      <family val="2"/>
      <scheme val="minor"/>
    </font>
    <font>
      <b/>
      <sz val="11"/>
      <name val="Calibri"/>
      <family val="2"/>
      <scheme val="minor"/>
    </font>
    <font>
      <b/>
      <u/>
      <sz val="10"/>
      <color rgb="FF000000"/>
      <name val="Calibri"/>
      <family val="2"/>
      <charset val="204"/>
    </font>
    <font>
      <b/>
      <u/>
      <sz val="10"/>
      <name val="Calibri"/>
      <family val="2"/>
      <scheme val="minor"/>
    </font>
    <font>
      <b/>
      <sz val="10"/>
      <color rgb="FF44546A"/>
      <name val="Calibri"/>
      <family val="2"/>
      <charset val="204"/>
    </font>
    <font>
      <b/>
      <u/>
      <sz val="10"/>
      <color theme="1"/>
      <name val="Calibri"/>
      <family val="2"/>
      <scheme val="minor"/>
    </font>
    <font>
      <b/>
      <sz val="14"/>
      <color theme="0"/>
      <name val="Calibri"/>
      <family val="2"/>
      <scheme val="minor"/>
    </font>
    <font>
      <b/>
      <sz val="12"/>
      <color rgb="FFFF0000"/>
      <name val="Calibri"/>
      <family val="2"/>
      <charset val="204"/>
      <scheme val="minor"/>
    </font>
    <font>
      <i/>
      <sz val="11"/>
      <color rgb="FF000000"/>
      <name val="Calibri"/>
      <family val="2"/>
      <charset val="204"/>
    </font>
    <font>
      <b/>
      <sz val="10"/>
      <name val="Calibri Light"/>
      <family val="2"/>
      <charset val="204"/>
      <scheme val="major"/>
    </font>
    <font>
      <b/>
      <sz val="12"/>
      <color rgb="FF000000"/>
      <name val="Calibri"/>
      <family val="2"/>
      <charset val="204"/>
    </font>
    <font>
      <b/>
      <sz val="11"/>
      <color theme="9"/>
      <name val="Calibri"/>
      <family val="2"/>
      <charset val="204"/>
      <scheme val="minor"/>
    </font>
    <font>
      <sz val="12"/>
      <color rgb="FF000000"/>
      <name val="Calibri"/>
      <family val="2"/>
      <charset val="204"/>
    </font>
    <font>
      <b/>
      <sz val="12"/>
      <color rgb="FF000000"/>
      <name val="Calibri"/>
      <family val="2"/>
      <charset val="204"/>
      <scheme val="minor"/>
    </font>
    <font>
      <sz val="12"/>
      <color rgb="FFFF0000"/>
      <name val="Calibri"/>
      <family val="2"/>
      <charset val="204"/>
      <scheme val="minor"/>
    </font>
    <font>
      <sz val="11"/>
      <color rgb="FF000000"/>
      <name val="Calibri"/>
      <family val="2"/>
      <charset val="204"/>
    </font>
    <font>
      <sz val="14"/>
      <color rgb="FFFF0000"/>
      <name val="Calibri"/>
      <family val="2"/>
      <scheme val="minor"/>
    </font>
    <font>
      <b/>
      <sz val="10"/>
      <color rgb="FF000000"/>
      <name val="Calibri (Body)"/>
      <charset val="238"/>
    </font>
    <font>
      <b/>
      <sz val="10"/>
      <name val="Calibri (Body)"/>
      <charset val="238"/>
    </font>
    <font>
      <b/>
      <sz val="10"/>
      <color theme="1"/>
      <name val="Calibri (Body)"/>
      <charset val="238"/>
    </font>
    <font>
      <sz val="11"/>
      <color rgb="FFFF0000"/>
      <name val="Calibri"/>
      <family val="2"/>
    </font>
    <font>
      <sz val="11"/>
      <color theme="1"/>
      <name val="Calibri"/>
      <family val="2"/>
    </font>
    <font>
      <i/>
      <sz val="10"/>
      <color theme="1"/>
      <name val="Calibri (Body)"/>
    </font>
    <font>
      <sz val="12"/>
      <color theme="1"/>
      <name val="Arial"/>
      <family val="2"/>
    </font>
    <font>
      <b/>
      <i/>
      <sz val="11"/>
      <name val="Calibri"/>
      <family val="2"/>
    </font>
    <font>
      <strike/>
      <sz val="10"/>
      <name val="Calibri (Body)"/>
    </font>
    <font>
      <sz val="11"/>
      <name val="Calibri"/>
      <family val="2"/>
      <scheme val="minor"/>
    </font>
    <font>
      <sz val="9"/>
      <color theme="1"/>
      <name val="Calibri"/>
      <family val="2"/>
      <scheme val="minor"/>
    </font>
    <font>
      <b/>
      <sz val="12"/>
      <color rgb="FFFF0000"/>
      <name val="Calibri"/>
      <family val="2"/>
    </font>
    <font>
      <b/>
      <sz val="14"/>
      <color rgb="FF006100"/>
      <name val="Calibri"/>
      <family val="2"/>
      <charset val="204"/>
      <scheme val="minor"/>
    </font>
    <font>
      <b/>
      <sz val="14"/>
      <color theme="1"/>
      <name val="Calibri"/>
      <family val="2"/>
      <charset val="204"/>
      <scheme val="minor"/>
    </font>
    <font>
      <sz val="11"/>
      <color rgb="FFFF0000"/>
      <name val="Calibri"/>
      <family val="2"/>
      <scheme val="minor"/>
    </font>
    <font>
      <i/>
      <sz val="11"/>
      <name val="Calibri"/>
      <family val="2"/>
      <charset val="204"/>
      <scheme val="minor"/>
    </font>
    <font>
      <b/>
      <sz val="22"/>
      <color theme="1"/>
      <name val="Calibri"/>
      <family val="2"/>
      <charset val="204"/>
      <scheme val="minor"/>
    </font>
    <font>
      <sz val="10"/>
      <color theme="4"/>
      <name val="Calibri"/>
      <family val="2"/>
      <charset val="204"/>
      <scheme val="minor"/>
    </font>
    <font>
      <i/>
      <sz val="9"/>
      <name val="Calibri"/>
      <family val="2"/>
      <charset val="204"/>
      <scheme val="minor"/>
    </font>
    <font>
      <b/>
      <i/>
      <sz val="9"/>
      <color theme="4"/>
      <name val="Calibri"/>
      <family val="2"/>
      <charset val="204"/>
      <scheme val="minor"/>
    </font>
    <font>
      <b/>
      <i/>
      <sz val="9"/>
      <name val="Calibri"/>
      <family val="2"/>
      <charset val="204"/>
      <scheme val="minor"/>
    </font>
    <font>
      <i/>
      <sz val="11"/>
      <color theme="1"/>
      <name val="Calibri"/>
      <family val="2"/>
      <charset val="204"/>
      <scheme val="minor"/>
    </font>
    <font>
      <sz val="11"/>
      <color theme="1"/>
      <name val="Calibri"/>
      <family val="2"/>
      <charset val="238"/>
    </font>
    <font>
      <i/>
      <sz val="10"/>
      <name val="Calibri"/>
      <family val="2"/>
      <charset val="204"/>
    </font>
    <font>
      <b/>
      <i/>
      <sz val="10"/>
      <name val="Calibri"/>
      <family val="2"/>
      <charset val="204"/>
      <scheme val="minor"/>
    </font>
    <font>
      <b/>
      <sz val="10"/>
      <color theme="4"/>
      <name val="Calibri"/>
      <family val="2"/>
      <charset val="204"/>
      <scheme val="minor"/>
    </font>
    <font>
      <i/>
      <sz val="11"/>
      <color theme="4"/>
      <name val="Calibri"/>
      <family val="2"/>
      <charset val="204"/>
    </font>
    <font>
      <b/>
      <sz val="10"/>
      <color rgb="FFC00000"/>
      <name val="Calibri Light"/>
      <family val="2"/>
      <charset val="204"/>
      <scheme val="major"/>
    </font>
    <font>
      <b/>
      <i/>
      <sz val="10"/>
      <color theme="3"/>
      <name val="Calibri"/>
      <family val="2"/>
      <charset val="204"/>
      <scheme val="minor"/>
    </font>
    <font>
      <i/>
      <sz val="11"/>
      <color theme="3"/>
      <name val="Calibri"/>
      <family val="2"/>
      <charset val="204"/>
    </font>
    <font>
      <b/>
      <sz val="11"/>
      <name val="Calibri"/>
      <family val="2"/>
      <charset val="204"/>
    </font>
    <font>
      <b/>
      <sz val="11"/>
      <color rgb="FFC00000"/>
      <name val="Calibri"/>
      <family val="2"/>
      <charset val="204"/>
    </font>
    <font>
      <sz val="11"/>
      <name val="Calibri"/>
      <family val="2"/>
      <charset val="204"/>
    </font>
    <font>
      <sz val="11"/>
      <color theme="4"/>
      <name val="Calibri"/>
      <family val="2"/>
      <charset val="204"/>
    </font>
    <font>
      <b/>
      <sz val="11"/>
      <color theme="4"/>
      <name val="Calibri"/>
      <family val="2"/>
      <charset val="204"/>
    </font>
    <font>
      <b/>
      <sz val="12"/>
      <name val="Calibri"/>
      <family val="2"/>
      <charset val="204"/>
    </font>
    <font>
      <i/>
      <sz val="9"/>
      <color theme="3"/>
      <name val="Calibri"/>
      <family val="2"/>
      <charset val="204"/>
      <scheme val="minor"/>
    </font>
    <font>
      <sz val="9"/>
      <color indexed="81"/>
      <name val="Tahoma"/>
      <family val="2"/>
    </font>
    <font>
      <b/>
      <sz val="9"/>
      <color indexed="81"/>
      <name val="Tahoma"/>
      <family val="2"/>
    </font>
    <font>
      <i/>
      <sz val="10"/>
      <name val="Calibri (Body)"/>
    </font>
    <font>
      <sz val="9"/>
      <name val="Calibri"/>
      <family val="2"/>
      <scheme val="minor"/>
    </font>
    <font>
      <b/>
      <sz val="10"/>
      <color rgb="FFFF0000"/>
      <name val="Calibri"/>
      <family val="2"/>
      <charset val="204"/>
      <scheme val="minor"/>
    </font>
  </fonts>
  <fills count="6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4"/>
      </patternFill>
    </fill>
    <fill>
      <patternFill patternType="solid">
        <fgColor theme="8"/>
      </patternFill>
    </fill>
    <fill>
      <patternFill patternType="solid">
        <fgColor rgb="FFFFC7CE"/>
      </patternFill>
    </fill>
    <fill>
      <patternFill patternType="solid">
        <fgColor rgb="FFC6EFCE"/>
      </patternFill>
    </fill>
    <fill>
      <patternFill patternType="solid">
        <fgColor rgb="FFFFFF00"/>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FFFFCC"/>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rgb="FFFFFFCC"/>
      </patternFill>
    </fill>
    <fill>
      <patternFill patternType="solid">
        <fgColor rgb="FFFFFFFF"/>
        <bgColor indexed="64"/>
      </patternFill>
    </fill>
    <fill>
      <patternFill patternType="solid">
        <fgColor theme="0"/>
        <bgColor rgb="FFD9EAD3"/>
      </patternFill>
    </fill>
    <fill>
      <patternFill patternType="solid">
        <fgColor theme="4" tint="-0.499984740745262"/>
        <bgColor indexed="64"/>
      </patternFill>
    </fill>
    <fill>
      <patternFill patternType="solid">
        <fgColor rgb="FFFFFFFF"/>
        <bgColor rgb="FF000000"/>
      </patternFill>
    </fill>
    <fill>
      <patternFill patternType="solid">
        <fgColor rgb="FFD6DCE4"/>
        <bgColor rgb="FF000000"/>
      </patternFill>
    </fill>
    <fill>
      <patternFill patternType="solid">
        <fgColor theme="2"/>
        <bgColor rgb="FFFFFFCC"/>
      </patternFill>
    </fill>
    <fill>
      <patternFill patternType="solid">
        <fgColor theme="4" tint="0.39997558519241921"/>
        <bgColor indexed="64"/>
      </patternFill>
    </fill>
    <fill>
      <patternFill patternType="solid">
        <fgColor rgb="FFFFEB9C"/>
      </patternFill>
    </fill>
    <fill>
      <patternFill patternType="solid">
        <fgColor theme="4"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rgb="FFFFFFFF"/>
        <bgColor rgb="FFFFFFFF"/>
      </patternFill>
    </fill>
    <fill>
      <patternFill patternType="solid">
        <fgColor theme="1"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indexed="42"/>
        <bgColor indexed="8"/>
      </patternFill>
    </fill>
    <fill>
      <patternFill patternType="solid">
        <fgColor rgb="FF92D050"/>
        <bgColor indexed="64"/>
      </patternFill>
    </fill>
    <fill>
      <patternFill patternType="solid">
        <fgColor rgb="FF4F81BD"/>
        <bgColor indexed="64"/>
      </patternFill>
    </fill>
    <fill>
      <patternFill patternType="solid">
        <fgColor rgb="FFFFC000"/>
        <bgColor indexed="64"/>
      </patternFill>
    </fill>
    <fill>
      <patternFill patternType="solid">
        <fgColor rgb="FFD9D9D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DBDBDB"/>
        <bgColor indexed="64"/>
      </patternFill>
    </fill>
    <fill>
      <patternFill patternType="solid">
        <fgColor theme="3"/>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00"/>
        <bgColor rgb="FFFFFFCC"/>
      </patternFill>
    </fill>
    <fill>
      <patternFill patternType="solid">
        <fgColor theme="9"/>
        <bgColor rgb="FFFFFFCC"/>
      </patternFill>
    </fill>
    <fill>
      <patternFill patternType="solid">
        <fgColor theme="9"/>
        <bgColor indexed="64"/>
      </patternFill>
    </fill>
  </fills>
  <borders count="175">
    <border>
      <left/>
      <right/>
      <top/>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rgb="FF999999"/>
      </top>
      <bottom style="thin">
        <color rgb="FF999999"/>
      </bottom>
      <diagonal/>
    </border>
    <border>
      <left/>
      <right style="thin">
        <color rgb="FF999999"/>
      </right>
      <top style="thin">
        <color rgb="FF999999"/>
      </top>
      <bottom/>
      <diagonal/>
    </border>
    <border>
      <left/>
      <right style="thin">
        <color rgb="FF999999"/>
      </right>
      <top style="thin">
        <color rgb="FF999999"/>
      </top>
      <bottom style="thin">
        <color rgb="FF999999"/>
      </bottom>
      <diagonal/>
    </border>
    <border>
      <left/>
      <right/>
      <top style="thin">
        <color rgb="FF999999"/>
      </top>
      <bottom/>
      <diagonal/>
    </border>
    <border>
      <left/>
      <right/>
      <top style="thin">
        <color rgb="FF999999"/>
      </top>
      <bottom style="thin">
        <color rgb="FF999999"/>
      </bottom>
      <diagonal/>
    </border>
    <border>
      <left style="thin">
        <color rgb="FF999999"/>
      </left>
      <right/>
      <top/>
      <bottom/>
      <diagonal/>
    </border>
    <border>
      <left/>
      <right style="thin">
        <color rgb="FF999999"/>
      </right>
      <top/>
      <bottom/>
      <diagonal/>
    </border>
    <border>
      <left style="thin">
        <color indexed="23"/>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bottom style="thin">
        <color rgb="FF000000"/>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medium">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999999"/>
      </left>
      <right/>
      <top/>
      <bottom style="thin">
        <color rgb="FF999999"/>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medium">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auto="1"/>
      </left>
      <right/>
      <top style="medium">
        <color auto="1"/>
      </top>
      <bottom style="medium">
        <color auto="1"/>
      </bottom>
      <diagonal/>
    </border>
    <border>
      <left style="medium">
        <color indexed="64"/>
      </left>
      <right style="medium">
        <color indexed="64"/>
      </right>
      <top/>
      <bottom/>
      <diagonal/>
    </border>
    <border>
      <left/>
      <right/>
      <top/>
      <bottom style="thin">
        <color auto="1"/>
      </bottom>
      <diagonal/>
    </border>
    <border>
      <left style="medium">
        <color indexed="64"/>
      </left>
      <right style="medium">
        <color indexed="64"/>
      </right>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style="medium">
        <color rgb="FFD4D4D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auto="1"/>
      </left>
      <right/>
      <top style="medium">
        <color auto="1"/>
      </top>
      <bottom style="thin">
        <color auto="1"/>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top/>
      <bottom style="thin">
        <color indexed="64"/>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rgb="FF000000"/>
      </left>
      <right/>
      <top/>
      <bottom style="thin">
        <color rgb="FF000000"/>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medium">
        <color indexed="64"/>
      </right>
      <top/>
      <bottom style="thin">
        <color indexed="64"/>
      </bottom>
      <diagonal/>
    </border>
    <border>
      <left style="medium">
        <color indexed="64"/>
      </left>
      <right style="medium">
        <color indexed="64"/>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diagonal/>
    </border>
    <border>
      <left style="medium">
        <color indexed="64"/>
      </left>
      <right style="medium">
        <color indexed="64"/>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medium">
        <color indexed="64"/>
      </right>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top style="medium">
        <color indexed="64"/>
      </top>
      <bottom/>
      <diagonal/>
    </border>
    <border>
      <left style="thin">
        <color theme="0" tint="-0.34998626667073579"/>
      </left>
      <right/>
      <top/>
      <bottom/>
      <diagonal/>
    </border>
    <border>
      <left style="thin">
        <color theme="0" tint="-0.34998626667073579"/>
      </left>
      <right style="medium">
        <color indexed="64"/>
      </right>
      <top style="thin">
        <color theme="0" tint="-0.34998626667073579"/>
      </top>
      <bottom style="thin">
        <color indexed="64"/>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bottom style="thin">
        <color indexed="64"/>
      </bottom>
      <diagonal/>
    </border>
    <border>
      <left style="thin">
        <color theme="0" tint="-0.34998626667073579"/>
      </left>
      <right/>
      <top/>
      <bottom style="medium">
        <color indexed="64"/>
      </bottom>
      <diagonal/>
    </border>
    <border>
      <left style="medium">
        <color indexed="64"/>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bottom style="thin">
        <color auto="1"/>
      </bottom>
      <diagonal/>
    </border>
    <border>
      <left style="medium">
        <color indexed="64"/>
      </left>
      <right style="thin">
        <color theme="0" tint="-0.34998626667073579"/>
      </right>
      <top/>
      <bottom style="medium">
        <color indexed="64"/>
      </bottom>
      <diagonal/>
    </border>
    <border>
      <left style="thin">
        <color theme="0" tint="-0.34998626667073579"/>
      </left>
      <right style="medium">
        <color indexed="64"/>
      </right>
      <top style="medium">
        <color auto="1"/>
      </top>
      <bottom style="thin">
        <color indexed="64"/>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right style="thin">
        <color theme="0" tint="-0.34998626667073579"/>
      </right>
      <top style="thin">
        <color auto="1"/>
      </top>
      <bottom style="medium">
        <color indexed="64"/>
      </bottom>
      <diagonal/>
    </border>
    <border>
      <left style="thin">
        <color theme="0" tint="-0.34998626667073579"/>
      </left>
      <right style="medium">
        <color indexed="64"/>
      </right>
      <top style="thin">
        <color auto="1"/>
      </top>
      <bottom style="medium">
        <color indexed="64"/>
      </bottom>
      <diagonal/>
    </border>
    <border>
      <left style="medium">
        <color indexed="64"/>
      </left>
      <right style="thin">
        <color theme="0" tint="-0.34998626667073579"/>
      </right>
      <top style="thin">
        <color auto="1"/>
      </top>
      <bottom style="medium">
        <color indexed="64"/>
      </bottom>
      <diagonal/>
    </border>
    <border>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34998626667073579"/>
      </right>
      <top style="medium">
        <color auto="1"/>
      </top>
      <bottom style="thin">
        <color indexed="64"/>
      </bottom>
      <diagonal/>
    </border>
  </borders>
  <cellStyleXfs count="25">
    <xf numFmtId="0" fontId="0" fillId="0" borderId="0"/>
    <xf numFmtId="0" fontId="16" fillId="2"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0" borderId="0" applyNumberFormat="0" applyFill="0" applyBorder="0" applyAlignment="0" applyProtection="0"/>
    <xf numFmtId="0" fontId="21" fillId="10" borderId="0" applyNumberFormat="0" applyBorder="0" applyAlignment="0" applyProtection="0"/>
    <xf numFmtId="0" fontId="7" fillId="0" borderId="0"/>
    <xf numFmtId="0" fontId="17" fillId="0" borderId="0"/>
    <xf numFmtId="9" fontId="15" fillId="0" borderId="0" applyBorder="0" applyProtection="0"/>
    <xf numFmtId="0" fontId="55" fillId="28" borderId="0" applyNumberFormat="0" applyBorder="0" applyAlignment="0" applyProtection="0"/>
    <xf numFmtId="0" fontId="6" fillId="29" borderId="0" applyNumberFormat="0" applyBorder="0" applyAlignment="0" applyProtection="0"/>
    <xf numFmtId="165" fontId="15" fillId="0" borderId="0" applyFont="0" applyFill="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64" fontId="15" fillId="0" borderId="0" applyFont="0" applyFill="0" applyBorder="0" applyAlignment="0" applyProtection="0"/>
    <xf numFmtId="0" fontId="85" fillId="0" borderId="0"/>
    <xf numFmtId="170" fontId="7" fillId="0" borderId="0" applyFont="0" applyFill="0" applyBorder="0" applyAlignment="0" applyProtection="0"/>
    <xf numFmtId="173" fontId="98" fillId="0" borderId="0"/>
  </cellStyleXfs>
  <cellXfs count="2280">
    <xf numFmtId="0" fontId="0" fillId="0" borderId="0" xfId="0"/>
    <xf numFmtId="0" fontId="22" fillId="0" borderId="0" xfId="0" applyFont="1" applyFill="1" applyBorder="1" applyAlignment="1">
      <alignment vertical="center"/>
    </xf>
    <xf numFmtId="0" fontId="8" fillId="0" borderId="0" xfId="0" applyFont="1" applyBorder="1" applyAlignment="1">
      <alignment horizontal="left" vertical="center" wrapText="1"/>
    </xf>
    <xf numFmtId="0" fontId="0" fillId="0" borderId="35" xfId="0" applyBorder="1"/>
    <xf numFmtId="0" fontId="0" fillId="0" borderId="36" xfId="0" applyBorder="1"/>
    <xf numFmtId="0" fontId="0" fillId="0" borderId="37" xfId="0" applyBorder="1"/>
    <xf numFmtId="0" fontId="0" fillId="0" borderId="35" xfId="0" pivotButton="1" applyBorder="1"/>
    <xf numFmtId="0" fontId="0" fillId="0" borderId="38" xfId="0" applyBorder="1"/>
    <xf numFmtId="0" fontId="0" fillId="0" borderId="39" xfId="0" applyBorder="1"/>
    <xf numFmtId="0" fontId="0" fillId="0" borderId="38" xfId="0" applyNumberFormat="1" applyBorder="1"/>
    <xf numFmtId="0" fontId="0" fillId="0" borderId="40" xfId="0" applyNumberFormat="1" applyBorder="1"/>
    <xf numFmtId="0" fontId="0" fillId="0" borderId="41" xfId="0" applyBorder="1"/>
    <xf numFmtId="0" fontId="0" fillId="0" borderId="42" xfId="0" applyNumberFormat="1" applyBorder="1"/>
    <xf numFmtId="0" fontId="0" fillId="0" borderId="35" xfId="0" applyNumberFormat="1" applyBorder="1"/>
    <xf numFmtId="0" fontId="0" fillId="0" borderId="41" xfId="0" applyNumberFormat="1" applyBorder="1"/>
    <xf numFmtId="0" fontId="0" fillId="0" borderId="39" xfId="0" applyNumberFormat="1" applyBorder="1"/>
    <xf numFmtId="0" fontId="0" fillId="0" borderId="43" xfId="0" applyBorder="1"/>
    <xf numFmtId="0" fontId="0" fillId="0" borderId="43" xfId="0" applyNumberFormat="1" applyBorder="1"/>
    <xf numFmtId="0" fontId="0" fillId="0" borderId="0" xfId="0" applyNumberFormat="1"/>
    <xf numFmtId="0" fontId="0" fillId="0" borderId="44" xfId="0" applyNumberFormat="1" applyBorder="1"/>
    <xf numFmtId="0" fontId="0" fillId="0" borderId="45" xfId="0" applyBorder="1"/>
    <xf numFmtId="0" fontId="23" fillId="0" borderId="1" xfId="0" applyFont="1" applyBorder="1"/>
    <xf numFmtId="4" fontId="0" fillId="0" borderId="43" xfId="0" applyNumberFormat="1" applyBorder="1"/>
    <xf numFmtId="4" fontId="0" fillId="0" borderId="0" xfId="0" applyNumberFormat="1"/>
    <xf numFmtId="4" fontId="0" fillId="0" borderId="44" xfId="0" applyNumberFormat="1" applyBorder="1"/>
    <xf numFmtId="0" fontId="0" fillId="0" borderId="46" xfId="0" pivotButton="1" applyBorder="1"/>
    <xf numFmtId="0" fontId="0" fillId="0" borderId="46" xfId="0" applyBorder="1"/>
    <xf numFmtId="0" fontId="24" fillId="12" borderId="5" xfId="8" applyFont="1" applyFill="1" applyBorder="1" applyAlignment="1">
      <alignment vertical="center" wrapText="1"/>
    </xf>
    <xf numFmtId="3" fontId="24" fillId="12" borderId="5" xfId="8" applyNumberFormat="1" applyFont="1" applyFill="1" applyBorder="1" applyAlignment="1">
      <alignment horizontal="center" vertical="center" wrapText="1"/>
    </xf>
    <xf numFmtId="1" fontId="24" fillId="12" borderId="5" xfId="8" applyNumberFormat="1" applyFont="1" applyFill="1" applyBorder="1" applyAlignment="1">
      <alignment horizontal="center" vertical="center" wrapText="1"/>
    </xf>
    <xf numFmtId="0" fontId="25" fillId="0" borderId="0" xfId="4" applyFont="1" applyFill="1" applyBorder="1" applyAlignment="1">
      <alignment horizontal="center" vertical="center"/>
    </xf>
    <xf numFmtId="0" fontId="10" fillId="13" borderId="6" xfId="7" applyFont="1" applyFill="1" applyBorder="1" applyAlignment="1">
      <alignment vertical="center" wrapText="1"/>
    </xf>
    <xf numFmtId="3" fontId="11" fillId="13" borderId="7" xfId="7" applyNumberFormat="1" applyFont="1" applyFill="1" applyBorder="1" applyAlignment="1">
      <alignment horizontal="left" vertical="center" wrapText="1"/>
    </xf>
    <xf numFmtId="0" fontId="11" fillId="0" borderId="0" xfId="7" applyFont="1" applyFill="1" applyBorder="1" applyAlignment="1">
      <alignment vertical="center"/>
    </xf>
    <xf numFmtId="0" fontId="26" fillId="0" borderId="0" xfId="1" applyFont="1" applyFill="1" applyBorder="1" applyAlignment="1">
      <alignment vertical="center"/>
    </xf>
    <xf numFmtId="0" fontId="25" fillId="0" borderId="0" xfId="3" applyFont="1" applyFill="1" applyBorder="1" applyAlignment="1">
      <alignment vertical="center"/>
    </xf>
    <xf numFmtId="0" fontId="12" fillId="16" borderId="5" xfId="10" applyNumberFormat="1" applyFont="1" applyFill="1" applyBorder="1" applyAlignment="1">
      <alignment horizontal="left" vertical="center" wrapText="1"/>
    </xf>
    <xf numFmtId="3" fontId="12" fillId="16" borderId="5" xfId="14" applyNumberFormat="1" applyFont="1" applyFill="1" applyBorder="1" applyAlignment="1" applyProtection="1">
      <alignment horizontal="center" vertical="center"/>
    </xf>
    <xf numFmtId="4" fontId="12" fillId="16" borderId="2" xfId="14" applyNumberFormat="1" applyFont="1" applyFill="1" applyBorder="1" applyAlignment="1" applyProtection="1">
      <alignment horizontal="center" vertical="center"/>
    </xf>
    <xf numFmtId="0" fontId="28" fillId="0" borderId="0" xfId="0" applyFont="1" applyFill="1" applyBorder="1" applyAlignment="1">
      <alignment vertical="center"/>
    </xf>
    <xf numFmtId="0" fontId="12" fillId="16" borderId="2" xfId="10" applyNumberFormat="1" applyFont="1" applyFill="1" applyBorder="1" applyAlignment="1">
      <alignment horizontal="left" vertical="center" wrapText="1"/>
    </xf>
    <xf numFmtId="3" fontId="12" fillId="16" borderId="2" xfId="14" applyNumberFormat="1" applyFont="1" applyFill="1" applyBorder="1" applyAlignment="1" applyProtection="1">
      <alignment horizontal="center" vertical="center"/>
    </xf>
    <xf numFmtId="167" fontId="12" fillId="16" borderId="2" xfId="14" applyNumberFormat="1" applyFont="1" applyFill="1" applyBorder="1" applyAlignment="1" applyProtection="1">
      <alignment horizontal="left" vertical="center"/>
    </xf>
    <xf numFmtId="2" fontId="12" fillId="16" borderId="2" xfId="14" applyNumberFormat="1" applyFont="1" applyFill="1" applyBorder="1" applyAlignment="1" applyProtection="1">
      <alignment horizontal="left" vertical="center"/>
    </xf>
    <xf numFmtId="3" fontId="12" fillId="16" borderId="5" xfId="14" applyNumberFormat="1" applyFont="1" applyFill="1" applyBorder="1" applyAlignment="1" applyProtection="1">
      <alignment horizontal="lef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3" fontId="12" fillId="0" borderId="5" xfId="14" applyNumberFormat="1" applyFont="1" applyBorder="1" applyAlignment="1" applyProtection="1">
      <alignment horizontal="left" vertical="center"/>
    </xf>
    <xf numFmtId="3" fontId="12" fillId="20" borderId="5" xfId="14" applyNumberFormat="1" applyFont="1" applyFill="1" applyBorder="1" applyAlignment="1" applyProtection="1">
      <alignment horizontal="left" vertical="center"/>
    </xf>
    <xf numFmtId="0" fontId="26" fillId="14" borderId="5" xfId="1" applyFont="1" applyFill="1" applyBorder="1" applyAlignment="1">
      <alignment horizontal="left" vertical="center" wrapText="1"/>
    </xf>
    <xf numFmtId="0" fontId="26" fillId="0" borderId="0" xfId="3" applyFont="1" applyFill="1" applyBorder="1" applyAlignment="1">
      <alignment vertical="center"/>
    </xf>
    <xf numFmtId="168" fontId="10" fillId="17" borderId="5" xfId="3" applyNumberFormat="1" applyFont="1" applyFill="1" applyBorder="1" applyAlignment="1" applyProtection="1">
      <alignment horizontal="left" vertical="center"/>
    </xf>
    <xf numFmtId="0" fontId="10" fillId="0" borderId="0" xfId="3" applyFont="1" applyFill="1" applyBorder="1" applyAlignment="1">
      <alignment vertical="center"/>
    </xf>
    <xf numFmtId="0" fontId="10" fillId="17" borderId="12" xfId="0" applyFont="1" applyFill="1" applyBorder="1" applyAlignment="1">
      <alignment horizontal="left" vertical="center" wrapText="1"/>
    </xf>
    <xf numFmtId="0" fontId="32"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28" fillId="0" borderId="0" xfId="0" applyFont="1" applyFill="1" applyBorder="1" applyAlignment="1">
      <alignment horizontal="left" vertical="center"/>
    </xf>
    <xf numFmtId="0" fontId="37" fillId="0" borderId="0" xfId="0" applyFont="1" applyFill="1" applyBorder="1" applyAlignment="1">
      <alignment horizontal="left" vertical="center"/>
    </xf>
    <xf numFmtId="0" fontId="38" fillId="0" borderId="0" xfId="0" applyFont="1" applyFill="1" applyBorder="1" applyAlignment="1">
      <alignment horizontal="lef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27" fillId="0" borderId="0" xfId="0" applyFont="1" applyFill="1" applyBorder="1" applyAlignment="1">
      <alignment horizontal="left" vertical="center"/>
    </xf>
    <xf numFmtId="3" fontId="12" fillId="17" borderId="5" xfId="0" applyNumberFormat="1" applyFont="1" applyFill="1" applyBorder="1" applyAlignment="1">
      <alignment horizontal="center" vertical="center" wrapText="1"/>
    </xf>
    <xf numFmtId="0" fontId="12" fillId="0" borderId="0" xfId="0" applyFont="1" applyFill="1" applyBorder="1" applyAlignment="1">
      <alignment vertical="center"/>
    </xf>
    <xf numFmtId="0" fontId="25" fillId="17" borderId="5" xfId="13" applyFont="1" applyFill="1" applyBorder="1" applyAlignment="1">
      <alignment vertical="center"/>
    </xf>
    <xf numFmtId="0" fontId="28" fillId="0" borderId="0" xfId="0" applyFont="1" applyFill="1" applyBorder="1" applyAlignment="1">
      <alignment vertical="center" wrapText="1"/>
    </xf>
    <xf numFmtId="0" fontId="25" fillId="17" borderId="2" xfId="0" applyFont="1" applyFill="1" applyBorder="1" applyAlignment="1">
      <alignment vertical="center" wrapText="1"/>
    </xf>
    <xf numFmtId="3" fontId="10" fillId="17" borderId="5" xfId="0" applyNumberFormat="1" applyFont="1" applyFill="1" applyBorder="1" applyAlignment="1">
      <alignment horizontal="center" vertical="center" wrapText="1"/>
    </xf>
    <xf numFmtId="0" fontId="10" fillId="0" borderId="0" xfId="0" applyFont="1" applyFill="1" applyBorder="1" applyAlignment="1">
      <alignment vertical="center"/>
    </xf>
    <xf numFmtId="0" fontId="12" fillId="0" borderId="0" xfId="7" applyFont="1" applyFill="1" applyBorder="1" applyAlignment="1">
      <alignment vertical="center"/>
    </xf>
    <xf numFmtId="0" fontId="12" fillId="0" borderId="0" xfId="7" applyFont="1" applyFill="1" applyBorder="1" applyAlignment="1">
      <alignment horizontal="center" vertical="center"/>
    </xf>
    <xf numFmtId="0" fontId="2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0" fillId="0" borderId="0" xfId="7" applyFont="1" applyFill="1" applyBorder="1" applyAlignment="1">
      <alignment horizontal="center" vertical="center"/>
    </xf>
    <xf numFmtId="0" fontId="10" fillId="0" borderId="0" xfId="7" applyFont="1" applyFill="1" applyBorder="1" applyAlignment="1">
      <alignment horizontal="center" vertical="center" wrapText="1"/>
    </xf>
    <xf numFmtId="0" fontId="24" fillId="12" borderId="12" xfId="8" applyFont="1" applyFill="1" applyBorder="1" applyAlignment="1">
      <alignment vertical="center"/>
    </xf>
    <xf numFmtId="0" fontId="12" fillId="16" borderId="11" xfId="10" applyNumberFormat="1" applyFont="1" applyFill="1" applyBorder="1" applyAlignment="1">
      <alignment horizontal="left" vertical="center" wrapText="1"/>
    </xf>
    <xf numFmtId="167" fontId="12" fillId="16" borderId="11" xfId="14" applyNumberFormat="1" applyFont="1" applyFill="1" applyBorder="1" applyAlignment="1" applyProtection="1">
      <alignment horizontal="left" vertical="center"/>
    </xf>
    <xf numFmtId="0" fontId="12" fillId="0" borderId="0" xfId="7" applyFont="1" applyFill="1" applyBorder="1" applyAlignment="1">
      <alignment horizontal="center" vertical="center"/>
    </xf>
    <xf numFmtId="4" fontId="12" fillId="16" borderId="11" xfId="14" applyNumberFormat="1" applyFont="1" applyFill="1" applyBorder="1" applyAlignment="1" applyProtection="1">
      <alignment horizontal="center" vertical="center"/>
    </xf>
    <xf numFmtId="0" fontId="25" fillId="17" borderId="15" xfId="13" applyFont="1" applyFill="1" applyBorder="1" applyAlignment="1">
      <alignment horizontal="left" vertical="center"/>
    </xf>
    <xf numFmtId="0" fontId="24" fillId="12" borderId="15" xfId="8" applyFont="1" applyFill="1" applyBorder="1" applyAlignment="1">
      <alignment horizontal="center" vertical="center" wrapText="1"/>
    </xf>
    <xf numFmtId="1" fontId="12" fillId="16" borderId="2" xfId="14" applyNumberFormat="1" applyFont="1" applyFill="1" applyBorder="1" applyAlignment="1" applyProtection="1">
      <alignment horizontal="left" vertical="center"/>
    </xf>
    <xf numFmtId="3" fontId="25" fillId="18" borderId="5" xfId="3" applyNumberFormat="1" applyFont="1" applyFill="1" applyBorder="1" applyAlignment="1" applyProtection="1">
      <alignment horizontal="center" vertical="center"/>
    </xf>
    <xf numFmtId="167" fontId="12" fillId="20" borderId="2" xfId="14" applyNumberFormat="1" applyFont="1" applyFill="1" applyBorder="1" applyAlignment="1" applyProtection="1">
      <alignment horizontal="left" vertical="center"/>
    </xf>
    <xf numFmtId="1" fontId="12" fillId="0" borderId="4" xfId="14" applyNumberFormat="1" applyFont="1" applyFill="1" applyBorder="1" applyAlignment="1" applyProtection="1">
      <alignment horizontal="left" vertical="center"/>
    </xf>
    <xf numFmtId="1" fontId="12" fillId="0" borderId="2" xfId="14" applyNumberFormat="1" applyFont="1" applyFill="1" applyBorder="1" applyAlignment="1" applyProtection="1">
      <alignment horizontal="left" vertical="center"/>
    </xf>
    <xf numFmtId="167" fontId="12" fillId="0" borderId="2" xfId="14" applyNumberFormat="1" applyFont="1" applyFill="1" applyBorder="1" applyAlignment="1" applyProtection="1">
      <alignment horizontal="left" vertical="center"/>
    </xf>
    <xf numFmtId="0" fontId="44" fillId="0" borderId="0" xfId="0" applyFont="1" applyAlignment="1">
      <alignment horizontal="center" vertical="center"/>
    </xf>
    <xf numFmtId="0" fontId="44" fillId="0" borderId="35" xfId="0" applyFont="1" applyBorder="1" applyAlignment="1">
      <alignment horizontal="center" vertical="center" wrapText="1"/>
    </xf>
    <xf numFmtId="4" fontId="44" fillId="0" borderId="35" xfId="0" applyNumberFormat="1" applyFont="1" applyBorder="1" applyAlignment="1">
      <alignment horizontal="center" vertical="center"/>
    </xf>
    <xf numFmtId="0" fontId="44" fillId="0" borderId="35" xfId="0" applyFont="1" applyBorder="1" applyAlignment="1">
      <alignment horizontal="right" vertical="center" wrapText="1"/>
    </xf>
    <xf numFmtId="0" fontId="12" fillId="16" borderId="5" xfId="10" applyFont="1" applyFill="1" applyBorder="1" applyAlignment="1">
      <alignment horizontal="left" vertical="center" wrapText="1"/>
    </xf>
    <xf numFmtId="0" fontId="12" fillId="16" borderId="2" xfId="10" applyFont="1" applyFill="1" applyBorder="1" applyAlignment="1">
      <alignment horizontal="left" vertical="center" wrapText="1"/>
    </xf>
    <xf numFmtId="0" fontId="12" fillId="0" borderId="0" xfId="7" applyFont="1" applyFill="1" applyBorder="1" applyAlignment="1">
      <alignment horizontal="center" vertical="center"/>
    </xf>
    <xf numFmtId="0" fontId="28" fillId="0" borderId="0" xfId="0" applyFont="1" applyAlignment="1">
      <alignment vertical="center"/>
    </xf>
    <xf numFmtId="0" fontId="45" fillId="0" borderId="0" xfId="0" applyFont="1"/>
    <xf numFmtId="0" fontId="46" fillId="27" borderId="5" xfId="0" applyFont="1" applyFill="1" applyBorder="1"/>
    <xf numFmtId="0" fontId="45" fillId="0" borderId="5" xfId="0" applyFont="1" applyBorder="1"/>
    <xf numFmtId="0" fontId="47" fillId="0" borderId="5" xfId="0" applyFont="1" applyBorder="1" applyAlignment="1">
      <alignment horizontal="center"/>
    </xf>
    <xf numFmtId="0" fontId="48" fillId="0" borderId="5" xfId="0" applyFont="1" applyBorder="1"/>
    <xf numFmtId="0" fontId="49" fillId="0" borderId="5" xfId="0" applyFont="1" applyBorder="1"/>
    <xf numFmtId="0" fontId="49" fillId="0" borderId="5" xfId="0" applyFont="1" applyBorder="1" applyAlignment="1">
      <alignment wrapText="1"/>
    </xf>
    <xf numFmtId="9" fontId="49" fillId="0" borderId="5" xfId="0" applyNumberFormat="1" applyFont="1" applyBorder="1"/>
    <xf numFmtId="0" fontId="49" fillId="0" borderId="5" xfId="0" applyFont="1" applyBorder="1" applyAlignment="1">
      <alignment horizontal="center"/>
    </xf>
    <xf numFmtId="0" fontId="50" fillId="0" borderId="5" xfId="0" applyFont="1" applyBorder="1"/>
    <xf numFmtId="0" fontId="49" fillId="0" borderId="4" xfId="0" applyFont="1" applyBorder="1"/>
    <xf numFmtId="0" fontId="49" fillId="0" borderId="21" xfId="0" applyFont="1" applyBorder="1"/>
    <xf numFmtId="0" fontId="46" fillId="27" borderId="5" xfId="0" applyFont="1" applyFill="1" applyBorder="1" applyAlignment="1">
      <alignment horizontal="left"/>
    </xf>
    <xf numFmtId="0" fontId="49" fillId="0" borderId="0" xfId="0" applyFont="1"/>
    <xf numFmtId="9" fontId="49" fillId="0" borderId="0" xfId="0" applyNumberFormat="1" applyFont="1"/>
    <xf numFmtId="0" fontId="51" fillId="24" borderId="0" xfId="0" applyFont="1" applyFill="1" applyAlignment="1">
      <alignment vertical="center" wrapText="1"/>
    </xf>
    <xf numFmtId="49" fontId="49" fillId="0" borderId="5" xfId="0" applyNumberFormat="1" applyFont="1" applyBorder="1" applyAlignment="1">
      <alignment wrapText="1"/>
    </xf>
    <xf numFmtId="0" fontId="48" fillId="25" borderId="15" xfId="0" applyFont="1" applyFill="1" applyBorder="1"/>
    <xf numFmtId="0" fontId="49" fillId="0" borderId="15" xfId="0" applyFont="1" applyBorder="1"/>
    <xf numFmtId="49" fontId="49" fillId="0" borderId="4" xfId="0" applyNumberFormat="1" applyFont="1" applyBorder="1" applyAlignment="1">
      <alignment wrapText="1"/>
    </xf>
    <xf numFmtId="0" fontId="48" fillId="25" borderId="21" xfId="0" applyFont="1" applyFill="1" applyBorder="1"/>
    <xf numFmtId="0" fontId="48" fillId="0" borderId="4" xfId="0" applyFont="1" applyBorder="1"/>
    <xf numFmtId="0" fontId="48" fillId="0" borderId="15" xfId="0" applyFont="1" applyBorder="1"/>
    <xf numFmtId="0" fontId="48" fillId="0" borderId="21" xfId="0" applyFont="1" applyBorder="1"/>
    <xf numFmtId="1" fontId="49" fillId="0" borderId="5" xfId="0" applyNumberFormat="1" applyFont="1" applyBorder="1"/>
    <xf numFmtId="0" fontId="46" fillId="27" borderId="5" xfId="0" applyFont="1" applyFill="1" applyBorder="1" applyAlignment="1">
      <alignment horizontal="center"/>
    </xf>
    <xf numFmtId="0" fontId="49" fillId="0" borderId="0" xfId="0" applyFont="1" applyBorder="1"/>
    <xf numFmtId="1" fontId="49" fillId="0" borderId="0" xfId="0" applyNumberFormat="1" applyFont="1" applyBorder="1"/>
    <xf numFmtId="0" fontId="52" fillId="15" borderId="0" xfId="0" applyFont="1" applyFill="1" applyAlignment="1">
      <alignment horizontal="left" vertical="center" wrapText="1"/>
    </xf>
    <xf numFmtId="0" fontId="52" fillId="15" borderId="0" xfId="0" applyFont="1" applyFill="1" applyAlignment="1">
      <alignment horizontal="center" vertical="center" wrapText="1"/>
    </xf>
    <xf numFmtId="4" fontId="52" fillId="15" borderId="0" xfId="0" applyNumberFormat="1" applyFont="1" applyFill="1" applyAlignment="1">
      <alignment horizontal="center" vertical="center" wrapText="1"/>
    </xf>
    <xf numFmtId="0" fontId="53" fillId="0" borderId="0" xfId="0" applyFont="1" applyAlignment="1">
      <alignment horizontal="center" vertical="center"/>
    </xf>
    <xf numFmtId="4" fontId="53" fillId="0" borderId="0" xfId="0" applyNumberFormat="1" applyFont="1" applyAlignment="1">
      <alignment horizontal="center" vertical="center"/>
    </xf>
    <xf numFmtId="0" fontId="53" fillId="0" borderId="0" xfId="0" applyFont="1" applyAlignment="1">
      <alignment horizontal="left" vertical="center"/>
    </xf>
    <xf numFmtId="0" fontId="54" fillId="14" borderId="0" xfId="0" applyFont="1" applyFill="1" applyAlignment="1">
      <alignment horizontal="center" vertical="center"/>
    </xf>
    <xf numFmtId="4" fontId="54" fillId="14" borderId="35" xfId="0" applyNumberFormat="1" applyFont="1" applyFill="1" applyBorder="1" applyAlignment="1">
      <alignment horizontal="center" vertical="center"/>
    </xf>
    <xf numFmtId="0" fontId="54" fillId="14" borderId="35" xfId="0" applyFont="1" applyFill="1" applyBorder="1" applyAlignment="1">
      <alignment horizontal="left" vertical="center" wrapText="1"/>
    </xf>
    <xf numFmtId="0" fontId="53" fillId="0" borderId="0" xfId="0" applyFont="1" applyAlignment="1">
      <alignment horizontal="center" vertical="center" wrapText="1"/>
    </xf>
    <xf numFmtId="4" fontId="53" fillId="0" borderId="0" xfId="0" applyNumberFormat="1" applyFont="1" applyAlignment="1">
      <alignment horizontal="center" vertical="center" wrapText="1"/>
    </xf>
    <xf numFmtId="0" fontId="53" fillId="0" borderId="0" xfId="0" applyFont="1" applyAlignment="1">
      <alignment horizontal="left" vertical="center" wrapText="1"/>
    </xf>
    <xf numFmtId="0" fontId="26" fillId="14" borderId="5" xfId="1" applyFont="1" applyFill="1" applyBorder="1" applyAlignment="1">
      <alignment horizontal="center" vertical="center" wrapText="1"/>
    </xf>
    <xf numFmtId="0" fontId="42" fillId="23" borderId="0" xfId="0" applyFont="1" applyFill="1" applyAlignment="1">
      <alignment horizontal="center" vertical="center"/>
    </xf>
    <xf numFmtId="0" fontId="42" fillId="23" borderId="35" xfId="0" applyFont="1" applyFill="1" applyBorder="1" applyAlignment="1">
      <alignment horizontal="center" vertical="center" wrapText="1"/>
    </xf>
    <xf numFmtId="0" fontId="42" fillId="23" borderId="35" xfId="0" applyFont="1" applyFill="1" applyBorder="1" applyAlignment="1">
      <alignment horizontal="center" vertical="center"/>
    </xf>
    <xf numFmtId="0" fontId="42" fillId="23" borderId="41" xfId="0" applyFont="1" applyFill="1" applyBorder="1" applyAlignment="1">
      <alignment horizontal="center" vertical="center"/>
    </xf>
    <xf numFmtId="0" fontId="42" fillId="23" borderId="39" xfId="0" applyFont="1" applyFill="1" applyBorder="1" applyAlignment="1">
      <alignment horizontal="center" vertical="center"/>
    </xf>
    <xf numFmtId="0" fontId="0" fillId="0" borderId="0" xfId="0" applyAlignment="1">
      <alignment vertical="center"/>
    </xf>
    <xf numFmtId="0" fontId="0" fillId="0" borderId="51" xfId="0" applyBorder="1"/>
    <xf numFmtId="0" fontId="0" fillId="0" borderId="5" xfId="0" applyBorder="1"/>
    <xf numFmtId="0" fontId="49" fillId="0" borderId="52" xfId="0" applyFont="1" applyBorder="1"/>
    <xf numFmtId="0" fontId="50" fillId="0" borderId="11" xfId="0" applyFont="1" applyBorder="1"/>
    <xf numFmtId="0" fontId="49" fillId="0" borderId="11" xfId="0" applyFont="1" applyBorder="1"/>
    <xf numFmtId="0" fontId="50" fillId="0" borderId="34" xfId="0" applyFont="1" applyBorder="1"/>
    <xf numFmtId="0" fontId="48" fillId="0" borderId="52" xfId="0" applyFont="1" applyBorder="1"/>
    <xf numFmtId="0" fontId="0" fillId="0" borderId="5" xfId="0" applyBorder="1" applyAlignment="1">
      <alignment horizontal="center"/>
    </xf>
    <xf numFmtId="4" fontId="49" fillId="0" borderId="5" xfId="0" applyNumberFormat="1" applyFont="1" applyBorder="1" applyAlignment="1">
      <alignment wrapText="1"/>
    </xf>
    <xf numFmtId="4" fontId="49" fillId="0" borderId="5" xfId="0" applyNumberFormat="1" applyFont="1" applyBorder="1"/>
    <xf numFmtId="4" fontId="50" fillId="0" borderId="5" xfId="0" applyNumberFormat="1" applyFont="1" applyBorder="1"/>
    <xf numFmtId="2" fontId="50" fillId="0" borderId="5" xfId="0" applyNumberFormat="1" applyFont="1" applyBorder="1"/>
    <xf numFmtId="0" fontId="0" fillId="0" borderId="0" xfId="0" applyBorder="1"/>
    <xf numFmtId="0" fontId="49" fillId="0" borderId="54" xfId="0" applyFont="1" applyBorder="1"/>
    <xf numFmtId="0" fontId="49" fillId="0" borderId="8" xfId="0" applyFont="1" applyBorder="1"/>
    <xf numFmtId="0" fontId="50" fillId="0" borderId="55" xfId="0" applyFont="1" applyBorder="1"/>
    <xf numFmtId="0" fontId="49" fillId="0" borderId="10" xfId="0" applyFont="1" applyBorder="1" applyAlignment="1">
      <alignment horizontal="center"/>
    </xf>
    <xf numFmtId="0" fontId="49" fillId="0" borderId="51" xfId="0" applyFont="1" applyBorder="1" applyAlignment="1">
      <alignment horizontal="center"/>
    </xf>
    <xf numFmtId="0" fontId="49" fillId="0" borderId="11" xfId="0" applyFont="1" applyBorder="1" applyAlignment="1">
      <alignment horizontal="center"/>
    </xf>
    <xf numFmtId="0" fontId="49" fillId="0" borderId="34" xfId="0" applyFont="1" applyBorder="1" applyAlignment="1">
      <alignment horizontal="center"/>
    </xf>
    <xf numFmtId="0" fontId="43" fillId="18" borderId="5" xfId="0" applyFont="1" applyFill="1" applyBorder="1" applyAlignment="1">
      <alignment horizontal="center" vertical="center"/>
    </xf>
    <xf numFmtId="0" fontId="58" fillId="16" borderId="5" xfId="10" applyNumberFormat="1" applyFont="1" applyFill="1" applyBorder="1" applyAlignment="1">
      <alignment horizontal="right" vertical="center" wrapText="1"/>
    </xf>
    <xf numFmtId="0" fontId="58" fillId="16" borderId="2" xfId="10" applyNumberFormat="1" applyFont="1" applyFill="1" applyBorder="1" applyAlignment="1">
      <alignment horizontal="right" vertical="center" wrapText="1"/>
    </xf>
    <xf numFmtId="4" fontId="54" fillId="0" borderId="35" xfId="0" applyNumberFormat="1" applyFont="1" applyBorder="1" applyAlignment="1">
      <alignment horizontal="center" vertical="center"/>
    </xf>
    <xf numFmtId="0" fontId="44" fillId="0" borderId="43" xfId="0" applyFont="1" applyBorder="1" applyAlignment="1">
      <alignment horizontal="center" vertical="center"/>
    </xf>
    <xf numFmtId="0" fontId="44" fillId="0" borderId="39" xfId="0" applyFont="1" applyBorder="1" applyAlignment="1">
      <alignment horizontal="left" vertical="center" wrapText="1"/>
    </xf>
    <xf numFmtId="0" fontId="44" fillId="0" borderId="56" xfId="0" applyFont="1" applyBorder="1" applyAlignment="1">
      <alignment horizontal="center" vertical="center"/>
    </xf>
    <xf numFmtId="0" fontId="44" fillId="0" borderId="40" xfId="0" applyFont="1" applyBorder="1" applyAlignment="1">
      <alignment horizontal="left" vertical="center" wrapText="1"/>
    </xf>
    <xf numFmtId="0" fontId="12" fillId="16" borderId="2" xfId="14" applyNumberFormat="1" applyFont="1" applyFill="1" applyBorder="1" applyAlignment="1" applyProtection="1">
      <alignment horizontal="left" vertical="center"/>
    </xf>
    <xf numFmtId="0" fontId="59" fillId="6" borderId="0" xfId="6" applyFont="1"/>
    <xf numFmtId="0" fontId="17" fillId="6" borderId="5" xfId="6" applyBorder="1" applyAlignment="1">
      <alignment vertical="top"/>
    </xf>
    <xf numFmtId="0" fontId="17" fillId="3" borderId="15" xfId="2" applyBorder="1" applyAlignment="1">
      <alignment vertical="top" wrapText="1"/>
    </xf>
    <xf numFmtId="0" fontId="17" fillId="3" borderId="5" xfId="2" applyBorder="1" applyAlignment="1">
      <alignment vertical="top"/>
    </xf>
    <xf numFmtId="167" fontId="17" fillId="3" borderId="5" xfId="2" applyNumberFormat="1" applyBorder="1" applyAlignment="1" applyProtection="1">
      <alignment horizontal="center" vertical="top"/>
    </xf>
    <xf numFmtId="0" fontId="21" fillId="10" borderId="15" xfId="11" applyBorder="1" applyAlignment="1">
      <alignment vertical="top"/>
    </xf>
    <xf numFmtId="9" fontId="21" fillId="10" borderId="5" xfId="11" applyNumberFormat="1" applyBorder="1"/>
    <xf numFmtId="0" fontId="21" fillId="10" borderId="5" xfId="11" applyBorder="1"/>
    <xf numFmtId="0" fontId="60" fillId="17" borderId="15" xfId="6" applyFont="1" applyFill="1" applyBorder="1" applyAlignment="1">
      <alignment horizontal="left" vertical="center" wrapText="1"/>
    </xf>
    <xf numFmtId="0" fontId="0" fillId="0" borderId="5" xfId="0" applyBorder="1" applyAlignment="1">
      <alignment vertical="top"/>
    </xf>
    <xf numFmtId="167" fontId="17" fillId="17" borderId="5" xfId="3" applyNumberFormat="1" applyFont="1" applyFill="1" applyBorder="1" applyAlignment="1" applyProtection="1">
      <alignment horizontal="center" vertical="top"/>
    </xf>
    <xf numFmtId="167" fontId="61" fillId="17" borderId="5" xfId="3" applyNumberFormat="1" applyFont="1" applyFill="1" applyBorder="1" applyAlignment="1" applyProtection="1">
      <alignment horizontal="center" vertical="top"/>
    </xf>
    <xf numFmtId="10" fontId="21" fillId="10" borderId="5" xfId="11" applyNumberFormat="1" applyBorder="1"/>
    <xf numFmtId="0" fontId="62" fillId="19" borderId="15" xfId="9" applyNumberFormat="1" applyFont="1" applyFill="1" applyBorder="1" applyAlignment="1">
      <alignment horizontal="left" vertical="top" wrapText="1"/>
    </xf>
    <xf numFmtId="10" fontId="63" fillId="19" borderId="5" xfId="3" applyNumberFormat="1" applyFont="1" applyFill="1" applyBorder="1" applyAlignment="1" applyProtection="1">
      <alignment horizontal="center" vertical="top"/>
    </xf>
    <xf numFmtId="0" fontId="0" fillId="11" borderId="15" xfId="0" applyFill="1" applyBorder="1"/>
    <xf numFmtId="0" fontId="0" fillId="11" borderId="5" xfId="0" applyFill="1" applyBorder="1"/>
    <xf numFmtId="0" fontId="0" fillId="0" borderId="15" xfId="0" applyBorder="1"/>
    <xf numFmtId="0" fontId="0" fillId="0" borderId="0" xfId="0"/>
    <xf numFmtId="0" fontId="16" fillId="5" borderId="5" xfId="4" applyBorder="1"/>
    <xf numFmtId="9" fontId="16" fillId="5" borderId="5" xfId="4" applyNumberFormat="1" applyBorder="1"/>
    <xf numFmtId="0" fontId="17" fillId="6" borderId="5" xfId="6" applyBorder="1" applyAlignment="1"/>
    <xf numFmtId="0" fontId="17" fillId="6" borderId="5" xfId="6" applyBorder="1"/>
    <xf numFmtId="0" fontId="64" fillId="13" borderId="5" xfId="0" applyFont="1" applyFill="1" applyBorder="1" applyAlignment="1">
      <alignment horizontal="center" vertical="center"/>
    </xf>
    <xf numFmtId="0" fontId="64" fillId="13" borderId="5" xfId="0" applyFont="1" applyFill="1" applyBorder="1" applyAlignment="1">
      <alignment horizontal="center" vertical="center" wrapText="1"/>
    </xf>
    <xf numFmtId="2" fontId="64" fillId="13" borderId="5" xfId="0" applyNumberFormat="1" applyFont="1" applyFill="1" applyBorder="1" applyAlignment="1">
      <alignment horizontal="center" vertical="center" wrapText="1"/>
    </xf>
    <xf numFmtId="2" fontId="0" fillId="0" borderId="5" xfId="0" applyNumberFormat="1" applyBorder="1" applyAlignment="1">
      <alignment horizontal="center"/>
    </xf>
    <xf numFmtId="2" fontId="0" fillId="0" borderId="5" xfId="0" applyNumberFormat="1" applyBorder="1" applyAlignment="1">
      <alignment horizontal="right"/>
    </xf>
    <xf numFmtId="0" fontId="6" fillId="29" borderId="5" xfId="16" applyBorder="1"/>
    <xf numFmtId="0" fontId="6" fillId="29" borderId="5" xfId="16" applyBorder="1" applyAlignment="1">
      <alignment horizontal="center"/>
    </xf>
    <xf numFmtId="0" fontId="16" fillId="2" borderId="5" xfId="1" applyBorder="1"/>
    <xf numFmtId="3" fontId="0" fillId="0" borderId="0" xfId="0" applyNumberFormat="1"/>
    <xf numFmtId="0" fontId="12" fillId="0" borderId="0" xfId="7" applyFont="1" applyFill="1" applyBorder="1" applyAlignment="1">
      <alignment horizontal="center" vertical="center"/>
    </xf>
    <xf numFmtId="0" fontId="0" fillId="0" borderId="0" xfId="0"/>
    <xf numFmtId="4" fontId="49" fillId="0" borderId="0" xfId="0" applyNumberFormat="1" applyFont="1"/>
    <xf numFmtId="165" fontId="49" fillId="0" borderId="0" xfId="17" applyFont="1"/>
    <xf numFmtId="0" fontId="42" fillId="23" borderId="0" xfId="0" applyFont="1" applyFill="1" applyBorder="1" applyAlignment="1">
      <alignment vertical="center"/>
    </xf>
    <xf numFmtId="0" fontId="42" fillId="23" borderId="44" xfId="0" applyFont="1" applyFill="1" applyBorder="1" applyAlignment="1">
      <alignment vertical="center"/>
    </xf>
    <xf numFmtId="0" fontId="6" fillId="29" borderId="12" xfId="16" applyBorder="1"/>
    <xf numFmtId="0" fontId="17" fillId="29" borderId="5" xfId="16" applyFont="1" applyBorder="1"/>
    <xf numFmtId="0" fontId="16" fillId="2" borderId="12" xfId="1" applyBorder="1"/>
    <xf numFmtId="0" fontId="0" fillId="0" borderId="12" xfId="0" applyBorder="1"/>
    <xf numFmtId="0" fontId="0" fillId="34" borderId="5" xfId="0" applyFill="1" applyBorder="1"/>
    <xf numFmtId="0" fontId="66" fillId="30" borderId="5" xfId="18" applyFont="1" applyBorder="1"/>
    <xf numFmtId="0" fontId="67" fillId="0" borderId="5" xfId="0" applyFont="1" applyBorder="1"/>
    <xf numFmtId="0" fontId="68" fillId="0" borderId="5" xfId="0" applyFont="1" applyBorder="1"/>
    <xf numFmtId="0" fontId="0" fillId="13" borderId="5" xfId="0" applyFill="1" applyBorder="1"/>
    <xf numFmtId="0" fontId="66" fillId="13" borderId="5" xfId="18" applyFont="1" applyFill="1" applyBorder="1"/>
    <xf numFmtId="0" fontId="69" fillId="13" borderId="31" xfId="0" applyFont="1" applyFill="1" applyBorder="1" applyAlignment="1">
      <alignment vertical="top"/>
    </xf>
    <xf numFmtId="0" fontId="66" fillId="13" borderId="5" xfId="3" applyFont="1" applyFill="1" applyBorder="1" applyAlignment="1">
      <alignment vertical="top" wrapText="1"/>
    </xf>
    <xf numFmtId="0" fontId="60" fillId="13" borderId="5" xfId="3" applyFont="1" applyFill="1" applyBorder="1" applyAlignment="1">
      <alignment vertical="top" wrapText="1"/>
    </xf>
    <xf numFmtId="0" fontId="60" fillId="13" borderId="52" xfId="3" applyFont="1" applyFill="1" applyBorder="1" applyAlignment="1">
      <alignment vertical="top" wrapText="1"/>
    </xf>
    <xf numFmtId="0" fontId="0" fillId="0" borderId="31" xfId="0" applyBorder="1"/>
    <xf numFmtId="0" fontId="60" fillId="15" borderId="5" xfId="16" applyFont="1" applyFill="1" applyBorder="1"/>
    <xf numFmtId="0" fontId="6" fillId="15" borderId="5" xfId="16" applyFill="1" applyBorder="1"/>
    <xf numFmtId="0" fontId="6" fillId="15" borderId="52" xfId="16" applyFill="1" applyBorder="1"/>
    <xf numFmtId="0" fontId="0" fillId="0" borderId="52" xfId="0" applyBorder="1"/>
    <xf numFmtId="0" fontId="66" fillId="13" borderId="5" xfId="4" applyFont="1" applyFill="1" applyBorder="1"/>
    <xf numFmtId="0" fontId="16" fillId="13" borderId="5" xfId="4" applyFill="1" applyBorder="1"/>
    <xf numFmtId="0" fontId="66" fillId="13" borderId="52" xfId="4" applyFont="1" applyFill="1" applyBorder="1"/>
    <xf numFmtId="0" fontId="0" fillId="0" borderId="5" xfId="0" applyBorder="1" applyAlignment="1">
      <alignment vertical="top" wrapText="1"/>
    </xf>
    <xf numFmtId="0" fontId="70" fillId="32" borderId="11" xfId="20" applyFont="1" applyBorder="1"/>
    <xf numFmtId="0" fontId="70" fillId="32" borderId="34" xfId="20" applyFont="1" applyBorder="1"/>
    <xf numFmtId="0" fontId="62" fillId="13" borderId="5" xfId="3" applyFont="1" applyFill="1" applyBorder="1" applyAlignment="1">
      <alignment vertical="top"/>
    </xf>
    <xf numFmtId="0" fontId="62" fillId="13" borderId="5" xfId="3" applyFont="1" applyFill="1" applyBorder="1" applyAlignment="1">
      <alignment vertical="top" wrapText="1"/>
    </xf>
    <xf numFmtId="0" fontId="66" fillId="2" borderId="5" xfId="1" applyFont="1" applyBorder="1" applyAlignment="1">
      <alignment wrapText="1"/>
    </xf>
    <xf numFmtId="0" fontId="66" fillId="15" borderId="5" xfId="4" applyFont="1" applyFill="1" applyBorder="1"/>
    <xf numFmtId="0" fontId="0" fillId="15" borderId="5" xfId="0" applyFill="1" applyBorder="1"/>
    <xf numFmtId="0" fontId="0" fillId="0" borderId="2" xfId="0" applyBorder="1"/>
    <xf numFmtId="0" fontId="60" fillId="31" borderId="2" xfId="19" applyFont="1" applyBorder="1"/>
    <xf numFmtId="0" fontId="71" fillId="13" borderId="5" xfId="0" applyFont="1" applyFill="1" applyBorder="1"/>
    <xf numFmtId="0" fontId="69" fillId="13" borderId="0" xfId="0" applyFont="1" applyFill="1"/>
    <xf numFmtId="0" fontId="69" fillId="15" borderId="5" xfId="0" applyFont="1" applyFill="1" applyBorder="1"/>
    <xf numFmtId="0" fontId="69" fillId="15" borderId="5" xfId="0" applyFont="1" applyFill="1" applyBorder="1" applyAlignment="1">
      <alignment horizontal="center"/>
    </xf>
    <xf numFmtId="0" fontId="72" fillId="0" borderId="5" xfId="0" applyFont="1" applyBorder="1" applyAlignment="1">
      <alignment horizontal="center" vertical="center" wrapText="1"/>
    </xf>
    <xf numFmtId="0" fontId="73" fillId="0" borderId="5" xfId="0" applyFont="1" applyBorder="1" applyAlignment="1">
      <alignment horizontal="center" vertical="center"/>
    </xf>
    <xf numFmtId="0" fontId="73" fillId="0" borderId="5" xfId="0" applyFont="1" applyBorder="1" applyAlignment="1">
      <alignment horizontal="center"/>
    </xf>
    <xf numFmtId="2" fontId="73" fillId="0" borderId="5" xfId="0" applyNumberFormat="1" applyFont="1" applyBorder="1" applyAlignment="1">
      <alignment horizontal="center"/>
    </xf>
    <xf numFmtId="169" fontId="54" fillId="14" borderId="35" xfId="0" applyNumberFormat="1" applyFont="1" applyFill="1" applyBorder="1" applyAlignment="1">
      <alignment horizontal="center" vertical="center"/>
    </xf>
    <xf numFmtId="169" fontId="53" fillId="0" borderId="0" xfId="0" applyNumberFormat="1" applyFont="1" applyAlignment="1">
      <alignment horizontal="center" vertical="center"/>
    </xf>
    <xf numFmtId="169" fontId="52" fillId="15" borderId="0" xfId="0" applyNumberFormat="1" applyFont="1" applyFill="1" applyAlignment="1">
      <alignment horizontal="center" vertical="center" wrapText="1"/>
    </xf>
    <xf numFmtId="169" fontId="53" fillId="0" borderId="0" xfId="0" applyNumberFormat="1" applyFont="1" applyAlignment="1">
      <alignment horizontal="center" vertical="center" wrapText="1"/>
    </xf>
    <xf numFmtId="169" fontId="0" fillId="0" borderId="0" xfId="0" applyNumberFormat="1"/>
    <xf numFmtId="0" fontId="0" fillId="0" borderId="0" xfId="0"/>
    <xf numFmtId="0" fontId="0" fillId="0" borderId="0" xfId="0" applyFill="1" applyBorder="1"/>
    <xf numFmtId="0" fontId="37" fillId="0" borderId="0" xfId="0" applyFont="1" applyAlignment="1">
      <alignment vertical="center"/>
    </xf>
    <xf numFmtId="0" fontId="12" fillId="16" borderId="10" xfId="10" applyNumberFormat="1" applyFont="1" applyFill="1" applyBorder="1" applyAlignment="1">
      <alignment horizontal="left" vertical="center" wrapText="1"/>
    </xf>
    <xf numFmtId="0" fontId="38" fillId="0" borderId="0" xfId="0" applyFont="1" applyAlignment="1">
      <alignment vertical="center"/>
    </xf>
    <xf numFmtId="0" fontId="29" fillId="0" borderId="0" xfId="0" applyFont="1" applyAlignment="1">
      <alignment vertical="center"/>
    </xf>
    <xf numFmtId="4" fontId="83" fillId="18" borderId="70" xfId="22" applyNumberFormat="1" applyFont="1" applyFill="1" applyBorder="1" applyAlignment="1">
      <alignment horizontal="left" vertical="center" wrapText="1"/>
    </xf>
    <xf numFmtId="4" fontId="83" fillId="18" borderId="70" xfId="22" applyNumberFormat="1" applyFont="1" applyFill="1" applyBorder="1" applyAlignment="1">
      <alignment vertical="center" wrapText="1"/>
    </xf>
    <xf numFmtId="4" fontId="83" fillId="18" borderId="70" xfId="0" applyNumberFormat="1" applyFont="1" applyFill="1" applyBorder="1" applyAlignment="1">
      <alignment vertical="center"/>
    </xf>
    <xf numFmtId="4" fontId="83" fillId="18" borderId="70" xfId="23" applyNumberFormat="1" applyFont="1" applyFill="1" applyBorder="1" applyAlignment="1">
      <alignment vertical="center" wrapText="1" readingOrder="1"/>
    </xf>
    <xf numFmtId="0" fontId="0" fillId="0" borderId="0" xfId="0" applyAlignment="1">
      <alignment horizontal="left"/>
    </xf>
    <xf numFmtId="0" fontId="0" fillId="0" borderId="0" xfId="0" applyAlignment="1">
      <alignment wrapText="1"/>
    </xf>
    <xf numFmtId="49" fontId="8" fillId="38" borderId="5" xfId="0" applyNumberFormat="1" applyFont="1" applyFill="1" applyBorder="1" applyAlignment="1">
      <alignment vertical="top" wrapText="1"/>
    </xf>
    <xf numFmtId="0" fontId="92" fillId="0" borderId="4" xfId="0" applyFont="1" applyBorder="1" applyAlignment="1">
      <alignment horizontal="left" wrapText="1"/>
    </xf>
    <xf numFmtId="0" fontId="93" fillId="0" borderId="5" xfId="12" applyFont="1" applyBorder="1" applyAlignment="1">
      <alignment horizontal="center" vertical="center" wrapText="1"/>
    </xf>
    <xf numFmtId="0" fontId="93" fillId="0" borderId="21" xfId="12" applyFont="1" applyBorder="1" applyAlignment="1">
      <alignment horizontal="center" vertical="center" wrapText="1"/>
    </xf>
    <xf numFmtId="0" fontId="43" fillId="0" borderId="5" xfId="12" applyFont="1" applyBorder="1" applyAlignment="1">
      <alignment horizontal="left" vertical="top" wrapText="1"/>
    </xf>
    <xf numFmtId="171" fontId="94" fillId="0" borderId="21" xfId="0" applyNumberFormat="1" applyFont="1" applyBorder="1" applyAlignment="1">
      <alignment horizontal="right" vertical="center" wrapText="1"/>
    </xf>
    <xf numFmtId="172" fontId="94" fillId="0" borderId="21" xfId="0" applyNumberFormat="1" applyFont="1" applyBorder="1" applyAlignment="1">
      <alignment horizontal="right" vertical="center" wrapText="1"/>
    </xf>
    <xf numFmtId="4" fontId="95" fillId="11" borderId="5" xfId="0" applyNumberFormat="1" applyFont="1" applyFill="1" applyBorder="1" applyAlignment="1">
      <alignment horizontal="right" vertical="center" wrapText="1"/>
    </xf>
    <xf numFmtId="4" fontId="95" fillId="0" borderId="5" xfId="0" applyNumberFormat="1" applyFont="1" applyBorder="1" applyAlignment="1">
      <alignment horizontal="center" wrapText="1"/>
    </xf>
    <xf numFmtId="4" fontId="95" fillId="0" borderId="5" xfId="0" applyNumberFormat="1" applyFont="1" applyBorder="1" applyAlignment="1">
      <alignment horizontal="right" vertical="center" wrapText="1"/>
    </xf>
    <xf numFmtId="0" fontId="94" fillId="0" borderId="4" xfId="0" applyFont="1" applyBorder="1" applyAlignment="1">
      <alignment vertical="top" wrapText="1"/>
    </xf>
    <xf numFmtId="171" fontId="94" fillId="0" borderId="21" xfId="0" applyNumberFormat="1" applyFont="1" applyBorder="1" applyAlignment="1">
      <alignment wrapText="1"/>
    </xf>
    <xf numFmtId="0" fontId="97" fillId="0" borderId="5" xfId="0" applyFont="1" applyBorder="1" applyAlignment="1">
      <alignment horizontal="right" vertical="center" wrapText="1"/>
    </xf>
    <xf numFmtId="0" fontId="99" fillId="15" borderId="5" xfId="24" applyNumberFormat="1" applyFont="1" applyFill="1" applyBorder="1" applyAlignment="1">
      <alignment horizontal="left" vertical="top" wrapText="1"/>
    </xf>
    <xf numFmtId="174" fontId="97" fillId="15" borderId="5" xfId="24" applyNumberFormat="1" applyFont="1" applyFill="1" applyBorder="1" applyAlignment="1">
      <alignment horizontal="right" wrapText="1"/>
    </xf>
    <xf numFmtId="172" fontId="97" fillId="15" borderId="5" xfId="24" applyNumberFormat="1" applyFont="1" applyFill="1" applyBorder="1" applyAlignment="1">
      <alignment horizontal="right" wrapText="1"/>
    </xf>
    <xf numFmtId="3" fontId="100" fillId="15" borderId="5" xfId="0" applyNumberFormat="1" applyFont="1" applyFill="1" applyBorder="1"/>
    <xf numFmtId="0" fontId="97" fillId="18" borderId="5" xfId="24" applyNumberFormat="1" applyFont="1" applyFill="1" applyBorder="1" applyAlignment="1">
      <alignment horizontal="left" vertical="top" wrapText="1"/>
    </xf>
    <xf numFmtId="174" fontId="97" fillId="18" borderId="5" xfId="24" applyNumberFormat="1" applyFont="1" applyFill="1" applyBorder="1" applyAlignment="1">
      <alignment horizontal="right" wrapText="1"/>
    </xf>
    <xf numFmtId="172" fontId="97" fillId="18" borderId="5" xfId="24" applyNumberFormat="1" applyFont="1" applyFill="1" applyBorder="1" applyAlignment="1">
      <alignment horizontal="right" wrapText="1"/>
    </xf>
    <xf numFmtId="0" fontId="97" fillId="0" borderId="5" xfId="0" applyFont="1" applyBorder="1" applyAlignment="1">
      <alignment horizontal="right" wrapText="1"/>
    </xf>
    <xf numFmtId="173" fontId="92" fillId="39" borderId="4" xfId="0" applyNumberFormat="1" applyFont="1" applyFill="1" applyBorder="1" applyAlignment="1">
      <alignment vertical="top" wrapText="1"/>
    </xf>
    <xf numFmtId="172" fontId="92" fillId="39" borderId="21" xfId="0" applyNumberFormat="1" applyFont="1" applyFill="1" applyBorder="1" applyAlignment="1">
      <alignment wrapText="1"/>
    </xf>
    <xf numFmtId="165" fontId="92" fillId="39" borderId="21" xfId="0" applyNumberFormat="1" applyFont="1" applyFill="1" applyBorder="1" applyAlignment="1">
      <alignment wrapText="1"/>
    </xf>
    <xf numFmtId="0" fontId="93" fillId="0" borderId="52" xfId="12" applyFont="1" applyBorder="1" applyAlignment="1">
      <alignment horizontal="center" vertical="center" wrapText="1"/>
    </xf>
    <xf numFmtId="0" fontId="43" fillId="0" borderId="5" xfId="12" applyFont="1" applyBorder="1" applyAlignment="1">
      <alignment horizontal="left" wrapText="1"/>
    </xf>
    <xf numFmtId="172" fontId="94" fillId="0" borderId="21" xfId="0" applyNumberFormat="1" applyFont="1" applyBorder="1" applyAlignment="1">
      <alignment wrapText="1"/>
    </xf>
    <xf numFmtId="165" fontId="0" fillId="0" borderId="0" xfId="0" applyNumberFormat="1"/>
    <xf numFmtId="0" fontId="101" fillId="0" borderId="0" xfId="0" applyFont="1"/>
    <xf numFmtId="0" fontId="0" fillId="40" borderId="0" xfId="0" applyFill="1"/>
    <xf numFmtId="0" fontId="102" fillId="41" borderId="28" xfId="0" applyFont="1" applyFill="1" applyBorder="1" applyAlignment="1">
      <alignment vertical="center" wrapText="1"/>
    </xf>
    <xf numFmtId="0" fontId="102" fillId="41" borderId="10" xfId="0" applyFont="1" applyFill="1" applyBorder="1" applyAlignment="1">
      <alignment vertical="center" wrapText="1"/>
    </xf>
    <xf numFmtId="0" fontId="102" fillId="41" borderId="51" xfId="0" applyFont="1" applyFill="1" applyBorder="1" applyAlignment="1">
      <alignment vertical="center" wrapText="1"/>
    </xf>
    <xf numFmtId="0" fontId="103" fillId="0" borderId="31" xfId="0" applyFont="1" applyBorder="1" applyAlignment="1">
      <alignment vertical="center" wrapText="1"/>
    </xf>
    <xf numFmtId="49" fontId="104" fillId="0" borderId="5" xfId="0" applyNumberFormat="1" applyFont="1" applyBorder="1" applyAlignment="1">
      <alignment vertical="center" wrapText="1"/>
    </xf>
    <xf numFmtId="0" fontId="0" fillId="0" borderId="52" xfId="0" applyBorder="1" applyAlignment="1">
      <alignment horizontal="center" vertical="center"/>
    </xf>
    <xf numFmtId="165" fontId="0" fillId="0" borderId="52" xfId="0" applyNumberFormat="1" applyBorder="1" applyAlignment="1">
      <alignment horizontal="center" vertical="center"/>
    </xf>
    <xf numFmtId="49" fontId="104" fillId="0" borderId="11" xfId="0" applyNumberFormat="1" applyFont="1" applyBorder="1" applyAlignment="1">
      <alignment vertical="center" wrapText="1"/>
    </xf>
    <xf numFmtId="0" fontId="0" fillId="0" borderId="34" xfId="0" applyBorder="1" applyAlignment="1">
      <alignment horizontal="center" vertical="center"/>
    </xf>
    <xf numFmtId="49" fontId="104" fillId="0" borderId="0" xfId="0" applyNumberFormat="1" applyFont="1" applyFill="1" applyBorder="1" applyAlignment="1">
      <alignment vertical="center" wrapText="1"/>
    </xf>
    <xf numFmtId="49" fontId="8" fillId="42" borderId="5" xfId="0" applyNumberFormat="1" applyFont="1" applyFill="1" applyBorder="1" applyAlignment="1">
      <alignment vertical="top" wrapText="1"/>
    </xf>
    <xf numFmtId="0" fontId="99" fillId="15" borderId="5" xfId="24" applyNumberFormat="1" applyFont="1" applyFill="1" applyBorder="1" applyAlignment="1">
      <alignment horizontal="left" wrapText="1"/>
    </xf>
    <xf numFmtId="0" fontId="95" fillId="15" borderId="5" xfId="0" applyFont="1" applyFill="1" applyBorder="1" applyAlignment="1">
      <alignment horizontal="center" wrapText="1"/>
    </xf>
    <xf numFmtId="165" fontId="95" fillId="15" borderId="5" xfId="0" applyNumberFormat="1" applyFont="1" applyFill="1" applyBorder="1" applyAlignment="1">
      <alignment horizontal="center" wrapText="1"/>
    </xf>
    <xf numFmtId="173" fontId="105" fillId="0" borderId="4" xfId="0" applyNumberFormat="1" applyFont="1" applyBorder="1" applyAlignment="1">
      <alignment wrapText="1"/>
    </xf>
    <xf numFmtId="0" fontId="105" fillId="0" borderId="4" xfId="0" applyFont="1" applyBorder="1" applyAlignment="1">
      <alignment wrapText="1"/>
    </xf>
    <xf numFmtId="171" fontId="94" fillId="0" borderId="21" xfId="0" applyNumberFormat="1" applyFont="1" applyBorder="1" applyAlignment="1">
      <alignment horizontal="center" vertical="center" wrapText="1"/>
    </xf>
    <xf numFmtId="4" fontId="95" fillId="0" borderId="5" xfId="0" applyNumberFormat="1" applyFont="1" applyBorder="1" applyAlignment="1">
      <alignment horizontal="center" vertical="center" wrapText="1"/>
    </xf>
    <xf numFmtId="172" fontId="94" fillId="0" borderId="21" xfId="0" applyNumberFormat="1" applyFont="1" applyBorder="1" applyAlignment="1">
      <alignment horizontal="center" vertical="center" wrapText="1"/>
    </xf>
    <xf numFmtId="4" fontId="95" fillId="0" borderId="52" xfId="0" applyNumberFormat="1" applyFont="1" applyBorder="1" applyAlignment="1">
      <alignment horizontal="center" vertical="center" wrapText="1"/>
    </xf>
    <xf numFmtId="0" fontId="43" fillId="0" borderId="0" xfId="12" applyFont="1" applyAlignment="1">
      <alignment horizontal="left" wrapText="1"/>
    </xf>
    <xf numFmtId="4" fontId="95" fillId="0" borderId="0" xfId="0" applyNumberFormat="1" applyFont="1" applyAlignment="1">
      <alignment horizontal="center" wrapText="1"/>
    </xf>
    <xf numFmtId="172" fontId="94" fillId="0" borderId="0" xfId="0" applyNumberFormat="1" applyFont="1" applyAlignment="1">
      <alignment wrapText="1"/>
    </xf>
    <xf numFmtId="0" fontId="106" fillId="0" borderId="92" xfId="0" applyFont="1" applyBorder="1" applyAlignment="1">
      <alignment horizontal="center" vertical="center" wrapText="1"/>
    </xf>
    <xf numFmtId="0" fontId="106" fillId="0" borderId="93" xfId="0" applyFont="1" applyBorder="1" applyAlignment="1">
      <alignment horizontal="center" vertical="center" wrapText="1"/>
    </xf>
    <xf numFmtId="0" fontId="8" fillId="21" borderId="94" xfId="0" applyFont="1" applyFill="1" applyBorder="1" applyAlignment="1">
      <alignment wrapText="1"/>
    </xf>
    <xf numFmtId="0" fontId="8" fillId="21" borderId="95" xfId="0" applyFont="1" applyFill="1" applyBorder="1" applyAlignment="1">
      <alignment horizontal="right" wrapText="1"/>
    </xf>
    <xf numFmtId="0" fontId="103" fillId="43" borderId="94" xfId="0" applyFont="1" applyFill="1" applyBorder="1" applyAlignment="1">
      <alignment wrapText="1"/>
    </xf>
    <xf numFmtId="0" fontId="103" fillId="43" borderId="95" xfId="0" applyFont="1" applyFill="1" applyBorder="1" applyAlignment="1">
      <alignment wrapText="1"/>
    </xf>
    <xf numFmtId="0" fontId="103" fillId="43" borderId="95" xfId="0" applyFont="1" applyFill="1" applyBorder="1" applyAlignment="1">
      <alignment horizontal="right" wrapText="1"/>
    </xf>
    <xf numFmtId="0" fontId="8" fillId="21" borderId="96" xfId="0" applyFont="1" applyFill="1" applyBorder="1" applyAlignment="1">
      <alignment horizontal="right" wrapText="1"/>
    </xf>
    <xf numFmtId="49" fontId="8" fillId="42" borderId="12" xfId="0" applyNumberFormat="1" applyFont="1" applyFill="1" applyBorder="1" applyAlignment="1">
      <alignment vertical="top" wrapText="1"/>
    </xf>
    <xf numFmtId="0" fontId="7" fillId="0" borderId="0" xfId="0" applyFont="1"/>
    <xf numFmtId="0" fontId="96" fillId="0" borderId="17" xfId="12" applyFont="1" applyBorder="1" applyAlignment="1">
      <alignment vertical="center"/>
    </xf>
    <xf numFmtId="175" fontId="40" fillId="44" borderId="0" xfId="12" applyNumberFormat="1" applyFont="1" applyFill="1" applyAlignment="1">
      <alignment horizontal="center" wrapText="1"/>
    </xf>
    <xf numFmtId="0" fontId="40" fillId="44" borderId="0" xfId="12" applyFont="1" applyFill="1" applyAlignment="1">
      <alignment horizontal="center" wrapText="1"/>
    </xf>
    <xf numFmtId="0" fontId="39" fillId="45" borderId="0" xfId="12" applyFont="1" applyFill="1" applyAlignment="1">
      <alignment wrapText="1"/>
    </xf>
    <xf numFmtId="0" fontId="39" fillId="0" borderId="0" xfId="12" applyFont="1" applyAlignment="1">
      <alignment wrapText="1"/>
    </xf>
    <xf numFmtId="2" fontId="39" fillId="0" borderId="0" xfId="12" applyNumberFormat="1" applyFont="1" applyAlignment="1">
      <alignment horizontal="center"/>
    </xf>
    <xf numFmtId="0" fontId="39" fillId="0" borderId="0" xfId="12" applyFont="1" applyAlignment="1">
      <alignment horizontal="center"/>
    </xf>
    <xf numFmtId="4" fontId="39" fillId="45" borderId="0" xfId="12" applyNumberFormat="1" applyFont="1" applyFill="1" applyAlignment="1">
      <alignment horizontal="center"/>
    </xf>
    <xf numFmtId="0" fontId="64" fillId="44" borderId="0" xfId="12" applyFont="1" applyFill="1" applyAlignment="1">
      <alignment wrapText="1"/>
    </xf>
    <xf numFmtId="0" fontId="107" fillId="44" borderId="0" xfId="0" applyFont="1" applyFill="1"/>
    <xf numFmtId="4" fontId="64" fillId="44" borderId="0" xfId="12" applyNumberFormat="1" applyFont="1" applyFill="1" applyAlignment="1">
      <alignment horizontal="center"/>
    </xf>
    <xf numFmtId="0" fontId="0" fillId="0" borderId="0" xfId="0"/>
    <xf numFmtId="0" fontId="34" fillId="0" borderId="0" xfId="0" applyFont="1" applyAlignment="1">
      <alignment vertical="center"/>
    </xf>
    <xf numFmtId="1" fontId="12" fillId="0" borderId="5" xfId="14" applyNumberFormat="1" applyFont="1" applyBorder="1" applyAlignment="1" applyProtection="1">
      <alignment horizontal="center" vertical="center"/>
    </xf>
    <xf numFmtId="0" fontId="49" fillId="0" borderId="97" xfId="0" applyFont="1" applyBorder="1" applyAlignment="1">
      <alignment wrapText="1"/>
    </xf>
    <xf numFmtId="0" fontId="49" fillId="0" borderId="98" xfId="0" applyFont="1" applyBorder="1"/>
    <xf numFmtId="0" fontId="49" fillId="0" borderId="97" xfId="0" applyFont="1" applyBorder="1"/>
    <xf numFmtId="0" fontId="108" fillId="0" borderId="5" xfId="13" applyFont="1" applyBorder="1" applyAlignment="1">
      <alignment vertical="center" wrapText="1"/>
    </xf>
    <xf numFmtId="4" fontId="109" fillId="0" borderId="5" xfId="0" applyNumberFormat="1" applyFont="1" applyBorder="1"/>
    <xf numFmtId="0" fontId="0" fillId="0" borderId="5" xfId="0" applyBorder="1" applyAlignment="1">
      <alignment wrapText="1"/>
    </xf>
    <xf numFmtId="4" fontId="69" fillId="0" borderId="5" xfId="0" applyNumberFormat="1" applyFont="1" applyBorder="1"/>
    <xf numFmtId="9" fontId="43" fillId="0" borderId="5" xfId="14" applyFont="1" applyBorder="1" applyAlignment="1" applyProtection="1">
      <alignment horizontal="center" vertical="center"/>
    </xf>
    <xf numFmtId="1" fontId="43" fillId="0" borderId="2" xfId="14" applyNumberFormat="1" applyFont="1" applyBorder="1" applyAlignment="1" applyProtection="1">
      <alignment horizontal="left" vertical="center"/>
    </xf>
    <xf numFmtId="167" fontId="12" fillId="0" borderId="2" xfId="14" applyNumberFormat="1" applyFont="1" applyBorder="1" applyAlignment="1" applyProtection="1">
      <alignment horizontal="left" vertical="center"/>
    </xf>
    <xf numFmtId="167" fontId="12" fillId="0" borderId="11" xfId="14" applyNumberFormat="1" applyFont="1" applyBorder="1" applyAlignment="1" applyProtection="1">
      <alignment horizontal="left" vertical="center"/>
    </xf>
    <xf numFmtId="3" fontId="12" fillId="0" borderId="97" xfId="14" applyNumberFormat="1" applyFont="1" applyBorder="1" applyAlignment="1" applyProtection="1">
      <alignment horizontal="left" vertical="center"/>
    </xf>
    <xf numFmtId="0" fontId="31" fillId="0" borderId="0" xfId="0" applyFont="1" applyAlignment="1">
      <alignment vertical="center"/>
    </xf>
    <xf numFmtId="0" fontId="0" fillId="0" borderId="3" xfId="0" applyFill="1" applyBorder="1"/>
    <xf numFmtId="1" fontId="11" fillId="13" borderId="7" xfId="7" applyNumberFormat="1" applyFont="1" applyFill="1" applyBorder="1" applyAlignment="1">
      <alignment horizontal="center" vertical="center" wrapText="1"/>
    </xf>
    <xf numFmtId="1" fontId="12" fillId="16" borderId="5" xfId="14" applyNumberFormat="1" applyFont="1" applyFill="1" applyBorder="1" applyAlignment="1" applyProtection="1">
      <alignment horizontal="center" vertical="center"/>
    </xf>
    <xf numFmtId="1" fontId="12" fillId="16" borderId="2" xfId="14" applyNumberFormat="1" applyFont="1" applyFill="1" applyBorder="1" applyAlignment="1" applyProtection="1">
      <alignment horizontal="center" vertical="center"/>
    </xf>
    <xf numFmtId="1" fontId="12" fillId="20" borderId="2" xfId="14" applyNumberFormat="1" applyFont="1" applyFill="1" applyBorder="1" applyAlignment="1" applyProtection="1">
      <alignment horizontal="center" vertical="center"/>
    </xf>
    <xf numFmtId="1" fontId="12" fillId="0" borderId="2" xfId="14" applyNumberFormat="1" applyFont="1" applyBorder="1" applyAlignment="1" applyProtection="1">
      <alignment horizontal="center" vertical="center"/>
    </xf>
    <xf numFmtId="1" fontId="12" fillId="0" borderId="2" xfId="14" applyNumberFormat="1" applyFont="1" applyFill="1" applyBorder="1" applyAlignment="1" applyProtection="1">
      <alignment horizontal="center" vertical="center"/>
    </xf>
    <xf numFmtId="1" fontId="43" fillId="0" borderId="5" xfId="14" applyNumberFormat="1" applyFont="1" applyBorder="1" applyAlignment="1" applyProtection="1">
      <alignment horizontal="center" vertical="center"/>
    </xf>
    <xf numFmtId="1" fontId="43" fillId="0" borderId="2" xfId="14" applyNumberFormat="1" applyFont="1" applyBorder="1" applyAlignment="1" applyProtection="1">
      <alignment horizontal="center" vertical="center"/>
    </xf>
    <xf numFmtId="1" fontId="12" fillId="0" borderId="11" xfId="14" applyNumberFormat="1" applyFont="1" applyBorder="1" applyAlignment="1" applyProtection="1">
      <alignment horizontal="center" vertical="center"/>
    </xf>
    <xf numFmtId="1" fontId="12" fillId="16" borderId="11" xfId="14" applyNumberFormat="1" applyFont="1" applyFill="1" applyBorder="1" applyAlignment="1" applyProtection="1">
      <alignment horizontal="center" vertical="center"/>
    </xf>
    <xf numFmtId="1" fontId="12" fillId="0" borderId="97" xfId="14" applyNumberFormat="1" applyFont="1" applyBorder="1" applyAlignment="1" applyProtection="1">
      <alignment horizontal="center" vertical="center"/>
    </xf>
    <xf numFmtId="1" fontId="12" fillId="0" borderId="4" xfId="14" applyNumberFormat="1" applyFont="1" applyFill="1" applyBorder="1" applyAlignment="1" applyProtection="1">
      <alignment horizontal="center" vertical="center"/>
    </xf>
    <xf numFmtId="1" fontId="12" fillId="0" borderId="5" xfId="14" applyNumberFormat="1" applyFont="1" applyFill="1" applyBorder="1" applyAlignment="1" applyProtection="1">
      <alignment horizontal="center" vertical="center"/>
    </xf>
    <xf numFmtId="1" fontId="12" fillId="20" borderId="5" xfId="14" applyNumberFormat="1" applyFont="1" applyFill="1" applyBorder="1" applyAlignment="1" applyProtection="1">
      <alignment horizontal="center" vertical="center"/>
    </xf>
    <xf numFmtId="1" fontId="43" fillId="16" borderId="5" xfId="14" applyNumberFormat="1" applyFont="1" applyFill="1" applyBorder="1" applyAlignment="1" applyProtection="1">
      <alignment horizontal="center" vertical="center"/>
    </xf>
    <xf numFmtId="1" fontId="43" fillId="18" borderId="5" xfId="0" applyNumberFormat="1" applyFont="1" applyFill="1" applyBorder="1" applyAlignment="1">
      <alignment horizontal="center" vertical="center"/>
    </xf>
    <xf numFmtId="1" fontId="10" fillId="17" borderId="5" xfId="14" applyNumberFormat="1" applyFont="1" applyFill="1" applyBorder="1" applyAlignment="1">
      <alignment horizontal="center" vertical="center"/>
    </xf>
    <xf numFmtId="1" fontId="43" fillId="0" borderId="5" xfId="0" applyNumberFormat="1" applyFont="1" applyBorder="1" applyAlignment="1">
      <alignment horizontal="center" vertical="center" wrapText="1"/>
    </xf>
    <xf numFmtId="1" fontId="10" fillId="17" borderId="5" xfId="3" applyNumberFormat="1" applyFont="1" applyFill="1" applyBorder="1" applyAlignment="1" applyProtection="1">
      <alignment horizontal="center" vertical="center"/>
    </xf>
    <xf numFmtId="1" fontId="43" fillId="0" borderId="5" xfId="0" applyNumberFormat="1" applyFont="1" applyBorder="1" applyAlignment="1">
      <alignment horizontal="center" vertical="center"/>
    </xf>
    <xf numFmtId="1" fontId="12" fillId="17" borderId="5" xfId="0" applyNumberFormat="1" applyFont="1" applyFill="1" applyBorder="1" applyAlignment="1">
      <alignment horizontal="center" vertical="center" wrapText="1"/>
    </xf>
    <xf numFmtId="1" fontId="12" fillId="0" borderId="5" xfId="0" applyNumberFormat="1" applyFont="1" applyBorder="1" applyAlignment="1">
      <alignment horizontal="center" vertical="center" wrapText="1"/>
    </xf>
    <xf numFmtId="1" fontId="43" fillId="16" borderId="2" xfId="14" applyNumberFormat="1" applyFont="1" applyFill="1" applyBorder="1" applyAlignment="1" applyProtection="1">
      <alignment horizontal="center" vertical="center"/>
    </xf>
    <xf numFmtId="1" fontId="10" fillId="17" borderId="5" xfId="0" applyNumberFormat="1" applyFont="1" applyFill="1" applyBorder="1" applyAlignment="1">
      <alignment horizontal="center" vertical="center" wrapText="1"/>
    </xf>
    <xf numFmtId="0" fontId="0" fillId="0" borderId="0" xfId="0"/>
    <xf numFmtId="0" fontId="12" fillId="0" borderId="0" xfId="7" applyFont="1" applyFill="1" applyBorder="1" applyAlignment="1">
      <alignment horizontal="center" vertical="center"/>
    </xf>
    <xf numFmtId="0" fontId="111" fillId="0" borderId="0" xfId="0" applyFont="1" applyAlignment="1">
      <alignment vertical="center"/>
    </xf>
    <xf numFmtId="0" fontId="0" fillId="0" borderId="0" xfId="0" applyAlignment="1">
      <alignment horizontal="right"/>
    </xf>
    <xf numFmtId="0" fontId="112" fillId="0" borderId="0" xfId="0" applyFont="1" applyAlignment="1">
      <alignment horizontal="left" vertical="center"/>
    </xf>
    <xf numFmtId="0" fontId="112" fillId="0" borderId="0" xfId="0" applyFont="1" applyAlignment="1">
      <alignment horizontal="right" vertical="center"/>
    </xf>
    <xf numFmtId="0" fontId="112" fillId="0" borderId="97" xfId="0" applyFont="1" applyBorder="1" applyAlignment="1">
      <alignment horizontal="left" vertical="center"/>
    </xf>
    <xf numFmtId="0" fontId="112" fillId="0" borderId="31" xfId="0" applyFont="1" applyBorder="1" applyAlignment="1">
      <alignment horizontal="left" vertical="center"/>
    </xf>
    <xf numFmtId="0" fontId="112" fillId="0" borderId="5" xfId="0" applyFont="1" applyBorder="1" applyAlignment="1">
      <alignment horizontal="left" vertical="center"/>
    </xf>
    <xf numFmtId="0" fontId="112" fillId="0" borderId="52" xfId="0" applyFont="1" applyBorder="1" applyAlignment="1">
      <alignment horizontal="left" vertical="center"/>
    </xf>
    <xf numFmtId="0" fontId="114" fillId="0" borderId="80" xfId="0" applyNumberFormat="1" applyFont="1" applyBorder="1" applyAlignment="1">
      <alignment horizontal="left" vertical="center"/>
    </xf>
    <xf numFmtId="2" fontId="114" fillId="0" borderId="80" xfId="0" applyNumberFormat="1" applyFont="1" applyBorder="1" applyAlignment="1">
      <alignment horizontal="left" vertical="center"/>
    </xf>
    <xf numFmtId="0" fontId="114" fillId="0" borderId="81" xfId="0" applyNumberFormat="1" applyFont="1" applyBorder="1" applyAlignment="1">
      <alignment horizontal="left" vertical="center"/>
    </xf>
    <xf numFmtId="1" fontId="115" fillId="0" borderId="75" xfId="0" applyNumberFormat="1" applyFont="1" applyBorder="1" applyAlignment="1">
      <alignment horizontal="left" vertical="center"/>
    </xf>
    <xf numFmtId="1" fontId="115" fillId="0" borderId="89" xfId="0" applyNumberFormat="1" applyFont="1" applyBorder="1" applyAlignment="1">
      <alignment horizontal="left" vertical="center"/>
    </xf>
    <xf numFmtId="0" fontId="114" fillId="0" borderId="0" xfId="0" applyFont="1" applyBorder="1" applyAlignment="1">
      <alignment horizontal="left" vertical="center"/>
    </xf>
    <xf numFmtId="2" fontId="114" fillId="0" borderId="0" xfId="0" applyNumberFormat="1" applyFont="1" applyBorder="1" applyAlignment="1">
      <alignment horizontal="left" vertical="center"/>
    </xf>
    <xf numFmtId="1" fontId="114" fillId="0" borderId="0" xfId="0" applyNumberFormat="1" applyFont="1" applyBorder="1" applyAlignment="1">
      <alignment horizontal="left" vertical="center"/>
    </xf>
    <xf numFmtId="0" fontId="112" fillId="0" borderId="23" xfId="0" applyFont="1" applyBorder="1" applyAlignment="1">
      <alignment horizontal="left" vertical="center"/>
    </xf>
    <xf numFmtId="0" fontId="114" fillId="0" borderId="0" xfId="0" applyNumberFormat="1" applyFont="1" applyBorder="1" applyAlignment="1">
      <alignment horizontal="left" vertical="center"/>
    </xf>
    <xf numFmtId="1" fontId="91" fillId="47" borderId="75" xfId="0" applyNumberFormat="1" applyFont="1" applyFill="1" applyBorder="1" applyAlignment="1">
      <alignment horizontal="left" vertical="center"/>
    </xf>
    <xf numFmtId="1" fontId="91" fillId="47" borderId="89" xfId="0" applyNumberFormat="1" applyFont="1" applyFill="1" applyBorder="1" applyAlignment="1">
      <alignment horizontal="left" vertical="center"/>
    </xf>
    <xf numFmtId="1" fontId="91" fillId="0" borderId="0" xfId="0" applyNumberFormat="1" applyFont="1" applyBorder="1" applyAlignment="1">
      <alignment horizontal="left" vertical="center"/>
    </xf>
    <xf numFmtId="0" fontId="114" fillId="0" borderId="82" xfId="0" applyNumberFormat="1" applyFont="1" applyBorder="1" applyAlignment="1">
      <alignment horizontal="left" vertical="center"/>
    </xf>
    <xf numFmtId="1" fontId="91" fillId="47" borderId="0" xfId="0" applyNumberFormat="1" applyFont="1" applyFill="1" applyBorder="1" applyAlignment="1">
      <alignment horizontal="left" vertical="center"/>
    </xf>
    <xf numFmtId="1" fontId="91" fillId="47" borderId="82" xfId="0" applyNumberFormat="1" applyFont="1" applyFill="1" applyBorder="1" applyAlignment="1">
      <alignment horizontal="left" vertical="center"/>
    </xf>
    <xf numFmtId="1" fontId="114" fillId="0" borderId="75" xfId="0" applyNumberFormat="1" applyFont="1" applyBorder="1" applyAlignment="1">
      <alignment horizontal="left" vertical="center"/>
    </xf>
    <xf numFmtId="1" fontId="114" fillId="0" borderId="89" xfId="0" applyNumberFormat="1" applyFont="1" applyBorder="1" applyAlignment="1">
      <alignment horizontal="left" vertical="center"/>
    </xf>
    <xf numFmtId="2" fontId="114" fillId="0" borderId="23" xfId="0" applyNumberFormat="1" applyFont="1" applyBorder="1" applyAlignment="1">
      <alignment horizontal="left" vertical="center"/>
    </xf>
    <xf numFmtId="2" fontId="114" fillId="0" borderId="88" xfId="0" applyNumberFormat="1" applyFont="1" applyBorder="1" applyAlignment="1">
      <alignment horizontal="left" vertical="center"/>
    </xf>
    <xf numFmtId="2" fontId="114" fillId="0" borderId="82" xfId="0" applyNumberFormat="1" applyFont="1" applyBorder="1" applyAlignment="1">
      <alignment horizontal="left" vertical="center"/>
    </xf>
    <xf numFmtId="1" fontId="91" fillId="47" borderId="49" xfId="0" applyNumberFormat="1" applyFont="1" applyFill="1" applyBorder="1" applyAlignment="1">
      <alignment horizontal="left" vertical="center"/>
    </xf>
    <xf numFmtId="1" fontId="91" fillId="47" borderId="84" xfId="0" applyNumberFormat="1" applyFont="1" applyFill="1" applyBorder="1" applyAlignment="1">
      <alignment horizontal="left" vertical="center"/>
    </xf>
    <xf numFmtId="0" fontId="112" fillId="46" borderId="49" xfId="0" applyFont="1" applyFill="1" applyBorder="1" applyAlignment="1">
      <alignment horizontal="left" vertical="center"/>
    </xf>
    <xf numFmtId="1" fontId="91" fillId="0" borderId="49" xfId="0" applyNumberFormat="1" applyFont="1" applyBorder="1" applyAlignment="1">
      <alignment horizontal="left" vertical="center"/>
    </xf>
    <xf numFmtId="0" fontId="112" fillId="0" borderId="73" xfId="0" applyFont="1" applyBorder="1" applyAlignment="1">
      <alignment horizontal="left" vertical="center"/>
    </xf>
    <xf numFmtId="0" fontId="112" fillId="0" borderId="8" xfId="0" applyFont="1" applyBorder="1" applyAlignment="1">
      <alignment horizontal="left" vertical="center"/>
    </xf>
    <xf numFmtId="0" fontId="112" fillId="0" borderId="55" xfId="0" applyFont="1" applyBorder="1" applyAlignment="1">
      <alignment horizontal="left" vertical="center"/>
    </xf>
    <xf numFmtId="0" fontId="62" fillId="46" borderId="18" xfId="0" applyFont="1" applyFill="1" applyBorder="1" applyAlignment="1">
      <alignment horizontal="left" vertical="center"/>
    </xf>
    <xf numFmtId="0" fontId="60" fillId="46" borderId="10" xfId="6" applyFont="1" applyFill="1" applyBorder="1" applyAlignment="1">
      <alignment horizontal="left" vertical="center"/>
    </xf>
    <xf numFmtId="0" fontId="60" fillId="46" borderId="60" xfId="6" applyFont="1" applyFill="1" applyBorder="1" applyAlignment="1">
      <alignment horizontal="left" vertical="center"/>
    </xf>
    <xf numFmtId="0" fontId="112" fillId="0" borderId="15" xfId="0" applyFont="1" applyBorder="1" applyAlignment="1">
      <alignment horizontal="left" vertical="center" wrapText="1"/>
    </xf>
    <xf numFmtId="0" fontId="112" fillId="0" borderId="12" xfId="0" applyFont="1" applyBorder="1" applyAlignment="1">
      <alignment horizontal="left" vertical="center"/>
    </xf>
    <xf numFmtId="2" fontId="112" fillId="0" borderId="5" xfId="0" applyNumberFormat="1" applyFont="1" applyBorder="1" applyAlignment="1">
      <alignment horizontal="center" vertical="center"/>
    </xf>
    <xf numFmtId="2" fontId="62" fillId="0" borderId="52" xfId="0" applyNumberFormat="1" applyFont="1" applyBorder="1" applyAlignment="1">
      <alignment horizontal="center" vertical="center"/>
    </xf>
    <xf numFmtId="0" fontId="119" fillId="0" borderId="15" xfId="0" applyFont="1" applyFill="1" applyBorder="1" applyAlignment="1">
      <alignment horizontal="left" vertical="center" wrapText="1"/>
    </xf>
    <xf numFmtId="0" fontId="119" fillId="0" borderId="5" xfId="0" applyFont="1" applyBorder="1" applyAlignment="1">
      <alignment horizontal="left" vertical="center"/>
    </xf>
    <xf numFmtId="0" fontId="119" fillId="0" borderId="12" xfId="0" applyFont="1" applyBorder="1" applyAlignment="1">
      <alignment horizontal="left" vertical="center"/>
    </xf>
    <xf numFmtId="2" fontId="119" fillId="0" borderId="5" xfId="0" applyNumberFormat="1" applyFont="1" applyBorder="1" applyAlignment="1">
      <alignment horizontal="center" vertical="center"/>
    </xf>
    <xf numFmtId="2" fontId="86" fillId="0" borderId="52" xfId="0" applyNumberFormat="1" applyFont="1" applyBorder="1" applyAlignment="1">
      <alignment horizontal="center" vertical="center"/>
    </xf>
    <xf numFmtId="0" fontId="112" fillId="0" borderId="15" xfId="0" applyFont="1" applyFill="1" applyBorder="1" applyAlignment="1">
      <alignment horizontal="left" vertical="center"/>
    </xf>
    <xf numFmtId="0" fontId="112" fillId="0" borderId="15" xfId="0" applyFont="1" applyBorder="1" applyAlignment="1">
      <alignment horizontal="left" vertical="center"/>
    </xf>
    <xf numFmtId="0" fontId="112" fillId="0" borderId="19" xfId="0" applyFont="1" applyBorder="1" applyAlignment="1">
      <alignment horizontal="left" vertical="center"/>
    </xf>
    <xf numFmtId="0" fontId="112" fillId="0" borderId="2" xfId="0" applyFont="1" applyBorder="1" applyAlignment="1">
      <alignment horizontal="left" vertical="center"/>
    </xf>
    <xf numFmtId="0" fontId="112" fillId="0" borderId="13" xfId="0" applyFont="1" applyBorder="1" applyAlignment="1">
      <alignment horizontal="left" vertical="center"/>
    </xf>
    <xf numFmtId="2" fontId="62" fillId="0" borderId="32" xfId="0" applyNumberFormat="1" applyFont="1" applyBorder="1" applyAlignment="1">
      <alignment horizontal="center" vertical="center"/>
    </xf>
    <xf numFmtId="0" fontId="117" fillId="0" borderId="61" xfId="0" applyFont="1" applyFill="1" applyBorder="1" applyAlignment="1">
      <alignment horizontal="left" vertical="center"/>
    </xf>
    <xf numFmtId="0" fontId="117" fillId="0" borderId="8" xfId="0" applyFont="1" applyBorder="1" applyAlignment="1">
      <alignment horizontal="left" vertical="center"/>
    </xf>
    <xf numFmtId="0" fontId="117" fillId="0" borderId="26" xfId="0" applyFont="1" applyBorder="1" applyAlignment="1">
      <alignment horizontal="left" vertical="center"/>
    </xf>
    <xf numFmtId="1" fontId="117" fillId="49" borderId="62" xfId="0" applyNumberFormat="1" applyFont="1" applyFill="1" applyBorder="1" applyAlignment="1">
      <alignment horizontal="center" vertical="center"/>
    </xf>
    <xf numFmtId="1" fontId="117" fillId="0" borderId="78" xfId="0" applyNumberFormat="1" applyFont="1" applyBorder="1" applyAlignment="1">
      <alignment horizontal="center" vertical="center"/>
    </xf>
    <xf numFmtId="1" fontId="117" fillId="0" borderId="17" xfId="0" applyNumberFormat="1" applyFont="1" applyBorder="1" applyAlignment="1">
      <alignment horizontal="center" vertical="center"/>
    </xf>
    <xf numFmtId="168" fontId="117" fillId="0" borderId="73" xfId="0" applyNumberFormat="1" applyFont="1" applyBorder="1" applyAlignment="1">
      <alignment horizontal="center" vertical="center"/>
    </xf>
    <xf numFmtId="168" fontId="117" fillId="0" borderId="54" xfId="0" applyNumberFormat="1" applyFont="1" applyBorder="1" applyAlignment="1">
      <alignment horizontal="center" vertical="center"/>
    </xf>
    <xf numFmtId="168" fontId="117" fillId="0" borderId="62" xfId="0" applyNumberFormat="1" applyFont="1" applyBorder="1" applyAlignment="1">
      <alignment horizontal="center" vertical="center"/>
    </xf>
    <xf numFmtId="0" fontId="118" fillId="0" borderId="0" xfId="0" applyFont="1" applyAlignment="1">
      <alignment horizontal="left" vertical="center"/>
    </xf>
    <xf numFmtId="1" fontId="76" fillId="0" borderId="61" xfId="0" applyNumberFormat="1" applyFont="1" applyBorder="1" applyAlignment="1">
      <alignment horizontal="center" vertical="center"/>
    </xf>
    <xf numFmtId="1" fontId="76" fillId="0" borderId="54" xfId="0" applyNumberFormat="1" applyFont="1" applyBorder="1" applyAlignment="1">
      <alignment horizontal="center" vertical="center"/>
    </xf>
    <xf numFmtId="1" fontId="76" fillId="49" borderId="8" xfId="0" applyNumberFormat="1" applyFont="1" applyFill="1" applyBorder="1" applyAlignment="1">
      <alignment horizontal="center" vertical="center"/>
    </xf>
    <xf numFmtId="1" fontId="76" fillId="0" borderId="54" xfId="0" applyNumberFormat="1" applyFont="1" applyBorder="1" applyAlignment="1">
      <alignment horizontal="right" vertical="center"/>
    </xf>
    <xf numFmtId="1" fontId="76" fillId="49" borderId="49" xfId="0" applyNumberFormat="1" applyFont="1" applyFill="1" applyBorder="1" applyAlignment="1">
      <alignment horizontal="center" vertical="center"/>
    </xf>
    <xf numFmtId="0" fontId="16" fillId="6" borderId="79" xfId="6" applyFont="1" applyBorder="1" applyAlignment="1">
      <alignment horizontal="left" vertical="center"/>
    </xf>
    <xf numFmtId="0" fontId="66" fillId="46" borderId="60" xfId="6" applyNumberFormat="1" applyFont="1" applyFill="1" applyBorder="1" applyAlignment="1">
      <alignment horizontal="left" vertical="center"/>
    </xf>
    <xf numFmtId="0" fontId="16" fillId="6" borderId="78" xfId="6" applyFont="1" applyBorder="1" applyAlignment="1">
      <alignment horizontal="left" vertical="center"/>
    </xf>
    <xf numFmtId="0" fontId="66" fillId="46" borderId="17" xfId="6" applyNumberFormat="1" applyFont="1" applyFill="1" applyBorder="1" applyAlignment="1">
      <alignment horizontal="left" vertical="center"/>
    </xf>
    <xf numFmtId="0" fontId="118" fillId="47" borderId="8" xfId="0" applyFont="1" applyFill="1" applyBorder="1" applyAlignment="1">
      <alignment horizontal="left" vertical="center"/>
    </xf>
    <xf numFmtId="167" fontId="16" fillId="3" borderId="8" xfId="2" applyNumberFormat="1" applyFont="1" applyBorder="1" applyAlignment="1" applyProtection="1">
      <alignment horizontal="left" vertical="center"/>
    </xf>
    <xf numFmtId="2" fontId="16" fillId="3" borderId="8" xfId="2" applyNumberFormat="1" applyFont="1" applyBorder="1" applyAlignment="1" applyProtection="1">
      <alignment horizontal="left" vertical="center"/>
    </xf>
    <xf numFmtId="167" fontId="16" fillId="3" borderId="55" xfId="2" applyNumberFormat="1" applyFont="1" applyBorder="1" applyAlignment="1" applyProtection="1">
      <alignment horizontal="left" vertical="center"/>
    </xf>
    <xf numFmtId="0" fontId="122" fillId="0" borderId="80" xfId="0" applyFont="1" applyBorder="1" applyAlignment="1">
      <alignment horizontal="left" vertical="center"/>
    </xf>
    <xf numFmtId="2" fontId="122" fillId="0" borderId="80" xfId="0" applyNumberFormat="1" applyFont="1" applyBorder="1" applyAlignment="1">
      <alignment horizontal="left" vertical="center"/>
    </xf>
    <xf numFmtId="0" fontId="122" fillId="0" borderId="81" xfId="0" applyFont="1" applyBorder="1" applyAlignment="1">
      <alignment horizontal="left" vertical="center"/>
    </xf>
    <xf numFmtId="1" fontId="124" fillId="0" borderId="0" xfId="0" applyNumberFormat="1" applyFont="1" applyBorder="1" applyAlignment="1">
      <alignment horizontal="left" vertical="center"/>
    </xf>
    <xf numFmtId="1" fontId="124" fillId="0" borderId="82" xfId="0" applyNumberFormat="1" applyFont="1" applyBorder="1" applyAlignment="1">
      <alignment horizontal="left" vertical="center"/>
    </xf>
    <xf numFmtId="0" fontId="16" fillId="0" borderId="75" xfId="0" applyFont="1" applyBorder="1" applyAlignment="1">
      <alignment horizontal="left" vertical="center"/>
    </xf>
    <xf numFmtId="0" fontId="118" fillId="0" borderId="75" xfId="0" applyFont="1" applyBorder="1" applyAlignment="1">
      <alignment horizontal="left" vertical="center"/>
    </xf>
    <xf numFmtId="1" fontId="120" fillId="0" borderId="75" xfId="0" applyNumberFormat="1" applyFont="1" applyBorder="1" applyAlignment="1">
      <alignment horizontal="left" vertical="center"/>
    </xf>
    <xf numFmtId="1" fontId="120" fillId="0" borderId="89" xfId="0" applyNumberFormat="1" applyFont="1" applyBorder="1" applyAlignment="1">
      <alignment horizontal="left" vertical="center"/>
    </xf>
    <xf numFmtId="0" fontId="122" fillId="0" borderId="0" xfId="0" applyFont="1" applyBorder="1" applyAlignment="1">
      <alignment horizontal="left" vertical="center"/>
    </xf>
    <xf numFmtId="2" fontId="122" fillId="0" borderId="0" xfId="0" applyNumberFormat="1" applyFont="1" applyBorder="1" applyAlignment="1">
      <alignment horizontal="left" vertical="center"/>
    </xf>
    <xf numFmtId="0" fontId="122" fillId="0" borderId="82" xfId="0" applyFont="1" applyBorder="1" applyAlignment="1">
      <alignment horizontal="left" vertical="center"/>
    </xf>
    <xf numFmtId="0" fontId="16" fillId="0" borderId="0" xfId="0" applyFont="1" applyBorder="1" applyAlignment="1">
      <alignment horizontal="left" vertical="center"/>
    </xf>
    <xf numFmtId="1" fontId="120" fillId="0" borderId="0" xfId="0" applyNumberFormat="1" applyFont="1" applyBorder="1" applyAlignment="1">
      <alignment horizontal="left" vertical="center"/>
    </xf>
    <xf numFmtId="0" fontId="118" fillId="47" borderId="100" xfId="0" applyFont="1" applyFill="1" applyBorder="1" applyAlignment="1">
      <alignment horizontal="left" vertical="center"/>
    </xf>
    <xf numFmtId="167" fontId="16" fillId="3" borderId="100" xfId="2" applyNumberFormat="1" applyFont="1" applyBorder="1" applyAlignment="1" applyProtection="1">
      <alignment horizontal="left" vertical="center"/>
    </xf>
    <xf numFmtId="167" fontId="16" fillId="3" borderId="101" xfId="2" applyNumberFormat="1" applyFont="1" applyBorder="1" applyAlignment="1" applyProtection="1">
      <alignment horizontal="left" vertical="center"/>
    </xf>
    <xf numFmtId="0" fontId="118" fillId="0" borderId="23" xfId="0" applyFont="1" applyBorder="1" applyAlignment="1">
      <alignment horizontal="left" vertical="center"/>
    </xf>
    <xf numFmtId="0" fontId="122" fillId="0" borderId="23" xfId="0" applyFont="1" applyBorder="1" applyAlignment="1">
      <alignment horizontal="left" vertical="center"/>
    </xf>
    <xf numFmtId="2" fontId="122" fillId="0" borderId="23" xfId="0" applyNumberFormat="1" applyFont="1" applyBorder="1" applyAlignment="1">
      <alignment horizontal="left" vertical="center"/>
    </xf>
    <xf numFmtId="0" fontId="122" fillId="0" borderId="88" xfId="0" applyFont="1" applyBorder="1" applyAlignment="1">
      <alignment horizontal="left" vertical="center"/>
    </xf>
    <xf numFmtId="1" fontId="124" fillId="0" borderId="23" xfId="0" applyNumberFormat="1" applyFont="1" applyBorder="1" applyAlignment="1">
      <alignment horizontal="left" vertical="center"/>
    </xf>
    <xf numFmtId="1" fontId="124" fillId="0" borderId="88" xfId="0" applyNumberFormat="1" applyFont="1" applyBorder="1" applyAlignment="1">
      <alignment horizontal="left" vertical="center"/>
    </xf>
    <xf numFmtId="0" fontId="118" fillId="0" borderId="49" xfId="0" applyFont="1" applyBorder="1" applyAlignment="1">
      <alignment horizontal="left" vertical="center"/>
    </xf>
    <xf numFmtId="0" fontId="16" fillId="0" borderId="49" xfId="0" applyFont="1" applyBorder="1" applyAlignment="1">
      <alignment horizontal="left" vertical="center"/>
    </xf>
    <xf numFmtId="0" fontId="112" fillId="0" borderId="49" xfId="0" applyFont="1" applyBorder="1" applyAlignment="1">
      <alignment horizontal="left" vertical="center"/>
    </xf>
    <xf numFmtId="1" fontId="120" fillId="0" borderId="49" xfId="0" applyNumberFormat="1" applyFont="1" applyBorder="1" applyAlignment="1">
      <alignment horizontal="left" vertical="center"/>
    </xf>
    <xf numFmtId="1" fontId="120" fillId="0" borderId="84" xfId="0" applyNumberFormat="1" applyFont="1" applyBorder="1" applyAlignment="1">
      <alignment horizontal="left" vertical="center"/>
    </xf>
    <xf numFmtId="0" fontId="120" fillId="47" borderId="75" xfId="0" applyFont="1" applyFill="1" applyBorder="1" applyAlignment="1">
      <alignment horizontal="left" vertical="center"/>
    </xf>
    <xf numFmtId="0" fontId="118" fillId="47" borderId="75" xfId="0" applyFont="1" applyFill="1" applyBorder="1" applyAlignment="1">
      <alignment horizontal="left" vertical="center"/>
    </xf>
    <xf numFmtId="0" fontId="118" fillId="47" borderId="89" xfId="0" applyFont="1" applyFill="1" applyBorder="1" applyAlignment="1">
      <alignment horizontal="left" vertical="center"/>
    </xf>
    <xf numFmtId="0" fontId="120" fillId="47" borderId="100" xfId="0" applyFont="1" applyFill="1" applyBorder="1" applyAlignment="1">
      <alignment horizontal="left" vertical="center"/>
    </xf>
    <xf numFmtId="2" fontId="118" fillId="47" borderId="100" xfId="0" applyNumberFormat="1" applyFont="1" applyFill="1" applyBorder="1" applyAlignment="1">
      <alignment horizontal="left" vertical="center"/>
    </xf>
    <xf numFmtId="0" fontId="118" fillId="47" borderId="101" xfId="0" applyFont="1" applyFill="1" applyBorder="1" applyAlignment="1">
      <alignment horizontal="left" vertical="center"/>
    </xf>
    <xf numFmtId="0" fontId="118" fillId="47" borderId="0" xfId="0" applyFont="1" applyFill="1" applyBorder="1" applyAlignment="1">
      <alignment horizontal="left" vertical="center"/>
    </xf>
    <xf numFmtId="167" fontId="16" fillId="3" borderId="103" xfId="2" applyNumberFormat="1" applyFont="1" applyBorder="1" applyAlignment="1" applyProtection="1">
      <alignment horizontal="left" vertical="center"/>
    </xf>
    <xf numFmtId="0" fontId="118" fillId="0" borderId="5" xfId="0" applyFont="1" applyBorder="1" applyAlignment="1">
      <alignment horizontal="left" vertical="center"/>
    </xf>
    <xf numFmtId="0" fontId="122" fillId="0" borderId="5" xfId="0" applyFont="1" applyBorder="1" applyAlignment="1">
      <alignment horizontal="left" vertical="center"/>
    </xf>
    <xf numFmtId="0" fontId="122" fillId="0" borderId="52" xfId="0" applyFont="1" applyBorder="1" applyAlignment="1">
      <alignment horizontal="left" vertical="center"/>
    </xf>
    <xf numFmtId="0" fontId="118" fillId="0" borderId="31" xfId="0" applyFont="1" applyBorder="1" applyAlignment="1">
      <alignment horizontal="left" vertical="center"/>
    </xf>
    <xf numFmtId="0" fontId="120" fillId="0" borderId="5" xfId="0" applyFont="1" applyBorder="1" applyAlignment="1">
      <alignment horizontal="left" vertical="center"/>
    </xf>
    <xf numFmtId="0" fontId="120" fillId="0" borderId="52" xfId="0" applyFont="1" applyBorder="1" applyAlignment="1">
      <alignment horizontal="left" vertical="center"/>
    </xf>
    <xf numFmtId="0" fontId="120" fillId="0" borderId="11" xfId="0" applyFont="1" applyBorder="1" applyAlignment="1">
      <alignment horizontal="left" vertical="center"/>
    </xf>
    <xf numFmtId="0" fontId="120" fillId="0" borderId="34" xfId="0" applyFont="1" applyBorder="1" applyAlignment="1">
      <alignment horizontal="left" vertical="center"/>
    </xf>
    <xf numFmtId="0" fontId="60" fillId="46" borderId="28" xfId="6" applyFont="1" applyFill="1" applyBorder="1" applyAlignment="1">
      <alignment horizontal="left" vertical="center"/>
    </xf>
    <xf numFmtId="0" fontId="60" fillId="46" borderId="51" xfId="6" applyFont="1" applyFill="1" applyBorder="1" applyAlignment="1">
      <alignment horizontal="left" vertical="center"/>
    </xf>
    <xf numFmtId="0" fontId="62" fillId="46" borderId="18" xfId="0" applyFont="1" applyFill="1" applyBorder="1" applyAlignment="1">
      <alignment horizontal="left" vertical="center" wrapText="1"/>
    </xf>
    <xf numFmtId="0" fontId="62" fillId="46" borderId="10" xfId="0" applyFont="1" applyFill="1" applyBorder="1" applyAlignment="1">
      <alignment horizontal="left" vertical="center" wrapText="1"/>
    </xf>
    <xf numFmtId="0" fontId="62" fillId="46" borderId="51" xfId="0" applyFont="1" applyFill="1" applyBorder="1" applyAlignment="1">
      <alignment horizontal="left" vertical="center" wrapText="1"/>
    </xf>
    <xf numFmtId="0" fontId="16" fillId="0" borderId="52" xfId="0" applyFont="1" applyBorder="1" applyAlignment="1">
      <alignment horizontal="left" vertical="center"/>
    </xf>
    <xf numFmtId="1" fontId="91" fillId="0" borderId="31" xfId="0" applyNumberFormat="1" applyFont="1" applyBorder="1" applyAlignment="1">
      <alignment horizontal="left" vertical="center"/>
    </xf>
    <xf numFmtId="1" fontId="91" fillId="0" borderId="5" xfId="0" applyNumberFormat="1" applyFont="1" applyBorder="1" applyAlignment="1">
      <alignment horizontal="left" vertical="center"/>
    </xf>
    <xf numFmtId="1" fontId="91" fillId="49" borderId="52" xfId="0" applyNumberFormat="1" applyFont="1" applyFill="1" applyBorder="1" applyAlignment="1">
      <alignment horizontal="left" vertical="center"/>
    </xf>
    <xf numFmtId="1" fontId="62" fillId="0" borderId="31" xfId="0" applyNumberFormat="1" applyFont="1" applyBorder="1" applyAlignment="1">
      <alignment horizontal="left" vertical="center"/>
    </xf>
    <xf numFmtId="1" fontId="62" fillId="0" borderId="5" xfId="0" applyNumberFormat="1" applyFont="1" applyBorder="1" applyAlignment="1">
      <alignment horizontal="left" vertical="center"/>
    </xf>
    <xf numFmtId="0" fontId="118" fillId="0" borderId="75" xfId="0" applyFont="1" applyBorder="1" applyAlignment="1">
      <alignment horizontal="left" vertical="center" wrapText="1"/>
    </xf>
    <xf numFmtId="0" fontId="118" fillId="0" borderId="11" xfId="0" applyFont="1" applyBorder="1" applyAlignment="1">
      <alignment horizontal="left" vertical="center"/>
    </xf>
    <xf numFmtId="1" fontId="91" fillId="0" borderId="33" xfId="0" applyNumberFormat="1" applyFont="1" applyBorder="1" applyAlignment="1">
      <alignment horizontal="left" vertical="center"/>
    </xf>
    <xf numFmtId="1" fontId="91" fillId="0" borderId="11" xfId="0" applyNumberFormat="1" applyFont="1" applyBorder="1" applyAlignment="1">
      <alignment horizontal="left" vertical="center"/>
    </xf>
    <xf numFmtId="1" fontId="91" fillId="49" borderId="34" xfId="0" applyNumberFormat="1" applyFont="1" applyFill="1" applyBorder="1" applyAlignment="1">
      <alignment horizontal="left" vertical="center"/>
    </xf>
    <xf numFmtId="1" fontId="62" fillId="0" borderId="33" xfId="0" applyNumberFormat="1" applyFont="1" applyBorder="1" applyAlignment="1">
      <alignment horizontal="left" vertical="center"/>
    </xf>
    <xf numFmtId="1" fontId="62" fillId="0" borderId="11" xfId="0" applyNumberFormat="1" applyFont="1" applyBorder="1" applyAlignment="1">
      <alignment horizontal="left" vertical="center"/>
    </xf>
    <xf numFmtId="1" fontId="91" fillId="0" borderId="79" xfId="0" applyNumberFormat="1" applyFont="1" applyBorder="1" applyAlignment="1">
      <alignment horizontal="left" vertical="center"/>
    </xf>
    <xf numFmtId="1" fontId="91" fillId="0" borderId="48" xfId="0" applyNumberFormat="1" applyFont="1" applyBorder="1" applyAlignment="1">
      <alignment horizontal="left" vertical="center"/>
    </xf>
    <xf numFmtId="1" fontId="91" fillId="49" borderId="51" xfId="0" applyNumberFormat="1" applyFont="1" applyFill="1" applyBorder="1" applyAlignment="1">
      <alignment horizontal="left" vertical="center"/>
    </xf>
    <xf numFmtId="1" fontId="91" fillId="0" borderId="105" xfId="0" applyNumberFormat="1" applyFont="1" applyBorder="1" applyAlignment="1">
      <alignment horizontal="left" vertical="center"/>
    </xf>
    <xf numFmtId="1" fontId="91" fillId="0" borderId="24" xfId="0" applyNumberFormat="1" applyFont="1" applyBorder="1" applyAlignment="1">
      <alignment horizontal="left" vertical="center"/>
    </xf>
    <xf numFmtId="0" fontId="117" fillId="0" borderId="73" xfId="0" applyFont="1" applyFill="1" applyBorder="1" applyAlignment="1">
      <alignment horizontal="left" vertical="center"/>
    </xf>
    <xf numFmtId="1" fontId="117" fillId="0" borderId="8" xfId="0" applyNumberFormat="1" applyFont="1" applyBorder="1" applyAlignment="1">
      <alignment horizontal="left" vertical="center"/>
    </xf>
    <xf numFmtId="2" fontId="117" fillId="0" borderId="8" xfId="0" applyNumberFormat="1" applyFont="1" applyBorder="1" applyAlignment="1">
      <alignment horizontal="left" vertical="center"/>
    </xf>
    <xf numFmtId="1" fontId="117" fillId="0" borderId="49" xfId="0" applyNumberFormat="1" applyFont="1" applyBorder="1" applyAlignment="1">
      <alignment horizontal="left" vertical="center"/>
    </xf>
    <xf numFmtId="1" fontId="117" fillId="0" borderId="73" xfId="0" applyNumberFormat="1" applyFont="1" applyBorder="1" applyAlignment="1">
      <alignment horizontal="left" vertical="center"/>
    </xf>
    <xf numFmtId="168" fontId="117" fillId="0" borderId="55" xfId="0" applyNumberFormat="1" applyFont="1" applyBorder="1" applyAlignment="1">
      <alignment horizontal="left" vertical="center"/>
    </xf>
    <xf numFmtId="1" fontId="117" fillId="0" borderId="72" xfId="0" applyNumberFormat="1" applyFont="1" applyBorder="1" applyAlignment="1">
      <alignment horizontal="center" vertical="center"/>
    </xf>
    <xf numFmtId="1" fontId="117" fillId="0" borderId="7" xfId="0" applyNumberFormat="1" applyFont="1" applyBorder="1" applyAlignment="1">
      <alignment horizontal="center" vertical="center"/>
    </xf>
    <xf numFmtId="1" fontId="117" fillId="49" borderId="106" xfId="0" applyNumberFormat="1" applyFont="1" applyFill="1" applyBorder="1" applyAlignment="1">
      <alignment horizontal="center" vertical="center"/>
    </xf>
    <xf numFmtId="168" fontId="117" fillId="0" borderId="15" xfId="0" applyNumberFormat="1" applyFont="1" applyBorder="1" applyAlignment="1">
      <alignment horizontal="center" vertical="center"/>
    </xf>
    <xf numFmtId="168" fontId="117" fillId="0" borderId="5" xfId="0" applyNumberFormat="1" applyFont="1" applyBorder="1" applyAlignment="1">
      <alignment horizontal="center" vertical="center"/>
    </xf>
    <xf numFmtId="168" fontId="117" fillId="0" borderId="52" xfId="0" applyNumberFormat="1" applyFont="1" applyBorder="1" applyAlignment="1">
      <alignment horizontal="center" vertical="center"/>
    </xf>
    <xf numFmtId="1" fontId="118" fillId="0" borderId="72" xfId="0" applyNumberFormat="1" applyFont="1" applyBorder="1" applyAlignment="1">
      <alignment horizontal="center" vertical="center"/>
    </xf>
    <xf numFmtId="1" fontId="118" fillId="0" borderId="7" xfId="0" applyNumberFormat="1" applyFont="1" applyBorder="1" applyAlignment="1">
      <alignment horizontal="center" vertical="center"/>
    </xf>
    <xf numFmtId="1" fontId="118" fillId="0" borderId="106" xfId="0" applyNumberFormat="1" applyFont="1" applyBorder="1" applyAlignment="1">
      <alignment horizontal="center" vertical="center"/>
    </xf>
    <xf numFmtId="1" fontId="117" fillId="49" borderId="49" xfId="0" applyNumberFormat="1" applyFont="1" applyFill="1" applyBorder="1" applyAlignment="1">
      <alignment horizontal="center" vertical="center"/>
    </xf>
    <xf numFmtId="168" fontId="117" fillId="0" borderId="83" xfId="0" applyNumberFormat="1" applyFont="1" applyBorder="1" applyAlignment="1">
      <alignment horizontal="center" vertical="center"/>
    </xf>
    <xf numFmtId="168" fontId="117" fillId="0" borderId="7" xfId="0" applyNumberFormat="1" applyFont="1" applyBorder="1" applyAlignment="1">
      <alignment horizontal="center" vertical="center"/>
    </xf>
    <xf numFmtId="168" fontId="117" fillId="0" borderId="106" xfId="0" applyNumberFormat="1" applyFont="1" applyBorder="1" applyAlignment="1">
      <alignment horizontal="center" vertical="center"/>
    </xf>
    <xf numFmtId="0" fontId="118" fillId="0" borderId="0" xfId="0" applyFont="1" applyBorder="1" applyAlignment="1">
      <alignment vertical="center"/>
    </xf>
    <xf numFmtId="0" fontId="112" fillId="0" borderId="80" xfId="0" applyFont="1" applyBorder="1" applyAlignment="1">
      <alignment horizontal="left" vertical="center"/>
    </xf>
    <xf numFmtId="0" fontId="62" fillId="46" borderId="8" xfId="0" applyFont="1" applyFill="1" applyBorder="1" applyAlignment="1">
      <alignment horizontal="left" vertical="center"/>
    </xf>
    <xf numFmtId="0" fontId="60" fillId="46" borderId="8" xfId="6" applyFont="1" applyFill="1" applyBorder="1" applyAlignment="1">
      <alignment horizontal="left" vertical="center"/>
    </xf>
    <xf numFmtId="0" fontId="62" fillId="46" borderId="8" xfId="0" applyFont="1" applyFill="1" applyBorder="1" applyAlignment="1">
      <alignment horizontal="center" vertical="center" wrapText="1"/>
    </xf>
    <xf numFmtId="0" fontId="62" fillId="46" borderId="55" xfId="0" applyFont="1" applyFill="1" applyBorder="1" applyAlignment="1">
      <alignment horizontal="center" vertical="center" wrapText="1"/>
    </xf>
    <xf numFmtId="1" fontId="91" fillId="49" borderId="0" xfId="0" applyNumberFormat="1" applyFont="1" applyFill="1" applyBorder="1" applyAlignment="1">
      <alignment horizontal="left" vertical="center"/>
    </xf>
    <xf numFmtId="1" fontId="62" fillId="0" borderId="79" xfId="0" applyNumberFormat="1" applyFont="1" applyBorder="1" applyAlignment="1">
      <alignment horizontal="center" vertical="center"/>
    </xf>
    <xf numFmtId="1" fontId="62" fillId="0" borderId="80" xfId="0" applyNumberFormat="1" applyFont="1" applyBorder="1" applyAlignment="1">
      <alignment horizontal="center" vertical="center"/>
    </xf>
    <xf numFmtId="1" fontId="91" fillId="49" borderId="81" xfId="0" applyNumberFormat="1" applyFont="1" applyFill="1" applyBorder="1" applyAlignment="1">
      <alignment horizontal="left" vertical="center"/>
    </xf>
    <xf numFmtId="1" fontId="126" fillId="0" borderId="79" xfId="0" applyNumberFormat="1" applyFont="1" applyBorder="1" applyAlignment="1">
      <alignment horizontal="right" vertical="center"/>
    </xf>
    <xf numFmtId="1" fontId="126" fillId="0" borderId="80" xfId="0" applyNumberFormat="1" applyFont="1" applyBorder="1" applyAlignment="1">
      <alignment horizontal="right" vertical="center"/>
    </xf>
    <xf numFmtId="1" fontId="62" fillId="0" borderId="81" xfId="0" applyNumberFormat="1" applyFont="1" applyBorder="1" applyAlignment="1">
      <alignment horizontal="right" vertical="center"/>
    </xf>
    <xf numFmtId="1" fontId="62" fillId="0" borderId="78" xfId="0" applyNumberFormat="1" applyFont="1" applyBorder="1" applyAlignment="1">
      <alignment horizontal="center" vertical="center"/>
    </xf>
    <xf numFmtId="1" fontId="62" fillId="0" borderId="0" xfId="0" applyNumberFormat="1" applyFont="1" applyBorder="1" applyAlignment="1">
      <alignment horizontal="center" vertical="center"/>
    </xf>
    <xf numFmtId="1" fontId="91" fillId="49" borderId="82" xfId="0" applyNumberFormat="1" applyFont="1" applyFill="1" applyBorder="1" applyAlignment="1">
      <alignment horizontal="left" vertical="center"/>
    </xf>
    <xf numFmtId="1" fontId="126" fillId="0" borderId="78" xfId="0" applyNumberFormat="1" applyFont="1" applyBorder="1" applyAlignment="1">
      <alignment horizontal="right" vertical="center"/>
    </xf>
    <xf numFmtId="1" fontId="126" fillId="0" borderId="0" xfId="0" applyNumberFormat="1" applyFont="1" applyBorder="1" applyAlignment="1">
      <alignment horizontal="right" vertical="center"/>
    </xf>
    <xf numFmtId="1" fontId="62" fillId="0" borderId="82" xfId="0" applyNumberFormat="1" applyFont="1" applyBorder="1" applyAlignment="1">
      <alignment horizontal="right" vertical="center"/>
    </xf>
    <xf numFmtId="1" fontId="91" fillId="49" borderId="49" xfId="0" applyNumberFormat="1" applyFont="1" applyFill="1" applyBorder="1" applyAlignment="1">
      <alignment horizontal="left" vertical="center"/>
    </xf>
    <xf numFmtId="1" fontId="62" fillId="0" borderId="83" xfId="0" applyNumberFormat="1" applyFont="1" applyBorder="1" applyAlignment="1">
      <alignment horizontal="center" vertical="center"/>
    </xf>
    <xf numFmtId="1" fontId="62" fillId="0" borderId="49" xfId="0" applyNumberFormat="1" applyFont="1" applyBorder="1" applyAlignment="1">
      <alignment horizontal="center" vertical="center"/>
    </xf>
    <xf numFmtId="1" fontId="91" fillId="49" borderId="84" xfId="0" applyNumberFormat="1" applyFont="1" applyFill="1" applyBorder="1" applyAlignment="1">
      <alignment horizontal="left" vertical="center"/>
    </xf>
    <xf numFmtId="168" fontId="126" fillId="0" borderId="83" xfId="0" applyNumberFormat="1" applyFont="1" applyBorder="1" applyAlignment="1">
      <alignment horizontal="right" vertical="center"/>
    </xf>
    <xf numFmtId="1" fontId="126" fillId="0" borderId="49" xfId="0" applyNumberFormat="1" applyFont="1" applyBorder="1" applyAlignment="1">
      <alignment horizontal="right" vertical="center"/>
    </xf>
    <xf numFmtId="168" fontId="62" fillId="0" borderId="84" xfId="0" applyNumberFormat="1" applyFont="1" applyBorder="1" applyAlignment="1">
      <alignment horizontal="right" vertical="center"/>
    </xf>
    <xf numFmtId="0" fontId="117" fillId="0" borderId="49" xfId="0" applyFont="1" applyBorder="1" applyAlignment="1">
      <alignment horizontal="left" vertical="center"/>
    </xf>
    <xf numFmtId="1" fontId="117" fillId="0" borderId="83" xfId="0" applyNumberFormat="1" applyFont="1" applyBorder="1" applyAlignment="1">
      <alignment horizontal="left" vertical="center"/>
    </xf>
    <xf numFmtId="1" fontId="117" fillId="0" borderId="49" xfId="0" applyNumberFormat="1" applyFont="1" applyBorder="1" applyAlignment="1">
      <alignment horizontal="right" vertical="center"/>
    </xf>
    <xf numFmtId="168" fontId="117" fillId="0" borderId="84" xfId="0" applyNumberFormat="1" applyFont="1" applyBorder="1" applyAlignment="1">
      <alignment horizontal="right" vertical="center"/>
    </xf>
    <xf numFmtId="1" fontId="118" fillId="0" borderId="0" xfId="0" applyNumberFormat="1" applyFont="1" applyBorder="1" applyAlignment="1">
      <alignment vertical="center"/>
    </xf>
    <xf numFmtId="0" fontId="12" fillId="0" borderId="0" xfId="13" applyFont="1" applyFill="1" applyBorder="1" applyAlignment="1">
      <alignment vertical="center"/>
    </xf>
    <xf numFmtId="0" fontId="62" fillId="46" borderId="68" xfId="0" applyFont="1" applyFill="1" applyBorder="1" applyAlignment="1">
      <alignment horizontal="center" vertical="center" wrapText="1"/>
    </xf>
    <xf numFmtId="1" fontId="112" fillId="0" borderId="80" xfId="0" applyNumberFormat="1" applyFont="1" applyBorder="1" applyAlignment="1">
      <alignment horizontal="right" vertical="center"/>
    </xf>
    <xf numFmtId="1" fontId="62" fillId="0" borderId="85" xfId="0" applyNumberFormat="1" applyFont="1" applyBorder="1" applyAlignment="1">
      <alignment horizontal="right" vertical="center"/>
    </xf>
    <xf numFmtId="1" fontId="112" fillId="0" borderId="0" xfId="0" applyNumberFormat="1" applyFont="1" applyBorder="1" applyAlignment="1">
      <alignment horizontal="right" vertical="center"/>
    </xf>
    <xf numFmtId="1" fontId="62" fillId="0" borderId="74" xfId="0" applyNumberFormat="1" applyFont="1" applyBorder="1" applyAlignment="1">
      <alignment horizontal="right" vertical="center"/>
    </xf>
    <xf numFmtId="1" fontId="117" fillId="0" borderId="55" xfId="0" applyNumberFormat="1" applyFont="1" applyBorder="1" applyAlignment="1">
      <alignment horizontal="left" vertical="center"/>
    </xf>
    <xf numFmtId="1" fontId="117" fillId="0" borderId="8" xfId="0" applyNumberFormat="1" applyFont="1" applyBorder="1" applyAlignment="1">
      <alignment horizontal="right" vertical="center"/>
    </xf>
    <xf numFmtId="168" fontId="117" fillId="0" borderId="68" xfId="0" applyNumberFormat="1" applyFont="1" applyBorder="1" applyAlignment="1">
      <alignment horizontal="right" vertical="center"/>
    </xf>
    <xf numFmtId="0" fontId="128" fillId="0" borderId="68" xfId="0" applyFont="1" applyBorder="1" applyAlignment="1">
      <alignment vertical="center"/>
    </xf>
    <xf numFmtId="0" fontId="22" fillId="0" borderId="0" xfId="0" applyFont="1"/>
    <xf numFmtId="0" fontId="22" fillId="0" borderId="0" xfId="0" applyFont="1" applyAlignment="1">
      <alignment horizontal="right"/>
    </xf>
    <xf numFmtId="0" fontId="40" fillId="50" borderId="73" xfId="0" applyFont="1" applyFill="1" applyBorder="1" applyAlignment="1">
      <alignment horizontal="center" vertical="center" wrapText="1"/>
    </xf>
    <xf numFmtId="0" fontId="130" fillId="50" borderId="68" xfId="0" applyFont="1" applyFill="1" applyBorder="1" applyAlignment="1">
      <alignment horizontal="center" vertical="center" wrapText="1"/>
    </xf>
    <xf numFmtId="3" fontId="131" fillId="37" borderId="61" xfId="21" applyNumberFormat="1" applyFont="1" applyFill="1" applyBorder="1" applyAlignment="1">
      <alignment horizontal="center" vertical="center" wrapText="1"/>
    </xf>
    <xf numFmtId="3" fontId="131" fillId="37" borderId="54" xfId="21"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40" fillId="18" borderId="102" xfId="0" applyFont="1" applyFill="1" applyBorder="1" applyAlignment="1">
      <alignment horizontal="center" vertical="top"/>
    </xf>
    <xf numFmtId="0" fontId="132" fillId="21" borderId="97" xfId="0" applyFont="1" applyFill="1" applyBorder="1" applyAlignment="1">
      <alignment vertical="center"/>
    </xf>
    <xf numFmtId="3" fontId="133" fillId="18" borderId="75" xfId="0" applyNumberFormat="1" applyFont="1" applyFill="1" applyBorder="1" applyAlignment="1">
      <alignment horizontal="left" vertical="top"/>
    </xf>
    <xf numFmtId="0" fontId="133" fillId="18" borderId="89" xfId="0" applyFont="1" applyFill="1" applyBorder="1" applyAlignment="1">
      <alignment horizontal="left" vertical="top"/>
    </xf>
    <xf numFmtId="0" fontId="40" fillId="0" borderId="78" xfId="0" applyFont="1" applyFill="1" applyBorder="1" applyAlignment="1">
      <alignment horizontal="center" vertical="top"/>
    </xf>
    <xf numFmtId="0" fontId="128" fillId="43" borderId="5" xfId="0" applyFont="1" applyFill="1" applyBorder="1" applyAlignment="1">
      <alignment vertical="center"/>
    </xf>
    <xf numFmtId="3" fontId="40" fillId="15" borderId="14" xfId="0" applyNumberFormat="1" applyFont="1" applyFill="1" applyBorder="1" applyAlignment="1">
      <alignment horizontal="left" vertical="top"/>
    </xf>
    <xf numFmtId="0" fontId="40" fillId="15" borderId="22" xfId="0" applyFont="1" applyFill="1" applyBorder="1" applyAlignment="1">
      <alignment horizontal="left" vertical="top"/>
    </xf>
    <xf numFmtId="0" fontId="40" fillId="0" borderId="77" xfId="0" applyFont="1" applyFill="1" applyBorder="1" applyAlignment="1">
      <alignment horizontal="center" vertical="top"/>
    </xf>
    <xf numFmtId="0" fontId="134" fillId="0" borderId="5" xfId="0" applyFont="1" applyBorder="1" applyAlignment="1">
      <alignment vertical="center"/>
    </xf>
    <xf numFmtId="3" fontId="43" fillId="37" borderId="15" xfId="0" applyNumberFormat="1" applyFont="1" applyFill="1" applyBorder="1" applyAlignment="1">
      <alignment horizontal="center" vertical="top" wrapText="1"/>
    </xf>
    <xf numFmtId="0" fontId="40" fillId="45" borderId="105" xfId="0" applyFont="1" applyFill="1" applyBorder="1" applyAlignment="1">
      <alignment horizontal="center" vertical="top"/>
    </xf>
    <xf numFmtId="0" fontId="128" fillId="51" borderId="11" xfId="0" applyFont="1" applyFill="1" applyBorder="1" applyAlignment="1">
      <alignment vertical="center"/>
    </xf>
    <xf numFmtId="3" fontId="40" fillId="45" borderId="25" xfId="0" applyNumberFormat="1" applyFont="1" applyFill="1" applyBorder="1" applyAlignment="1">
      <alignment horizontal="center" vertical="top"/>
    </xf>
    <xf numFmtId="0" fontId="40" fillId="18" borderId="99" xfId="0" applyFont="1" applyFill="1" applyBorder="1" applyAlignment="1">
      <alignment horizontal="center" vertical="top"/>
    </xf>
    <xf numFmtId="0" fontId="128" fillId="43" borderId="97" xfId="0" applyFont="1" applyFill="1" applyBorder="1" applyAlignment="1">
      <alignment vertical="center"/>
    </xf>
    <xf numFmtId="3" fontId="100" fillId="18" borderId="100" xfId="0" applyNumberFormat="1" applyFont="1" applyFill="1" applyBorder="1" applyAlignment="1">
      <alignment horizontal="left" vertical="top"/>
    </xf>
    <xf numFmtId="0" fontId="100" fillId="18" borderId="101" xfId="0" applyFont="1" applyFill="1" applyBorder="1" applyAlignment="1">
      <alignment horizontal="left" vertical="top"/>
    </xf>
    <xf numFmtId="3" fontId="100" fillId="45" borderId="104" xfId="0" applyNumberFormat="1" applyFont="1" applyFill="1" applyBorder="1" applyAlignment="1">
      <alignment horizontal="center" vertical="top"/>
    </xf>
    <xf numFmtId="3" fontId="100" fillId="45" borderId="11" xfId="0" applyNumberFormat="1" applyFont="1" applyFill="1" applyBorder="1" applyAlignment="1">
      <alignment horizontal="center" vertical="top"/>
    </xf>
    <xf numFmtId="0" fontId="128" fillId="0" borderId="97" xfId="0" applyFont="1" applyBorder="1" applyAlignment="1">
      <alignment vertical="center"/>
    </xf>
    <xf numFmtId="3" fontId="135" fillId="0" borderId="18" xfId="0" applyNumberFormat="1" applyFont="1" applyBorder="1" applyAlignment="1">
      <alignment vertical="top"/>
    </xf>
    <xf numFmtId="3" fontId="135" fillId="0" borderId="10" xfId="0" applyNumberFormat="1" applyFont="1" applyBorder="1" applyAlignment="1">
      <alignment vertical="top"/>
    </xf>
    <xf numFmtId="3" fontId="43" fillId="37" borderId="5" xfId="0" applyNumberFormat="1" applyFont="1" applyFill="1" applyBorder="1" applyAlignment="1">
      <alignment horizontal="center" vertical="top" wrapText="1"/>
    </xf>
    <xf numFmtId="0" fontId="40" fillId="45" borderId="86" xfId="0" applyFont="1" applyFill="1" applyBorder="1" applyAlignment="1">
      <alignment horizontal="center" vertical="top"/>
    </xf>
    <xf numFmtId="3" fontId="40" fillId="45" borderId="104" xfId="0" applyNumberFormat="1" applyFont="1" applyFill="1" applyBorder="1" applyAlignment="1">
      <alignment horizontal="center" vertical="top"/>
    </xf>
    <xf numFmtId="3" fontId="40" fillId="45" borderId="11" xfId="0" applyNumberFormat="1" applyFont="1" applyFill="1" applyBorder="1" applyAlignment="1">
      <alignment horizontal="center" vertical="top"/>
    </xf>
    <xf numFmtId="0" fontId="39" fillId="0" borderId="77" xfId="0" applyFont="1" applyFill="1" applyBorder="1" applyAlignment="1">
      <alignment horizontal="center" vertical="top"/>
    </xf>
    <xf numFmtId="3" fontId="40" fillId="45" borderId="19" xfId="0" applyNumberFormat="1" applyFont="1" applyFill="1" applyBorder="1" applyAlignment="1">
      <alignment horizontal="center" vertical="top"/>
    </xf>
    <xf numFmtId="3" fontId="40" fillId="45" borderId="2" xfId="0" applyNumberFormat="1" applyFont="1" applyFill="1" applyBorder="1" applyAlignment="1">
      <alignment horizontal="center" vertical="top"/>
    </xf>
    <xf numFmtId="3" fontId="135" fillId="0" borderId="100" xfId="0" applyNumberFormat="1" applyFont="1" applyBorder="1" applyAlignment="1">
      <alignment vertical="top"/>
    </xf>
    <xf numFmtId="0" fontId="40" fillId="45" borderId="83" xfId="0" applyFont="1" applyFill="1" applyBorder="1" applyAlignment="1">
      <alignment horizontal="left" vertical="top"/>
    </xf>
    <xf numFmtId="3" fontId="40" fillId="45" borderId="33" xfId="0" applyNumberFormat="1" applyFont="1" applyFill="1" applyBorder="1" applyAlignment="1">
      <alignment horizontal="center" vertical="top"/>
    </xf>
    <xf numFmtId="0" fontId="64" fillId="0" borderId="0" xfId="0" applyFont="1" applyFill="1" applyAlignment="1">
      <alignment horizontal="center" vertical="center"/>
    </xf>
    <xf numFmtId="0" fontId="130" fillId="0" borderId="78" xfId="0" applyFont="1" applyFill="1" applyBorder="1" applyAlignment="1">
      <alignment horizontal="left" vertical="center"/>
    </xf>
    <xf numFmtId="3" fontId="39" fillId="0" borderId="0" xfId="0" applyNumberFormat="1" applyFont="1" applyFill="1" applyBorder="1" applyAlignment="1">
      <alignment horizontal="center" vertical="center"/>
    </xf>
    <xf numFmtId="166" fontId="39" fillId="0" borderId="82" xfId="0" applyNumberFormat="1" applyFont="1" applyFill="1" applyBorder="1" applyAlignment="1">
      <alignment horizontal="left" vertical="center"/>
    </xf>
    <xf numFmtId="0" fontId="110" fillId="52" borderId="0" xfId="0" applyFont="1" applyFill="1" applyAlignment="1">
      <alignment horizontal="center" vertical="center"/>
    </xf>
    <xf numFmtId="0" fontId="110" fillId="52" borderId="83" xfId="0" applyFont="1" applyFill="1" applyBorder="1" applyAlignment="1">
      <alignment horizontal="left" vertical="center"/>
    </xf>
    <xf numFmtId="3" fontId="136" fillId="52" borderId="49" xfId="0" applyNumberFormat="1" applyFont="1" applyFill="1" applyBorder="1" applyAlignment="1">
      <alignment horizontal="center" vertical="center"/>
    </xf>
    <xf numFmtId="3" fontId="110" fillId="52" borderId="49" xfId="0" applyNumberFormat="1" applyFont="1" applyFill="1" applyBorder="1" applyAlignment="1">
      <alignment horizontal="center" vertical="center"/>
    </xf>
    <xf numFmtId="166" fontId="110" fillId="52" borderId="84" xfId="0" applyNumberFormat="1" applyFont="1" applyFill="1" applyBorder="1" applyAlignment="1">
      <alignment horizontal="left" vertical="center"/>
    </xf>
    <xf numFmtId="0" fontId="130" fillId="0" borderId="0" xfId="0" applyFont="1" applyFill="1" applyBorder="1" applyAlignment="1">
      <alignment horizontal="left" vertical="center"/>
    </xf>
    <xf numFmtId="166" fontId="39" fillId="0" borderId="0" xfId="0" applyNumberFormat="1" applyFont="1" applyFill="1" applyBorder="1" applyAlignment="1">
      <alignment horizontal="left" vertical="center"/>
    </xf>
    <xf numFmtId="4" fontId="7" fillId="0" borderId="0" xfId="0" applyNumberFormat="1" applyFont="1" applyFill="1" applyBorder="1"/>
    <xf numFmtId="4" fontId="82" fillId="0" borderId="0" xfId="0" applyNumberFormat="1" applyFont="1" applyFill="1" applyBorder="1" applyAlignment="1">
      <alignment horizontal="center" vertical="center"/>
    </xf>
    <xf numFmtId="4" fontId="83" fillId="0" borderId="70" xfId="22" applyNumberFormat="1" applyFont="1" applyFill="1" applyBorder="1" applyAlignment="1">
      <alignment horizontal="left" vertical="center" wrapText="1"/>
    </xf>
    <xf numFmtId="0" fontId="0" fillId="0" borderId="49" xfId="0" applyBorder="1" applyAlignment="1">
      <alignment horizontal="left"/>
    </xf>
    <xf numFmtId="0" fontId="22" fillId="0" borderId="0" xfId="0" applyFont="1" applyAlignment="1">
      <alignment horizontal="left"/>
    </xf>
    <xf numFmtId="1" fontId="112" fillId="0" borderId="5" xfId="0" applyNumberFormat="1" applyFont="1" applyBorder="1" applyAlignment="1">
      <alignment horizontal="left" vertical="center"/>
    </xf>
    <xf numFmtId="1" fontId="112" fillId="0" borderId="97" xfId="0" applyNumberFormat="1" applyFont="1" applyBorder="1" applyAlignment="1">
      <alignment horizontal="left" vertical="center"/>
    </xf>
    <xf numFmtId="2" fontId="0" fillId="0" borderId="0" xfId="0" applyNumberFormat="1" applyAlignment="1">
      <alignment horizontal="left"/>
    </xf>
    <xf numFmtId="0" fontId="62" fillId="46" borderId="28" xfId="6" applyFont="1" applyFill="1" applyBorder="1" applyAlignment="1">
      <alignment horizontal="left" vertical="center"/>
    </xf>
    <xf numFmtId="0" fontId="62" fillId="46" borderId="10" xfId="6" applyFont="1" applyFill="1" applyBorder="1" applyAlignment="1">
      <alignment horizontal="left" vertical="center"/>
    </xf>
    <xf numFmtId="1" fontId="76" fillId="0" borderId="61" xfId="0" applyNumberFormat="1" applyFont="1" applyBorder="1" applyAlignment="1">
      <alignment horizontal="left" vertical="center"/>
    </xf>
    <xf numFmtId="2" fontId="76" fillId="0" borderId="54" xfId="0" applyNumberFormat="1" applyFont="1" applyBorder="1" applyAlignment="1">
      <alignment horizontal="left" vertical="center"/>
    </xf>
    <xf numFmtId="1" fontId="76" fillId="0" borderId="54" xfId="0" applyNumberFormat="1" applyFont="1" applyBorder="1" applyAlignment="1">
      <alignment horizontal="left" vertical="center"/>
    </xf>
    <xf numFmtId="1" fontId="117" fillId="0" borderId="72" xfId="0" applyNumberFormat="1" applyFont="1" applyBorder="1" applyAlignment="1">
      <alignment horizontal="left" vertical="center"/>
    </xf>
    <xf numFmtId="1" fontId="117" fillId="0" borderId="7" xfId="0" applyNumberFormat="1" applyFont="1" applyBorder="1" applyAlignment="1">
      <alignment horizontal="left" vertical="center"/>
    </xf>
    <xf numFmtId="1" fontId="118" fillId="0" borderId="72" xfId="0" applyNumberFormat="1" applyFont="1" applyBorder="1" applyAlignment="1">
      <alignment horizontal="left" vertical="center"/>
    </xf>
    <xf numFmtId="1" fontId="118" fillId="0" borderId="7" xfId="0" applyNumberFormat="1" applyFont="1" applyBorder="1" applyAlignment="1">
      <alignment horizontal="left" vertical="center"/>
    </xf>
    <xf numFmtId="1" fontId="118" fillId="0" borderId="106" xfId="0" applyNumberFormat="1" applyFont="1" applyBorder="1" applyAlignment="1">
      <alignment horizontal="left" vertical="center"/>
    </xf>
    <xf numFmtId="166" fontId="131" fillId="37" borderId="62" xfId="21" applyNumberFormat="1" applyFont="1" applyFill="1" applyBorder="1" applyAlignment="1">
      <alignment horizontal="left" vertical="center" wrapText="1"/>
    </xf>
    <xf numFmtId="2" fontId="0" fillId="0" borderId="0" xfId="0" applyNumberFormat="1" applyAlignment="1">
      <alignment horizontal="left" vertical="center"/>
    </xf>
    <xf numFmtId="0" fontId="0" fillId="0" borderId="0" xfId="0" applyAlignment="1">
      <alignment horizontal="left" vertical="center"/>
    </xf>
    <xf numFmtId="37" fontId="43" fillId="37" borderId="22" xfId="0" applyNumberFormat="1" applyFont="1" applyFill="1" applyBorder="1" applyAlignment="1">
      <alignment horizontal="left" vertical="top" wrapText="1"/>
    </xf>
    <xf numFmtId="166" fontId="40" fillId="45" borderId="91" xfId="0" applyNumberFormat="1" applyFont="1" applyFill="1" applyBorder="1" applyAlignment="1">
      <alignment horizontal="left" vertical="top"/>
    </xf>
    <xf numFmtId="166" fontId="100" fillId="45" borderId="34" xfId="0" applyNumberFormat="1" applyFont="1" applyFill="1" applyBorder="1" applyAlignment="1">
      <alignment horizontal="left" vertical="top"/>
    </xf>
    <xf numFmtId="0" fontId="135" fillId="0" borderId="51" xfId="0" applyFont="1" applyBorder="1" applyAlignment="1">
      <alignment horizontal="left" vertical="top"/>
    </xf>
    <xf numFmtId="0" fontId="43" fillId="37" borderId="52" xfId="0" applyNumberFormat="1" applyFont="1" applyFill="1" applyBorder="1" applyAlignment="1">
      <alignment horizontal="left" vertical="top" wrapText="1"/>
    </xf>
    <xf numFmtId="166" fontId="40" fillId="45" borderId="34" xfId="0" applyNumberFormat="1" applyFont="1" applyFill="1" applyBorder="1" applyAlignment="1">
      <alignment horizontal="left" vertical="top"/>
    </xf>
    <xf numFmtId="166" fontId="40" fillId="45" borderId="32" xfId="0" applyNumberFormat="1" applyFont="1" applyFill="1" applyBorder="1" applyAlignment="1">
      <alignment horizontal="left" vertical="top"/>
    </xf>
    <xf numFmtId="0" fontId="135" fillId="0" borderId="101" xfId="0" applyFont="1" applyBorder="1" applyAlignment="1">
      <alignment horizontal="left" vertical="top"/>
    </xf>
    <xf numFmtId="0" fontId="43" fillId="37" borderId="22" xfId="0" applyNumberFormat="1" applyFont="1" applyFill="1" applyBorder="1" applyAlignment="1">
      <alignment horizontal="left" vertical="top" wrapText="1"/>
    </xf>
    <xf numFmtId="4" fontId="82" fillId="0" borderId="0" xfId="0" applyNumberFormat="1" applyFont="1" applyFill="1" applyBorder="1" applyAlignment="1">
      <alignment horizontal="left" vertical="center"/>
    </xf>
    <xf numFmtId="4" fontId="7" fillId="0" borderId="5" xfId="22" applyNumberFormat="1" applyFont="1" applyFill="1" applyBorder="1" applyAlignment="1">
      <alignment horizontal="left" vertical="center" wrapText="1"/>
    </xf>
    <xf numFmtId="4" fontId="7" fillId="0" borderId="5" xfId="23" applyNumberFormat="1" applyFont="1" applyFill="1" applyBorder="1" applyAlignment="1">
      <alignment horizontal="left" vertical="center" wrapText="1"/>
    </xf>
    <xf numFmtId="0" fontId="62" fillId="46" borderId="60" xfId="6" applyFont="1" applyFill="1" applyBorder="1" applyAlignment="1">
      <alignment horizontal="left" vertical="center"/>
    </xf>
    <xf numFmtId="1" fontId="62" fillId="49" borderId="22" xfId="0" applyNumberFormat="1" applyFont="1" applyFill="1" applyBorder="1" applyAlignment="1">
      <alignment horizontal="left" vertical="center"/>
    </xf>
    <xf numFmtId="1" fontId="16" fillId="3" borderId="100" xfId="2" applyNumberFormat="1" applyFont="1" applyBorder="1" applyAlignment="1" applyProtection="1">
      <alignment horizontal="left" vertical="center"/>
    </xf>
    <xf numFmtId="1" fontId="122" fillId="0" borderId="23" xfId="0" applyNumberFormat="1" applyFont="1" applyBorder="1" applyAlignment="1">
      <alignment horizontal="left" vertical="center"/>
    </xf>
    <xf numFmtId="1" fontId="118" fillId="47" borderId="75" xfId="0" applyNumberFormat="1" applyFont="1" applyFill="1" applyBorder="1" applyAlignment="1">
      <alignment horizontal="left" vertical="center"/>
    </xf>
    <xf numFmtId="1" fontId="122" fillId="0" borderId="5" xfId="0" applyNumberFormat="1" applyFont="1" applyBorder="1" applyAlignment="1">
      <alignment horizontal="left" vertical="center"/>
    </xf>
    <xf numFmtId="1" fontId="120" fillId="0" borderId="5" xfId="0" applyNumberFormat="1" applyFont="1" applyBorder="1" applyAlignment="1">
      <alignment horizontal="left" vertical="center"/>
    </xf>
    <xf numFmtId="1" fontId="120" fillId="0" borderId="11" xfId="0" applyNumberFormat="1" applyFont="1" applyBorder="1" applyAlignment="1">
      <alignment horizontal="left" vertical="center"/>
    </xf>
    <xf numFmtId="1" fontId="60" fillId="46" borderId="10" xfId="6" applyNumberFormat="1" applyFont="1" applyFill="1" applyBorder="1" applyAlignment="1">
      <alignment horizontal="left" vertical="center"/>
    </xf>
    <xf numFmtId="0" fontId="118" fillId="0" borderId="15" xfId="0" applyFont="1" applyBorder="1" applyAlignment="1">
      <alignment horizontal="left" vertical="center"/>
    </xf>
    <xf numFmtId="0" fontId="118" fillId="0" borderId="87" xfId="0" applyFont="1" applyBorder="1" applyAlignment="1">
      <alignment horizontal="left" vertical="center"/>
    </xf>
    <xf numFmtId="0" fontId="120" fillId="47" borderId="65" xfId="0" applyFont="1" applyFill="1" applyBorder="1" applyAlignment="1">
      <alignment horizontal="left" vertical="center"/>
    </xf>
    <xf numFmtId="0" fontId="122" fillId="0" borderId="70" xfId="0" applyFont="1" applyBorder="1" applyAlignment="1">
      <alignment horizontal="left" vertical="center"/>
    </xf>
    <xf numFmtId="0" fontId="125" fillId="0" borderId="67" xfId="0" applyFont="1" applyBorder="1" applyAlignment="1">
      <alignment horizontal="left" vertical="center"/>
    </xf>
    <xf numFmtId="0" fontId="118" fillId="0" borderId="14" xfId="0" applyFont="1" applyBorder="1" applyAlignment="1">
      <alignment horizontal="left" vertical="center"/>
    </xf>
    <xf numFmtId="0" fontId="118" fillId="0" borderId="25" xfId="0" applyFont="1" applyBorder="1" applyAlignment="1">
      <alignment horizontal="left" vertical="center"/>
    </xf>
    <xf numFmtId="167" fontId="16" fillId="3" borderId="98" xfId="2" applyNumberFormat="1" applyFont="1" applyBorder="1" applyAlignment="1" applyProtection="1">
      <alignment horizontal="left" vertical="center"/>
    </xf>
    <xf numFmtId="0" fontId="122" fillId="0" borderId="15" xfId="0" applyFont="1" applyBorder="1" applyAlignment="1">
      <alignment horizontal="left" vertical="center"/>
    </xf>
    <xf numFmtId="0" fontId="120" fillId="0" borderId="15" xfId="0" applyFont="1" applyBorder="1" applyAlignment="1">
      <alignment horizontal="left" vertical="center"/>
    </xf>
    <xf numFmtId="0" fontId="120" fillId="0" borderId="104" xfId="0" applyFont="1" applyBorder="1" applyAlignment="1">
      <alignment horizontal="left" vertical="center"/>
    </xf>
    <xf numFmtId="0" fontId="118" fillId="47" borderId="65" xfId="0" applyFont="1" applyFill="1" applyBorder="1" applyAlignment="1">
      <alignment horizontal="left" vertical="center"/>
    </xf>
    <xf numFmtId="0" fontId="123" fillId="18" borderId="71" xfId="2" applyFont="1" applyFill="1" applyBorder="1" applyAlignment="1">
      <alignment horizontal="left" vertical="center"/>
    </xf>
    <xf numFmtId="1" fontId="124" fillId="0" borderId="74" xfId="0" applyNumberFormat="1" applyFont="1" applyBorder="1" applyAlignment="1">
      <alignment horizontal="left" vertical="center"/>
    </xf>
    <xf numFmtId="0" fontId="112" fillId="0" borderId="71" xfId="0" applyFont="1" applyBorder="1" applyAlignment="1">
      <alignment horizontal="left" vertical="center"/>
    </xf>
    <xf numFmtId="0" fontId="112" fillId="0" borderId="87" xfId="0" applyFont="1" applyBorder="1" applyAlignment="1">
      <alignment horizontal="left" vertical="center"/>
    </xf>
    <xf numFmtId="0" fontId="112" fillId="0" borderId="71" xfId="0" applyNumberFormat="1" applyFont="1" applyBorder="1" applyAlignment="1">
      <alignment horizontal="left" vertical="center"/>
    </xf>
    <xf numFmtId="0" fontId="141" fillId="0" borderId="74" xfId="0" applyNumberFormat="1" applyFont="1" applyBorder="1" applyAlignment="1">
      <alignment horizontal="left" vertical="center"/>
    </xf>
    <xf numFmtId="1" fontId="120" fillId="0" borderId="87" xfId="0" applyNumberFormat="1" applyFont="1" applyBorder="1" applyAlignment="1">
      <alignment horizontal="left" vertical="center"/>
    </xf>
    <xf numFmtId="0" fontId="123" fillId="47" borderId="65" xfId="0" applyFont="1" applyFill="1" applyBorder="1" applyAlignment="1">
      <alignment horizontal="left" vertical="center"/>
    </xf>
    <xf numFmtId="1" fontId="141" fillId="0" borderId="87" xfId="0" applyNumberFormat="1" applyFont="1" applyBorder="1" applyAlignment="1">
      <alignment horizontal="left" vertical="center"/>
    </xf>
    <xf numFmtId="0" fontId="118" fillId="0" borderId="70" xfId="0" applyFont="1" applyBorder="1" applyAlignment="1">
      <alignment horizontal="left" vertical="center"/>
    </xf>
    <xf numFmtId="0" fontId="112" fillId="0" borderId="70" xfId="0" applyFont="1" applyBorder="1" applyAlignment="1">
      <alignment horizontal="left" vertical="center"/>
    </xf>
    <xf numFmtId="0" fontId="112" fillId="0" borderId="67" xfId="0" applyFont="1" applyBorder="1" applyAlignment="1">
      <alignment horizontal="left" vertical="center"/>
    </xf>
    <xf numFmtId="0" fontId="118" fillId="47" borderId="68" xfId="0" applyFont="1" applyFill="1" applyBorder="1" applyAlignment="1">
      <alignment horizontal="left" vertical="center"/>
    </xf>
    <xf numFmtId="0" fontId="80" fillId="18" borderId="85" xfId="2" applyFont="1" applyFill="1" applyBorder="1" applyAlignment="1">
      <alignment horizontal="left" vertical="center"/>
    </xf>
    <xf numFmtId="0" fontId="123" fillId="0" borderId="74" xfId="0" applyFont="1" applyBorder="1" applyAlignment="1">
      <alignment horizontal="left" vertical="center"/>
    </xf>
    <xf numFmtId="0" fontId="66" fillId="6" borderId="68" xfId="6" applyFont="1" applyBorder="1" applyAlignment="1">
      <alignment horizontal="left" vertical="center"/>
    </xf>
    <xf numFmtId="0" fontId="118" fillId="0" borderId="66" xfId="0" applyFont="1" applyBorder="1" applyAlignment="1">
      <alignment horizontal="left" vertical="center" wrapText="1"/>
    </xf>
    <xf numFmtId="1" fontId="120" fillId="49" borderId="52" xfId="0" applyNumberFormat="1" applyFont="1" applyFill="1" applyBorder="1" applyAlignment="1">
      <alignment horizontal="left" vertical="center"/>
    </xf>
    <xf numFmtId="1" fontId="117" fillId="0" borderId="31" xfId="0" applyNumberFormat="1" applyFont="1" applyBorder="1" applyAlignment="1">
      <alignment horizontal="left" vertical="center"/>
    </xf>
    <xf numFmtId="1" fontId="117" fillId="0" borderId="5" xfId="0" applyNumberFormat="1" applyFont="1" applyBorder="1" applyAlignment="1">
      <alignment horizontal="left" vertical="center"/>
    </xf>
    <xf numFmtId="168" fontId="118" fillId="0" borderId="15" xfId="0" applyNumberFormat="1" applyFont="1" applyBorder="1" applyAlignment="1">
      <alignment horizontal="left" vertical="center"/>
    </xf>
    <xf numFmtId="168" fontId="118" fillId="0" borderId="5" xfId="0" applyNumberFormat="1" applyFont="1" applyBorder="1" applyAlignment="1">
      <alignment horizontal="left" vertical="center"/>
    </xf>
    <xf numFmtId="168" fontId="117" fillId="0" borderId="52" xfId="0" applyNumberFormat="1" applyFont="1" applyBorder="1" applyAlignment="1">
      <alignment horizontal="left" vertical="center"/>
    </xf>
    <xf numFmtId="0" fontId="142" fillId="0" borderId="0" xfId="0" applyFont="1"/>
    <xf numFmtId="0" fontId="118" fillId="0" borderId="12" xfId="0" applyFont="1" applyBorder="1" applyAlignment="1">
      <alignment horizontal="left" vertical="center"/>
    </xf>
    <xf numFmtId="0" fontId="118" fillId="0" borderId="77" xfId="0" applyFont="1" applyFill="1" applyBorder="1" applyAlignment="1">
      <alignment horizontal="left" vertical="center"/>
    </xf>
    <xf numFmtId="0" fontId="118" fillId="0" borderId="83" xfId="0" applyFont="1" applyBorder="1" applyAlignment="1">
      <alignment horizontal="left" vertical="center"/>
    </xf>
    <xf numFmtId="0" fontId="118" fillId="0" borderId="24" xfId="0" applyFont="1" applyBorder="1" applyAlignment="1">
      <alignment horizontal="left" vertical="center"/>
    </xf>
    <xf numFmtId="1" fontId="120" fillId="49" borderId="34" xfId="0" applyNumberFormat="1" applyFont="1" applyFill="1" applyBorder="1" applyAlignment="1">
      <alignment horizontal="left" vertical="center"/>
    </xf>
    <xf numFmtId="1" fontId="117" fillId="0" borderId="33" xfId="0" applyNumberFormat="1" applyFont="1" applyBorder="1" applyAlignment="1">
      <alignment horizontal="left" vertical="center"/>
    </xf>
    <xf numFmtId="1" fontId="117" fillId="0" borderId="11" xfId="0" applyNumberFormat="1" applyFont="1" applyBorder="1" applyAlignment="1">
      <alignment horizontal="left" vertical="center"/>
    </xf>
    <xf numFmtId="168" fontId="118" fillId="0" borderId="104" xfId="0" applyNumberFormat="1" applyFont="1" applyBorder="1" applyAlignment="1">
      <alignment horizontal="left" vertical="center"/>
    </xf>
    <xf numFmtId="168" fontId="118" fillId="0" borderId="11" xfId="0" applyNumberFormat="1" applyFont="1" applyBorder="1" applyAlignment="1">
      <alignment horizontal="left" vertical="center"/>
    </xf>
    <xf numFmtId="168" fontId="117" fillId="0" borderId="34" xfId="0" applyNumberFormat="1" applyFont="1" applyBorder="1" applyAlignment="1">
      <alignment horizontal="left" vertical="center"/>
    </xf>
    <xf numFmtId="0" fontId="118" fillId="0" borderId="3" xfId="0" applyFont="1" applyBorder="1" applyAlignment="1">
      <alignment horizontal="left" vertical="center"/>
    </xf>
    <xf numFmtId="0" fontId="118" fillId="0" borderId="17" xfId="0" applyFont="1" applyBorder="1" applyAlignment="1">
      <alignment horizontal="left" vertical="center"/>
    </xf>
    <xf numFmtId="1" fontId="120" fillId="49" borderId="51" xfId="0" applyNumberFormat="1" applyFont="1" applyFill="1" applyBorder="1" applyAlignment="1">
      <alignment horizontal="left" vertical="center"/>
    </xf>
    <xf numFmtId="1" fontId="117" fillId="0" borderId="28" xfId="0" applyNumberFormat="1" applyFont="1" applyBorder="1" applyAlignment="1">
      <alignment horizontal="left" vertical="center"/>
    </xf>
    <xf numFmtId="1" fontId="117" fillId="0" borderId="10" xfId="0" applyNumberFormat="1" applyFont="1" applyBorder="1" applyAlignment="1">
      <alignment horizontal="left" vertical="center"/>
    </xf>
    <xf numFmtId="168" fontId="118" fillId="0" borderId="23" xfId="0" applyNumberFormat="1" applyFont="1" applyBorder="1" applyAlignment="1">
      <alignment horizontal="left" vertical="center"/>
    </xf>
    <xf numFmtId="168" fontId="118" fillId="0" borderId="2" xfId="0" applyNumberFormat="1" applyFont="1" applyBorder="1" applyAlignment="1">
      <alignment horizontal="left" vertical="center"/>
    </xf>
    <xf numFmtId="168" fontId="117" fillId="0" borderId="32" xfId="0" applyNumberFormat="1" applyFont="1" applyBorder="1" applyAlignment="1">
      <alignment horizontal="left" vertical="center"/>
    </xf>
    <xf numFmtId="0" fontId="118" fillId="0" borderId="2" xfId="0" applyFont="1" applyBorder="1" applyAlignment="1">
      <alignment horizontal="left" vertical="center"/>
    </xf>
    <xf numFmtId="0" fontId="118" fillId="0" borderId="13" xfId="0" applyFont="1" applyBorder="1" applyAlignment="1">
      <alignment horizontal="left" vertical="center"/>
    </xf>
    <xf numFmtId="0" fontId="117" fillId="49" borderId="83" xfId="0" applyFont="1" applyFill="1" applyBorder="1" applyAlignment="1">
      <alignment horizontal="left" vertical="center" textRotation="90"/>
    </xf>
    <xf numFmtId="168" fontId="118" fillId="0" borderId="8" xfId="0" applyNumberFormat="1" applyFont="1" applyBorder="1" applyAlignment="1">
      <alignment horizontal="left" vertical="center"/>
    </xf>
    <xf numFmtId="0" fontId="117" fillId="46" borderId="28" xfId="0" applyFont="1" applyFill="1" applyBorder="1" applyAlignment="1">
      <alignment horizontal="left" vertical="center"/>
    </xf>
    <xf numFmtId="0" fontId="66" fillId="46" borderId="48" xfId="6" applyFont="1" applyFill="1" applyBorder="1" applyAlignment="1">
      <alignment horizontal="left" vertical="center"/>
    </xf>
    <xf numFmtId="0" fontId="117" fillId="46" borderId="17" xfId="0" applyFont="1" applyFill="1" applyBorder="1" applyAlignment="1">
      <alignment horizontal="left" vertical="center"/>
    </xf>
    <xf numFmtId="167" fontId="112" fillId="46" borderId="49" xfId="3" applyNumberFormat="1" applyFont="1" applyFill="1" applyBorder="1" applyAlignment="1" applyProtection="1">
      <alignment horizontal="left" vertical="center"/>
    </xf>
    <xf numFmtId="167" fontId="112" fillId="46" borderId="84" xfId="3" applyNumberFormat="1" applyFont="1" applyFill="1" applyBorder="1" applyAlignment="1" applyProtection="1">
      <alignment horizontal="left" vertical="center"/>
    </xf>
    <xf numFmtId="0" fontId="118" fillId="0" borderId="69" xfId="0" applyFont="1" applyBorder="1" applyAlignment="1">
      <alignment horizontal="left" vertical="center"/>
    </xf>
    <xf numFmtId="0" fontId="118" fillId="0" borderId="97" xfId="0" applyFont="1" applyBorder="1" applyAlignment="1">
      <alignment horizontal="left" vertical="center"/>
    </xf>
    <xf numFmtId="0" fontId="118" fillId="0" borderId="103" xfId="0" applyFont="1" applyBorder="1" applyAlignment="1">
      <alignment horizontal="left" vertical="center"/>
    </xf>
    <xf numFmtId="0" fontId="118" fillId="0" borderId="52" xfId="0" applyFont="1" applyBorder="1" applyAlignment="1">
      <alignment horizontal="left" vertical="center"/>
    </xf>
    <xf numFmtId="0" fontId="21" fillId="10" borderId="31" xfId="11" applyFont="1" applyBorder="1" applyAlignment="1">
      <alignment horizontal="left" vertical="center"/>
    </xf>
    <xf numFmtId="9" fontId="21" fillId="10" borderId="5" xfId="11" applyNumberFormat="1" applyFont="1" applyBorder="1" applyAlignment="1">
      <alignment horizontal="left" vertical="center"/>
    </xf>
    <xf numFmtId="0" fontId="21" fillId="10" borderId="5" xfId="11" applyFont="1" applyBorder="1" applyAlignment="1">
      <alignment horizontal="left" vertical="center"/>
    </xf>
    <xf numFmtId="9" fontId="21" fillId="10" borderId="52" xfId="11" applyNumberFormat="1" applyFont="1" applyBorder="1" applyAlignment="1">
      <alignment horizontal="left" vertical="center"/>
    </xf>
    <xf numFmtId="0" fontId="21" fillId="10" borderId="33" xfId="11" applyFont="1" applyBorder="1" applyAlignment="1">
      <alignment horizontal="left" vertical="center"/>
    </xf>
    <xf numFmtId="0" fontId="21" fillId="10" borderId="11" xfId="11" applyFont="1" applyBorder="1" applyAlignment="1">
      <alignment horizontal="left" vertical="center"/>
    </xf>
    <xf numFmtId="9" fontId="21" fillId="10" borderId="11" xfId="11" applyNumberFormat="1" applyFont="1" applyBorder="1" applyAlignment="1">
      <alignment horizontal="left" vertical="center"/>
    </xf>
    <xf numFmtId="9" fontId="21" fillId="10" borderId="34" xfId="11" applyNumberFormat="1" applyFont="1" applyBorder="1" applyAlignment="1">
      <alignment horizontal="left" vertical="center"/>
    </xf>
    <xf numFmtId="0" fontId="143" fillId="0" borderId="99" xfId="0" applyFont="1" applyBorder="1" applyAlignment="1">
      <alignment horizontal="left" vertical="center"/>
    </xf>
    <xf numFmtId="9" fontId="143" fillId="0" borderId="100" xfId="0" applyNumberFormat="1" applyFont="1" applyBorder="1" applyAlignment="1">
      <alignment horizontal="left" vertical="center"/>
    </xf>
    <xf numFmtId="0" fontId="122" fillId="0" borderId="100" xfId="0" applyNumberFormat="1" applyFont="1" applyBorder="1" applyAlignment="1">
      <alignment horizontal="left" vertical="center"/>
    </xf>
    <xf numFmtId="0" fontId="122" fillId="0" borderId="101" xfId="0" applyNumberFormat="1" applyFont="1" applyBorder="1" applyAlignment="1">
      <alignment horizontal="left" vertical="center"/>
    </xf>
    <xf numFmtId="0" fontId="143" fillId="0" borderId="83" xfId="0" applyFont="1" applyBorder="1" applyAlignment="1">
      <alignment horizontal="left" vertical="center"/>
    </xf>
    <xf numFmtId="9" fontId="143" fillId="0" borderId="49" xfId="0" applyNumberFormat="1" applyFont="1" applyBorder="1" applyAlignment="1">
      <alignment horizontal="left" vertical="center"/>
    </xf>
    <xf numFmtId="0" fontId="144" fillId="0" borderId="5" xfId="0" applyFont="1" applyBorder="1" applyAlignment="1">
      <alignment horizontal="left" vertical="center"/>
    </xf>
    <xf numFmtId="0" fontId="118" fillId="0" borderId="73" xfId="0" applyFont="1" applyBorder="1" applyAlignment="1">
      <alignment horizontal="left" vertical="center"/>
    </xf>
    <xf numFmtId="0" fontId="118" fillId="0" borderId="8" xfId="0" applyFont="1" applyBorder="1" applyAlignment="1">
      <alignment horizontal="left" vertical="center"/>
    </xf>
    <xf numFmtId="0" fontId="118" fillId="0" borderId="55" xfId="0" applyFont="1" applyBorder="1" applyAlignment="1">
      <alignment horizontal="left" vertical="center"/>
    </xf>
    <xf numFmtId="0" fontId="117" fillId="46" borderId="18" xfId="0" applyFont="1" applyFill="1" applyBorder="1" applyAlignment="1">
      <alignment horizontal="left" vertical="center"/>
    </xf>
    <xf numFmtId="0" fontId="66" fillId="46" borderId="10" xfId="6" applyFont="1" applyFill="1" applyBorder="1" applyAlignment="1">
      <alignment horizontal="left" vertical="center"/>
    </xf>
    <xf numFmtId="0" fontId="66" fillId="46" borderId="60" xfId="6" applyFont="1" applyFill="1" applyBorder="1" applyAlignment="1">
      <alignment horizontal="left" vertical="center"/>
    </xf>
    <xf numFmtId="0" fontId="117" fillId="46" borderId="63" xfId="6" applyFont="1" applyFill="1" applyBorder="1" applyAlignment="1">
      <alignment horizontal="left" vertical="center"/>
    </xf>
    <xf numFmtId="0" fontId="117" fillId="46" borderId="27" xfId="6" applyFont="1" applyFill="1" applyBorder="1" applyAlignment="1">
      <alignment horizontal="left" vertical="center"/>
    </xf>
    <xf numFmtId="0" fontId="117" fillId="46" borderId="30" xfId="6" applyFont="1" applyFill="1" applyBorder="1" applyAlignment="1">
      <alignment horizontal="center" vertical="center"/>
    </xf>
    <xf numFmtId="0" fontId="117" fillId="46" borderId="64" xfId="6" applyFont="1" applyFill="1" applyBorder="1" applyAlignment="1">
      <alignment horizontal="center" vertical="center"/>
    </xf>
    <xf numFmtId="0" fontId="117" fillId="46" borderId="3" xfId="6" applyFont="1" applyFill="1" applyBorder="1" applyAlignment="1">
      <alignment horizontal="center" vertical="center"/>
    </xf>
    <xf numFmtId="0" fontId="117" fillId="46" borderId="90" xfId="6" applyFont="1" applyFill="1" applyBorder="1" applyAlignment="1">
      <alignment horizontal="center" vertical="center"/>
    </xf>
    <xf numFmtId="0" fontId="117" fillId="46" borderId="98" xfId="0" applyFont="1" applyFill="1" applyBorder="1" applyAlignment="1">
      <alignment horizontal="center" vertical="center" wrapText="1"/>
    </xf>
    <xf numFmtId="0" fontId="117" fillId="46" borderId="97" xfId="0" applyFont="1" applyFill="1" applyBorder="1" applyAlignment="1">
      <alignment horizontal="center" vertical="center" wrapText="1"/>
    </xf>
    <xf numFmtId="0" fontId="117" fillId="46" borderId="103" xfId="0" applyFont="1" applyFill="1" applyBorder="1" applyAlignment="1">
      <alignment horizontal="center" vertical="center" wrapText="1"/>
    </xf>
    <xf numFmtId="0" fontId="118" fillId="0" borderId="15" xfId="0" applyFont="1" applyBorder="1" applyAlignment="1">
      <alignment horizontal="left" vertical="center" wrapText="1"/>
    </xf>
    <xf numFmtId="1" fontId="117" fillId="49" borderId="51" xfId="0" applyNumberFormat="1" applyFont="1" applyFill="1" applyBorder="1" applyAlignment="1">
      <alignment horizontal="center" vertical="center"/>
    </xf>
    <xf numFmtId="1" fontId="117" fillId="0" borderId="28" xfId="0" applyNumberFormat="1" applyFont="1" applyBorder="1" applyAlignment="1">
      <alignment horizontal="center" vertical="center"/>
    </xf>
    <xf numFmtId="1" fontId="117" fillId="0" borderId="10" xfId="0" applyNumberFormat="1" applyFont="1" applyBorder="1" applyAlignment="1">
      <alignment horizontal="center" vertical="center"/>
    </xf>
    <xf numFmtId="168" fontId="144" fillId="0" borderId="15" xfId="0" applyNumberFormat="1" applyFont="1" applyBorder="1" applyAlignment="1">
      <alignment horizontal="center" vertical="center"/>
    </xf>
    <xf numFmtId="168" fontId="144" fillId="0" borderId="5" xfId="0" applyNumberFormat="1" applyFont="1" applyBorder="1" applyAlignment="1">
      <alignment horizontal="center" vertical="center"/>
    </xf>
    <xf numFmtId="1" fontId="117" fillId="49" borderId="52" xfId="0" applyNumberFormat="1" applyFont="1" applyFill="1" applyBorder="1" applyAlignment="1">
      <alignment horizontal="center" vertical="center"/>
    </xf>
    <xf numFmtId="1" fontId="117" fillId="0" borderId="31" xfId="0" applyNumberFormat="1" applyFont="1" applyBorder="1" applyAlignment="1">
      <alignment horizontal="center" vertical="center"/>
    </xf>
    <xf numFmtId="1" fontId="117" fillId="0" borderId="5" xfId="0" applyNumberFormat="1" applyFont="1" applyBorder="1" applyAlignment="1">
      <alignment horizontal="center" vertical="center"/>
    </xf>
    <xf numFmtId="1" fontId="117" fillId="49" borderId="34" xfId="0" applyNumberFormat="1" applyFont="1" applyFill="1" applyBorder="1" applyAlignment="1">
      <alignment horizontal="center" vertical="center"/>
    </xf>
    <xf numFmtId="1" fontId="117" fillId="0" borderId="33" xfId="0" applyNumberFormat="1" applyFont="1" applyBorder="1" applyAlignment="1">
      <alignment horizontal="center" vertical="center"/>
    </xf>
    <xf numFmtId="1" fontId="117" fillId="0" borderId="11" xfId="0" applyNumberFormat="1" applyFont="1" applyBorder="1" applyAlignment="1">
      <alignment horizontal="center" vertical="center"/>
    </xf>
    <xf numFmtId="0" fontId="144" fillId="0" borderId="52" xfId="0" applyFont="1" applyBorder="1" applyAlignment="1">
      <alignment horizontal="left" vertical="center"/>
    </xf>
    <xf numFmtId="1" fontId="120" fillId="47" borderId="49" xfId="0" applyNumberFormat="1" applyFont="1" applyFill="1" applyBorder="1" applyAlignment="1">
      <alignment horizontal="left" vertical="center"/>
    </xf>
    <xf numFmtId="1" fontId="120" fillId="47" borderId="84" xfId="0" applyNumberFormat="1" applyFont="1" applyFill="1" applyBorder="1" applyAlignment="1">
      <alignment horizontal="left" vertical="center"/>
    </xf>
    <xf numFmtId="1" fontId="117" fillId="47" borderId="49" xfId="0" applyNumberFormat="1" applyFont="1" applyFill="1" applyBorder="1" applyAlignment="1">
      <alignment horizontal="left" vertical="center"/>
    </xf>
    <xf numFmtId="1" fontId="137" fillId="47" borderId="49" xfId="0" applyNumberFormat="1" applyFont="1" applyFill="1" applyBorder="1" applyAlignment="1">
      <alignment horizontal="left" vertical="center"/>
    </xf>
    <xf numFmtId="1" fontId="137" fillId="47" borderId="84" xfId="0" applyNumberFormat="1" applyFont="1" applyFill="1" applyBorder="1" applyAlignment="1">
      <alignment horizontal="left" vertical="center"/>
    </xf>
    <xf numFmtId="0" fontId="80" fillId="0" borderId="5" xfId="0" applyFont="1" applyFill="1" applyBorder="1" applyAlignment="1">
      <alignment horizontal="left" vertical="center" wrapText="1"/>
    </xf>
    <xf numFmtId="0" fontId="145" fillId="0" borderId="0" xfId="0" applyFont="1"/>
    <xf numFmtId="0" fontId="76" fillId="0" borderId="99" xfId="0" applyFont="1" applyFill="1" applyBorder="1" applyAlignment="1">
      <alignment horizontal="left" vertical="center" wrapText="1"/>
    </xf>
    <xf numFmtId="0" fontId="76" fillId="0" borderId="100" xfId="0" applyFont="1" applyFill="1" applyBorder="1" applyAlignment="1">
      <alignment horizontal="left" vertical="center" wrapText="1"/>
    </xf>
    <xf numFmtId="0" fontId="76" fillId="0" borderId="77"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6" fillId="0" borderId="0" xfId="0" applyFont="1" applyFill="1" applyAlignment="1">
      <alignment horizontal="left" vertical="center" wrapText="1"/>
    </xf>
    <xf numFmtId="0" fontId="76" fillId="0" borderId="22" xfId="0" applyFont="1" applyFill="1" applyBorder="1" applyAlignment="1">
      <alignment horizontal="left" vertical="center" wrapText="1"/>
    </xf>
    <xf numFmtId="0" fontId="78" fillId="35" borderId="70" xfId="0" applyFont="1" applyFill="1" applyBorder="1" applyAlignment="1">
      <alignment horizontal="left" vertical="center" wrapText="1"/>
    </xf>
    <xf numFmtId="1" fontId="78" fillId="35" borderId="70" xfId="0" applyNumberFormat="1" applyFont="1" applyFill="1" applyBorder="1" applyAlignment="1">
      <alignment horizontal="left" vertical="center" wrapText="1"/>
    </xf>
    <xf numFmtId="0" fontId="146" fillId="0" borderId="0" xfId="0" applyFont="1"/>
    <xf numFmtId="0" fontId="48" fillId="0" borderId="5" xfId="0" applyFont="1" applyBorder="1" applyAlignment="1">
      <alignment wrapText="1"/>
    </xf>
    <xf numFmtId="3" fontId="12" fillId="16" borderId="12" xfId="14" applyNumberFormat="1" applyFont="1" applyFill="1" applyBorder="1" applyAlignment="1" applyProtection="1">
      <alignment horizontal="center" vertical="center"/>
    </xf>
    <xf numFmtId="3" fontId="12" fillId="16" borderId="11" xfId="14" applyNumberFormat="1" applyFont="1" applyFill="1" applyBorder="1" applyAlignment="1" applyProtection="1">
      <alignment horizontal="center" vertical="center"/>
    </xf>
    <xf numFmtId="0" fontId="12" fillId="16" borderId="97" xfId="10" applyNumberFormat="1" applyFont="1" applyFill="1" applyBorder="1" applyAlignment="1">
      <alignment horizontal="left" vertical="center" wrapText="1"/>
    </xf>
    <xf numFmtId="3" fontId="12" fillId="16" borderId="97" xfId="14" applyNumberFormat="1" applyFont="1" applyFill="1" applyBorder="1" applyAlignment="1" applyProtection="1">
      <alignment horizontal="center" vertical="center"/>
    </xf>
    <xf numFmtId="167" fontId="12" fillId="16" borderId="5" xfId="14" applyNumberFormat="1" applyFont="1" applyFill="1" applyBorder="1" applyAlignment="1" applyProtection="1">
      <alignment horizontal="left" vertical="center"/>
    </xf>
    <xf numFmtId="0" fontId="60" fillId="46" borderId="79" xfId="6" applyFont="1" applyFill="1" applyBorder="1" applyAlignment="1">
      <alignment horizontal="left" vertical="center"/>
    </xf>
    <xf numFmtId="0" fontId="60" fillId="46" borderId="80" xfId="6" applyFont="1" applyFill="1" applyBorder="1" applyAlignment="1">
      <alignment horizontal="left" vertical="center"/>
    </xf>
    <xf numFmtId="2" fontId="12" fillId="16" borderId="2" xfId="14" applyNumberFormat="1" applyFont="1" applyFill="1" applyBorder="1" applyAlignment="1" applyProtection="1">
      <alignment horizontal="center" vertical="center"/>
    </xf>
    <xf numFmtId="2" fontId="12" fillId="16" borderId="11" xfId="14" applyNumberFormat="1" applyFont="1" applyFill="1" applyBorder="1" applyAlignment="1" applyProtection="1">
      <alignment horizontal="center" vertical="center"/>
    </xf>
    <xf numFmtId="177" fontId="12" fillId="16" borderId="2" xfId="14" applyNumberFormat="1" applyFont="1" applyFill="1" applyBorder="1" applyAlignment="1" applyProtection="1">
      <alignment horizontal="center" vertical="center"/>
    </xf>
    <xf numFmtId="177" fontId="12" fillId="16" borderId="11" xfId="14" applyNumberFormat="1" applyFont="1" applyFill="1" applyBorder="1" applyAlignment="1" applyProtection="1">
      <alignment horizontal="center" vertical="center"/>
    </xf>
    <xf numFmtId="167" fontId="12" fillId="0" borderId="11" xfId="14" applyNumberFormat="1" applyFont="1" applyFill="1" applyBorder="1" applyAlignment="1" applyProtection="1">
      <alignment horizontal="left" vertical="center"/>
    </xf>
    <xf numFmtId="0" fontId="28" fillId="0" borderId="73" xfId="0" applyFont="1" applyFill="1" applyBorder="1" applyAlignment="1">
      <alignment horizontal="center" vertical="center"/>
    </xf>
    <xf numFmtId="0" fontId="28" fillId="0" borderId="8" xfId="0" applyFont="1" applyFill="1" applyBorder="1" applyAlignment="1">
      <alignment horizontal="center" vertical="center"/>
    </xf>
    <xf numFmtId="0" fontId="12" fillId="0" borderId="8" xfId="7" applyFont="1" applyFill="1" applyBorder="1" applyAlignment="1">
      <alignment horizontal="center" vertical="center"/>
    </xf>
    <xf numFmtId="0" fontId="147" fillId="0" borderId="73" xfId="0" applyFont="1" applyFill="1" applyBorder="1" applyAlignment="1">
      <alignment horizontal="center" vertical="center"/>
    </xf>
    <xf numFmtId="0" fontId="147" fillId="0" borderId="8" xfId="0" applyFont="1" applyFill="1" applyBorder="1" applyAlignment="1">
      <alignment horizontal="center" vertical="center"/>
    </xf>
    <xf numFmtId="0" fontId="148" fillId="0" borderId="8" xfId="7" applyFont="1" applyFill="1" applyBorder="1" applyAlignment="1">
      <alignment horizontal="center" vertical="center"/>
    </xf>
    <xf numFmtId="3" fontId="12" fillId="17" borderId="54" xfId="0" applyNumberFormat="1" applyFont="1" applyFill="1" applyBorder="1" applyAlignment="1">
      <alignment horizontal="center" vertical="center" wrapText="1"/>
    </xf>
    <xf numFmtId="1" fontId="12" fillId="17" borderId="54" xfId="0" applyNumberFormat="1" applyFont="1" applyFill="1" applyBorder="1" applyAlignment="1">
      <alignment horizontal="center" vertical="center" wrapText="1"/>
    </xf>
    <xf numFmtId="0" fontId="12" fillId="16" borderId="97" xfId="10" applyFont="1" applyFill="1" applyBorder="1" applyAlignment="1">
      <alignment horizontal="left" vertical="center" wrapText="1"/>
    </xf>
    <xf numFmtId="3" fontId="10" fillId="14" borderId="54" xfId="0" applyNumberFormat="1" applyFont="1" applyFill="1" applyBorder="1" applyAlignment="1">
      <alignment horizontal="center" vertical="center" wrapText="1"/>
    </xf>
    <xf numFmtId="1" fontId="10" fillId="14" borderId="54" xfId="0" applyNumberFormat="1" applyFont="1" applyFill="1" applyBorder="1" applyAlignment="1">
      <alignment horizontal="center" vertical="center" wrapText="1"/>
    </xf>
    <xf numFmtId="0" fontId="150" fillId="0" borderId="0" xfId="0" applyFont="1"/>
    <xf numFmtId="0" fontId="150" fillId="0" borderId="0" xfId="0" applyFont="1" applyAlignment="1">
      <alignment horizontal="right"/>
    </xf>
    <xf numFmtId="0" fontId="150" fillId="0" borderId="0" xfId="0" applyFont="1" applyFill="1" applyBorder="1"/>
    <xf numFmtId="1" fontId="137" fillId="0" borderId="0" xfId="0" applyNumberFormat="1" applyFont="1" applyBorder="1" applyAlignment="1">
      <alignment horizontal="left" vertical="center"/>
    </xf>
    <xf numFmtId="1" fontId="137" fillId="0" borderId="82" xfId="0" applyNumberFormat="1" applyFont="1" applyBorder="1" applyAlignment="1">
      <alignment horizontal="left" vertical="center"/>
    </xf>
    <xf numFmtId="0" fontId="150" fillId="11" borderId="0" xfId="0" applyFont="1" applyFill="1"/>
    <xf numFmtId="0" fontId="150" fillId="11" borderId="0" xfId="0" applyFont="1" applyFill="1" applyAlignment="1">
      <alignment horizontal="right"/>
    </xf>
    <xf numFmtId="2" fontId="114" fillId="0" borderId="81" xfId="0" applyNumberFormat="1" applyFont="1" applyBorder="1" applyAlignment="1">
      <alignment horizontal="left" vertical="center"/>
    </xf>
    <xf numFmtId="1" fontId="91" fillId="0" borderId="77" xfId="0" applyNumberFormat="1" applyFont="1" applyBorder="1" applyAlignment="1">
      <alignment horizontal="left" vertical="center"/>
    </xf>
    <xf numFmtId="1" fontId="91" fillId="0" borderId="15" xfId="0" applyNumberFormat="1" applyFont="1" applyBorder="1" applyAlignment="1">
      <alignment horizontal="left" vertical="center"/>
    </xf>
    <xf numFmtId="0" fontId="12" fillId="20" borderId="2" xfId="10" applyNumberFormat="1" applyFont="1" applyFill="1" applyBorder="1" applyAlignment="1">
      <alignment horizontal="left" vertical="center" wrapText="1"/>
    </xf>
    <xf numFmtId="0" fontId="0" fillId="0" borderId="0" xfId="0"/>
    <xf numFmtId="165" fontId="0" fillId="0" borderId="52" xfId="0" applyNumberFormat="1" applyBorder="1" applyAlignment="1">
      <alignment horizontal="center" vertical="center"/>
    </xf>
    <xf numFmtId="49" fontId="104" fillId="0" borderId="2" xfId="0" applyNumberFormat="1" applyFont="1" applyBorder="1" applyAlignment="1">
      <alignment vertical="center" wrapText="1"/>
    </xf>
    <xf numFmtId="0" fontId="0" fillId="0" borderId="0" xfId="0"/>
    <xf numFmtId="0" fontId="26" fillId="13" borderId="5" xfId="7" applyFont="1" applyFill="1" applyBorder="1" applyAlignment="1">
      <alignment horizontal="center" vertical="center"/>
    </xf>
    <xf numFmtId="0" fontId="25" fillId="14" borderId="5" xfId="7" applyFont="1" applyFill="1" applyBorder="1" applyAlignment="1">
      <alignment horizontal="center" vertical="center"/>
    </xf>
    <xf numFmtId="0" fontId="25" fillId="15" borderId="5" xfId="7" applyFont="1" applyFill="1" applyBorder="1" applyAlignment="1">
      <alignment horizontal="center" vertical="center"/>
    </xf>
    <xf numFmtId="0" fontId="25" fillId="0" borderId="5" xfId="7" applyFont="1" applyFill="1" applyBorder="1" applyAlignment="1">
      <alignment horizontal="center" vertical="center"/>
    </xf>
    <xf numFmtId="0" fontId="26" fillId="19" borderId="23" xfId="9" applyNumberFormat="1" applyFont="1" applyFill="1" applyBorder="1" applyAlignment="1">
      <alignment horizontal="center" vertical="center" wrapText="1"/>
    </xf>
    <xf numFmtId="0" fontId="26" fillId="17" borderId="22" xfId="0" applyFont="1" applyFill="1" applyBorder="1" applyAlignment="1">
      <alignment horizontal="center" vertical="center" wrapText="1"/>
    </xf>
    <xf numFmtId="0" fontId="151" fillId="0" borderId="0" xfId="0" applyFont="1"/>
    <xf numFmtId="0" fontId="65" fillId="0" borderId="5" xfId="0" applyFont="1" applyFill="1" applyBorder="1" applyAlignment="1">
      <alignment horizontal="center" vertical="center"/>
    </xf>
    <xf numFmtId="0" fontId="65" fillId="0" borderId="0" xfId="0" applyFont="1" applyBorder="1" applyAlignment="1">
      <alignment horizontal="left" vertical="center" wrapText="1"/>
    </xf>
    <xf numFmtId="0" fontId="10" fillId="14" borderId="8" xfId="1" applyFont="1" applyFill="1" applyBorder="1" applyAlignment="1">
      <alignment vertical="center" wrapText="1"/>
    </xf>
    <xf numFmtId="0" fontId="10" fillId="14" borderId="9" xfId="1" applyFont="1" applyFill="1" applyBorder="1" applyAlignment="1">
      <alignment vertical="center" wrapText="1"/>
    </xf>
    <xf numFmtId="1" fontId="10" fillId="14" borderId="3" xfId="1" applyNumberFormat="1" applyFont="1" applyFill="1" applyBorder="1" applyAlignment="1" applyProtection="1">
      <alignment horizontal="center" vertical="center"/>
    </xf>
    <xf numFmtId="167" fontId="12" fillId="15" borderId="10" xfId="1" applyNumberFormat="1" applyFont="1" applyFill="1" applyBorder="1" applyAlignment="1" applyProtection="1">
      <alignment horizontal="center" vertical="center"/>
    </xf>
    <xf numFmtId="167" fontId="154" fillId="17" borderId="10" xfId="14" applyNumberFormat="1" applyFont="1" applyFill="1" applyBorder="1" applyAlignment="1" applyProtection="1">
      <alignment horizontal="center" vertical="center"/>
    </xf>
    <xf numFmtId="0" fontId="12" fillId="18" borderId="0" xfId="0" applyFont="1" applyFill="1" applyBorder="1" applyAlignment="1">
      <alignment horizontal="center" vertical="center"/>
    </xf>
    <xf numFmtId="9" fontId="12" fillId="0" borderId="2" xfId="14" applyFont="1" applyBorder="1" applyProtection="1"/>
    <xf numFmtId="1" fontId="43" fillId="20" borderId="2" xfId="14" applyNumberFormat="1" applyFont="1" applyFill="1" applyBorder="1" applyAlignment="1" applyProtection="1">
      <alignment horizontal="center" vertical="center"/>
    </xf>
    <xf numFmtId="167" fontId="12" fillId="17" borderId="10" xfId="3" applyNumberFormat="1" applyFont="1" applyFill="1" applyBorder="1" applyAlignment="1" applyProtection="1">
      <alignment horizontal="center" vertical="center"/>
    </xf>
    <xf numFmtId="0" fontId="12" fillId="18" borderId="5" xfId="6" applyNumberFormat="1" applyFont="1" applyFill="1" applyBorder="1" applyAlignment="1">
      <alignment horizontal="left" vertical="center" wrapText="1"/>
    </xf>
    <xf numFmtId="4" fontId="12" fillId="19" borderId="2" xfId="3" applyNumberFormat="1" applyFont="1" applyFill="1" applyBorder="1" applyAlignment="1" applyProtection="1">
      <alignment horizontal="center" vertical="center"/>
    </xf>
    <xf numFmtId="0" fontId="12" fillId="18" borderId="10" xfId="6" applyNumberFormat="1" applyFont="1" applyFill="1" applyBorder="1" applyAlignment="1">
      <alignment horizontal="left" vertical="center" wrapText="1"/>
    </xf>
    <xf numFmtId="3" fontId="12" fillId="0" borderId="10" xfId="14" applyNumberFormat="1" applyFont="1" applyBorder="1" applyAlignment="1" applyProtection="1">
      <alignment horizontal="left" vertical="center"/>
    </xf>
    <xf numFmtId="1" fontId="12" fillId="0" borderId="10" xfId="14" applyNumberFormat="1" applyFont="1" applyBorder="1" applyAlignment="1" applyProtection="1">
      <alignment horizontal="center" vertical="center"/>
    </xf>
    <xf numFmtId="0" fontId="12" fillId="18" borderId="4" xfId="6" applyNumberFormat="1" applyFont="1" applyFill="1" applyBorder="1" applyAlignment="1">
      <alignment horizontal="left" vertical="center" wrapText="1"/>
    </xf>
    <xf numFmtId="3" fontId="12" fillId="0" borderId="11" xfId="14" applyNumberFormat="1" applyFont="1" applyBorder="1" applyAlignment="1" applyProtection="1">
      <alignment horizontal="left" vertical="center"/>
    </xf>
    <xf numFmtId="4" fontId="12" fillId="19" borderId="5" xfId="3" applyNumberFormat="1" applyFont="1" applyFill="1" applyBorder="1" applyAlignment="1" applyProtection="1">
      <alignment horizontal="center" vertical="center"/>
    </xf>
    <xf numFmtId="167" fontId="10" fillId="17" borderId="5" xfId="1" applyNumberFormat="1" applyFont="1" applyFill="1" applyBorder="1" applyAlignment="1" applyProtection="1">
      <alignment horizontal="left" vertical="center"/>
    </xf>
    <xf numFmtId="167" fontId="12" fillId="18" borderId="5" xfId="3" applyNumberFormat="1" applyFont="1" applyFill="1" applyBorder="1" applyAlignment="1" applyProtection="1">
      <alignment horizontal="left" vertical="center"/>
    </xf>
    <xf numFmtId="1" fontId="12" fillId="18" borderId="5" xfId="3" applyNumberFormat="1" applyFont="1" applyFill="1" applyBorder="1" applyAlignment="1" applyProtection="1">
      <alignment horizontal="center" vertical="center"/>
    </xf>
    <xf numFmtId="167" fontId="10" fillId="14" borderId="5" xfId="1" applyNumberFormat="1" applyFont="1" applyFill="1" applyBorder="1" applyAlignment="1" applyProtection="1">
      <alignment horizontal="left" vertical="center"/>
    </xf>
    <xf numFmtId="1" fontId="10" fillId="14" borderId="5" xfId="1" applyNumberFormat="1" applyFont="1" applyFill="1" applyBorder="1" applyAlignment="1" applyProtection="1">
      <alignment horizontal="center" vertical="center"/>
    </xf>
    <xf numFmtId="0" fontId="12" fillId="18" borderId="5" xfId="0" applyFont="1" applyFill="1" applyBorder="1" applyAlignment="1">
      <alignment vertical="center"/>
    </xf>
    <xf numFmtId="1" fontId="12" fillId="18" borderId="5" xfId="0" applyNumberFormat="1" applyFont="1" applyFill="1" applyBorder="1" applyAlignment="1">
      <alignment horizontal="center" vertical="center"/>
    </xf>
    <xf numFmtId="167" fontId="12" fillId="20" borderId="5" xfId="14" applyNumberFormat="1" applyFont="1" applyFill="1" applyBorder="1" applyAlignment="1" applyProtection="1">
      <alignment horizontal="left" vertical="center"/>
    </xf>
    <xf numFmtId="0" fontId="10" fillId="17" borderId="5" xfId="0" applyFont="1" applyFill="1" applyBorder="1" applyAlignment="1">
      <alignment vertical="center"/>
    </xf>
    <xf numFmtId="1" fontId="10" fillId="18" borderId="5" xfId="0" applyNumberFormat="1" applyFont="1" applyFill="1" applyBorder="1" applyAlignment="1">
      <alignment horizontal="center" vertical="center"/>
    </xf>
    <xf numFmtId="0" fontId="10" fillId="18" borderId="2" xfId="0" applyFont="1" applyFill="1" applyBorder="1" applyAlignment="1">
      <alignment vertical="center"/>
    </xf>
    <xf numFmtId="1" fontId="10" fillId="18" borderId="2" xfId="0" applyNumberFormat="1" applyFont="1" applyFill="1" applyBorder="1" applyAlignment="1">
      <alignment horizontal="center" vertical="center"/>
    </xf>
    <xf numFmtId="1" fontId="10" fillId="17" borderId="5" xfId="0" applyNumberFormat="1" applyFont="1" applyFill="1" applyBorder="1" applyAlignment="1">
      <alignment horizontal="center" vertical="center"/>
    </xf>
    <xf numFmtId="3" fontId="155" fillId="16" borderId="5" xfId="14" applyNumberFormat="1" applyFont="1" applyFill="1" applyBorder="1" applyAlignment="1" applyProtection="1">
      <alignment horizontal="left" vertical="center"/>
    </xf>
    <xf numFmtId="3" fontId="12" fillId="0" borderId="5" xfId="0" applyNumberFormat="1" applyFont="1" applyBorder="1" applyAlignment="1">
      <alignment horizontal="center" vertical="center" wrapText="1"/>
    </xf>
    <xf numFmtId="0" fontId="12" fillId="0" borderId="5" xfId="0" applyFont="1" applyBorder="1" applyAlignment="1">
      <alignment vertical="center"/>
    </xf>
    <xf numFmtId="1" fontId="12" fillId="18" borderId="5" xfId="0" applyNumberFormat="1" applyFont="1" applyFill="1" applyBorder="1" applyAlignment="1">
      <alignment horizontal="center" vertical="center" wrapText="1"/>
    </xf>
    <xf numFmtId="0" fontId="43" fillId="0" borderId="5" xfId="0" applyFont="1" applyBorder="1" applyAlignment="1">
      <alignment horizontal="center" vertical="center"/>
    </xf>
    <xf numFmtId="1" fontId="12" fillId="18" borderId="5" xfId="14" applyNumberFormat="1" applyFont="1" applyFill="1" applyBorder="1" applyAlignment="1">
      <alignment horizontal="center" vertical="center"/>
    </xf>
    <xf numFmtId="3" fontId="12" fillId="0" borderId="5" xfId="0" applyNumberFormat="1" applyFont="1" applyFill="1" applyBorder="1" applyAlignment="1">
      <alignment horizontal="center" vertical="center" wrapText="1"/>
    </xf>
    <xf numFmtId="3" fontId="12" fillId="0" borderId="97" xfId="0" applyNumberFormat="1" applyFont="1" applyBorder="1" applyAlignment="1">
      <alignment horizontal="center" vertical="center" wrapText="1"/>
    </xf>
    <xf numFmtId="3" fontId="12" fillId="0" borderId="97" xfId="0" applyNumberFormat="1" applyFont="1" applyFill="1" applyBorder="1" applyAlignment="1">
      <alignment horizontal="center" vertical="center" wrapText="1"/>
    </xf>
    <xf numFmtId="3" fontId="10" fillId="13" borderId="5" xfId="0" applyNumberFormat="1" applyFont="1" applyFill="1" applyBorder="1" applyAlignment="1">
      <alignment horizontal="center" vertical="center" wrapText="1"/>
    </xf>
    <xf numFmtId="1" fontId="10" fillId="13" borderId="5" xfId="0" applyNumberFormat="1" applyFont="1" applyFill="1" applyBorder="1" applyAlignment="1">
      <alignment horizontal="center" vertical="center" wrapText="1"/>
    </xf>
    <xf numFmtId="3" fontId="10" fillId="14" borderId="4" xfId="0" applyNumberFormat="1" applyFont="1" applyFill="1" applyBorder="1" applyAlignment="1">
      <alignment horizontal="left" vertical="center" wrapText="1"/>
    </xf>
    <xf numFmtId="1" fontId="10" fillId="14" borderId="4" xfId="0" applyNumberFormat="1" applyFont="1" applyFill="1" applyBorder="1" applyAlignment="1">
      <alignment horizontal="center" vertical="center" wrapText="1"/>
    </xf>
    <xf numFmtId="3" fontId="12" fillId="17" borderId="5" xfId="0" applyNumberFormat="1" applyFont="1" applyFill="1" applyBorder="1" applyAlignment="1">
      <alignment horizontal="left" vertical="center" wrapText="1"/>
    </xf>
    <xf numFmtId="9" fontId="12" fillId="0" borderId="5" xfId="14" applyFont="1" applyFill="1" applyBorder="1" applyAlignment="1">
      <alignment horizontal="left" vertical="center"/>
    </xf>
    <xf numFmtId="9" fontId="12" fillId="0" borderId="97" xfId="14" applyFont="1" applyFill="1" applyBorder="1" applyAlignment="1">
      <alignment horizontal="left" vertical="center"/>
    </xf>
    <xf numFmtId="3" fontId="12" fillId="17" borderId="19" xfId="0" applyNumberFormat="1" applyFont="1" applyFill="1" applyBorder="1" applyAlignment="1">
      <alignment horizontal="center" vertical="center" wrapText="1"/>
    </xf>
    <xf numFmtId="3" fontId="12" fillId="17" borderId="2"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1" fontId="12" fillId="17" borderId="15" xfId="0" applyNumberFormat="1" applyFont="1" applyFill="1" applyBorder="1" applyAlignment="1">
      <alignment horizontal="center" vertical="center" wrapText="1"/>
    </xf>
    <xf numFmtId="1" fontId="12" fillId="17" borderId="9" xfId="0" applyNumberFormat="1" applyFont="1" applyFill="1" applyBorder="1" applyAlignment="1">
      <alignment horizontal="center" vertical="center" wrapText="1"/>
    </xf>
    <xf numFmtId="3" fontId="12" fillId="0" borderId="10" xfId="0" applyNumberFormat="1" applyFont="1" applyBorder="1" applyAlignment="1">
      <alignment horizontal="center" vertical="center" wrapText="1"/>
    </xf>
    <xf numFmtId="1" fontId="12" fillId="0" borderId="18"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3" fontId="10" fillId="14" borderId="5" xfId="0" applyNumberFormat="1" applyFont="1" applyFill="1" applyBorder="1" applyAlignment="1">
      <alignment horizontal="center" vertical="center" wrapText="1"/>
    </xf>
    <xf numFmtId="1" fontId="10" fillId="14" borderId="5" xfId="0" applyNumberFormat="1" applyFont="1" applyFill="1" applyBorder="1" applyAlignment="1">
      <alignment horizontal="center" vertical="center" wrapText="1"/>
    </xf>
    <xf numFmtId="3" fontId="10" fillId="17" borderId="5" xfId="0" applyNumberFormat="1" applyFont="1" applyFill="1" applyBorder="1" applyAlignment="1">
      <alignment horizontal="left" vertical="center" wrapText="1"/>
    </xf>
    <xf numFmtId="0" fontId="12" fillId="17" borderId="5" xfId="13" applyFont="1" applyFill="1" applyBorder="1" applyAlignment="1">
      <alignment vertical="center"/>
    </xf>
    <xf numFmtId="3" fontId="12" fillId="18" borderId="5" xfId="0" applyNumberFormat="1" applyFont="1" applyFill="1" applyBorder="1" applyAlignment="1">
      <alignment horizontal="center" vertical="center" wrapText="1"/>
    </xf>
    <xf numFmtId="1" fontId="12" fillId="17" borderId="2" xfId="0" applyNumberFormat="1" applyFont="1" applyFill="1" applyBorder="1" applyAlignment="1">
      <alignment horizontal="center" vertical="center" wrapText="1"/>
    </xf>
    <xf numFmtId="3" fontId="12" fillId="17" borderId="4" xfId="0" applyNumberFormat="1" applyFont="1" applyFill="1" applyBorder="1" applyAlignment="1">
      <alignment horizontal="center" vertical="center" wrapText="1"/>
    </xf>
    <xf numFmtId="1" fontId="12" fillId="17" borderId="4" xfId="0" applyNumberFormat="1" applyFont="1" applyFill="1" applyBorder="1" applyAlignment="1">
      <alignment horizontal="center" vertical="center" wrapText="1"/>
    </xf>
    <xf numFmtId="1" fontId="12" fillId="0" borderId="97" xfId="0" applyNumberFormat="1" applyFont="1" applyBorder="1" applyAlignment="1">
      <alignment horizontal="center" vertical="center" wrapText="1"/>
    </xf>
    <xf numFmtId="3" fontId="148" fillId="17" borderId="54" xfId="0" applyNumberFormat="1" applyFont="1" applyFill="1" applyBorder="1" applyAlignment="1">
      <alignment horizontal="center" vertical="center" wrapText="1"/>
    </xf>
    <xf numFmtId="1" fontId="148" fillId="17" borderId="54" xfId="0" applyNumberFormat="1" applyFont="1" applyFill="1" applyBorder="1" applyAlignment="1">
      <alignment horizontal="center" vertical="center" wrapText="1"/>
    </xf>
    <xf numFmtId="3" fontId="10" fillId="14" borderId="97" xfId="0" applyNumberFormat="1" applyFont="1" applyFill="1" applyBorder="1" applyAlignment="1">
      <alignment horizontal="center" vertical="center" wrapText="1"/>
    </xf>
    <xf numFmtId="1" fontId="10" fillId="14" borderId="97" xfId="0" applyNumberFormat="1" applyFont="1" applyFill="1" applyBorder="1" applyAlignment="1">
      <alignment horizontal="center" vertical="center" wrapText="1"/>
    </xf>
    <xf numFmtId="3" fontId="12" fillId="13" borderId="5" xfId="0" applyNumberFormat="1" applyFont="1" applyFill="1" applyBorder="1" applyAlignment="1">
      <alignment horizontal="center" vertical="center" wrapText="1"/>
    </xf>
    <xf numFmtId="1" fontId="12" fillId="13" borderId="5" xfId="0" applyNumberFormat="1" applyFont="1" applyFill="1" applyBorder="1" applyAlignment="1">
      <alignment horizontal="center" vertical="center" wrapText="1"/>
    </xf>
    <xf numFmtId="0" fontId="12" fillId="17" borderId="5" xfId="0" applyFont="1" applyFill="1" applyBorder="1" applyAlignment="1">
      <alignment vertical="center" wrapText="1"/>
    </xf>
    <xf numFmtId="4" fontId="12" fillId="0" borderId="10" xfId="0" applyNumberFormat="1" applyFont="1" applyBorder="1" applyAlignment="1">
      <alignment horizontal="center" vertical="center" wrapText="1"/>
    </xf>
    <xf numFmtId="3" fontId="155" fillId="0" borderId="10" xfId="14" applyNumberFormat="1" applyFont="1" applyFill="1" applyBorder="1" applyAlignment="1" applyProtection="1">
      <alignment horizontal="left" vertical="center"/>
    </xf>
    <xf numFmtId="1" fontId="104" fillId="0" borderId="2" xfId="14" applyNumberFormat="1" applyFont="1" applyBorder="1" applyAlignment="1" applyProtection="1">
      <alignment horizontal="center" vertical="center"/>
    </xf>
    <xf numFmtId="1" fontId="156" fillId="0" borderId="2" xfId="14" applyNumberFormat="1" applyFont="1" applyBorder="1" applyAlignment="1" applyProtection="1">
      <alignment horizontal="center" vertical="center"/>
    </xf>
    <xf numFmtId="3" fontId="12" fillId="18" borderId="10" xfId="0" applyNumberFormat="1" applyFont="1" applyFill="1" applyBorder="1" applyAlignment="1">
      <alignment horizontal="center" vertical="center" wrapText="1"/>
    </xf>
    <xf numFmtId="4" fontId="12" fillId="18" borderId="97" xfId="0" applyNumberFormat="1" applyFont="1" applyFill="1" applyBorder="1" applyAlignment="1">
      <alignment horizontal="center" vertical="center" wrapText="1"/>
    </xf>
    <xf numFmtId="4" fontId="12" fillId="18" borderId="10" xfId="0" applyNumberFormat="1" applyFont="1" applyFill="1" applyBorder="1" applyAlignment="1">
      <alignment horizontal="center" vertical="center" wrapText="1"/>
    </xf>
    <xf numFmtId="2" fontId="12" fillId="18" borderId="10" xfId="0" applyNumberFormat="1" applyFont="1" applyFill="1" applyBorder="1" applyAlignment="1">
      <alignment horizontal="center" vertical="center" wrapText="1"/>
    </xf>
    <xf numFmtId="177" fontId="12" fillId="0" borderId="97" xfId="0" applyNumberFormat="1" applyFont="1" applyBorder="1" applyAlignment="1">
      <alignment horizontal="center" vertical="center" wrapText="1"/>
    </xf>
    <xf numFmtId="177" fontId="12" fillId="0" borderId="10" xfId="0" applyNumberFormat="1" applyFont="1" applyBorder="1" applyAlignment="1">
      <alignment horizontal="center" vertical="center" wrapText="1"/>
    </xf>
    <xf numFmtId="0" fontId="12" fillId="0" borderId="5" xfId="0" applyFont="1" applyFill="1" applyBorder="1" applyAlignment="1">
      <alignment vertical="center" wrapText="1"/>
    </xf>
    <xf numFmtId="1" fontId="12" fillId="0" borderId="5" xfId="0" applyNumberFormat="1" applyFont="1" applyFill="1" applyBorder="1" applyAlignment="1">
      <alignment horizontal="center" vertical="center" wrapText="1"/>
    </xf>
    <xf numFmtId="1" fontId="12" fillId="18" borderId="97" xfId="0" applyNumberFormat="1" applyFont="1" applyFill="1" applyBorder="1" applyAlignment="1">
      <alignment horizontal="center" vertical="center" wrapText="1"/>
    </xf>
    <xf numFmtId="0" fontId="12" fillId="17" borderId="97" xfId="0" applyFont="1" applyFill="1" applyBorder="1" applyAlignment="1">
      <alignment vertical="center" wrapText="1"/>
    </xf>
    <xf numFmtId="1" fontId="12" fillId="17" borderId="97" xfId="0" applyNumberFormat="1" applyFont="1" applyFill="1" applyBorder="1" applyAlignment="1">
      <alignment horizontal="center" vertical="center" wrapText="1"/>
    </xf>
    <xf numFmtId="167" fontId="10" fillId="0" borderId="5" xfId="3" applyNumberFormat="1" applyFont="1" applyFill="1" applyBorder="1" applyAlignment="1">
      <alignment horizontal="center" vertical="center" wrapText="1"/>
    </xf>
    <xf numFmtId="1" fontId="10" fillId="0" borderId="5" xfId="3" applyNumberFormat="1" applyFont="1" applyFill="1" applyBorder="1" applyAlignment="1">
      <alignment horizontal="center" vertical="center" wrapText="1"/>
    </xf>
    <xf numFmtId="0" fontId="12" fillId="17" borderId="2" xfId="0" applyFont="1" applyFill="1" applyBorder="1" applyAlignment="1">
      <alignment vertical="center" wrapText="1"/>
    </xf>
    <xf numFmtId="1" fontId="12" fillId="17" borderId="2" xfId="0" applyNumberFormat="1" applyFont="1" applyFill="1" applyBorder="1" applyAlignment="1">
      <alignment vertical="center" wrapText="1"/>
    </xf>
    <xf numFmtId="1" fontId="12" fillId="18" borderId="10" xfId="0" applyNumberFormat="1" applyFont="1" applyFill="1" applyBorder="1" applyAlignment="1">
      <alignment horizontal="center" vertical="center" wrapText="1"/>
    </xf>
    <xf numFmtId="0" fontId="104" fillId="0" borderId="0" xfId="0" applyFont="1"/>
    <xf numFmtId="1" fontId="104" fillId="0" borderId="0" xfId="0" applyNumberFormat="1" applyFont="1"/>
    <xf numFmtId="3" fontId="8" fillId="0" borderId="0" xfId="0" applyNumberFormat="1" applyFont="1" applyBorder="1" applyAlignment="1">
      <alignment horizontal="center" vertical="center" wrapText="1"/>
    </xf>
    <xf numFmtId="1" fontId="8" fillId="0" borderId="0" xfId="0" applyNumberFormat="1" applyFont="1" applyBorder="1" applyAlignment="1">
      <alignment horizontal="center" vertical="center" wrapText="1"/>
    </xf>
    <xf numFmtId="1" fontId="112" fillId="0" borderId="103" xfId="0" applyNumberFormat="1" applyFont="1" applyBorder="1" applyAlignment="1">
      <alignment horizontal="left" vertical="center"/>
    </xf>
    <xf numFmtId="1" fontId="112" fillId="0" borderId="52" xfId="0" applyNumberFormat="1" applyFont="1" applyBorder="1" applyAlignment="1">
      <alignment horizontal="left" vertical="center"/>
    </xf>
    <xf numFmtId="4" fontId="0" fillId="0" borderId="0" xfId="0" applyNumberFormat="1" applyBorder="1"/>
    <xf numFmtId="165" fontId="0" fillId="0" borderId="0" xfId="17" applyFont="1"/>
    <xf numFmtId="165" fontId="0" fillId="0" borderId="0" xfId="17" applyFont="1" applyFill="1" applyBorder="1"/>
    <xf numFmtId="0" fontId="44" fillId="0" borderId="44" xfId="0" applyFont="1" applyFill="1" applyBorder="1" applyAlignment="1">
      <alignment horizontal="left" vertical="center" wrapText="1"/>
    </xf>
    <xf numFmtId="165" fontId="49" fillId="0" borderId="0" xfId="0" applyNumberFormat="1" applyFont="1"/>
    <xf numFmtId="43" fontId="0" fillId="0" borderId="0" xfId="0" applyNumberFormat="1"/>
    <xf numFmtId="168" fontId="12" fillId="16" borderId="2" xfId="14" applyNumberFormat="1" applyFont="1" applyFill="1" applyBorder="1" applyAlignment="1" applyProtection="1">
      <alignment horizontal="center" vertical="center"/>
    </xf>
    <xf numFmtId="3" fontId="127" fillId="0" borderId="5" xfId="0" applyNumberFormat="1" applyFont="1" applyBorder="1" applyAlignment="1">
      <alignment horizontal="left" vertical="center" wrapText="1"/>
    </xf>
    <xf numFmtId="3" fontId="127" fillId="0" borderId="31" xfId="0" applyNumberFormat="1" applyFont="1" applyBorder="1" applyAlignment="1">
      <alignment horizontal="left" vertical="center" wrapText="1"/>
    </xf>
    <xf numFmtId="3" fontId="127" fillId="0" borderId="33" xfId="0" applyNumberFormat="1" applyFont="1" applyBorder="1" applyAlignment="1">
      <alignment horizontal="left" vertical="center" wrapText="1"/>
    </xf>
    <xf numFmtId="3" fontId="127" fillId="0" borderId="11" xfId="0" applyNumberFormat="1" applyFont="1" applyBorder="1" applyAlignment="1">
      <alignment horizontal="left" vertical="center" wrapText="1"/>
    </xf>
    <xf numFmtId="3" fontId="127" fillId="0" borderId="34" xfId="0" applyNumberFormat="1" applyFont="1" applyBorder="1" applyAlignment="1">
      <alignment horizontal="left" vertical="center" wrapText="1"/>
    </xf>
    <xf numFmtId="0" fontId="0" fillId="0" borderId="0" xfId="0"/>
    <xf numFmtId="1" fontId="84" fillId="47" borderId="0" xfId="0" applyNumberFormat="1" applyFont="1" applyFill="1" applyBorder="1" applyAlignment="1">
      <alignment horizontal="left" vertical="center"/>
    </xf>
    <xf numFmtId="0" fontId="12" fillId="18" borderId="5" xfId="0" applyFont="1" applyFill="1" applyBorder="1" applyAlignment="1">
      <alignment horizontal="center" vertical="center"/>
    </xf>
    <xf numFmtId="0" fontId="10" fillId="18" borderId="5" xfId="0" applyFont="1" applyFill="1" applyBorder="1" applyAlignment="1">
      <alignment horizontal="center" vertical="center"/>
    </xf>
    <xf numFmtId="0" fontId="26" fillId="17" borderId="2" xfId="0" applyFont="1" applyFill="1" applyBorder="1" applyAlignment="1">
      <alignment horizontal="center" vertical="center" wrapText="1"/>
    </xf>
    <xf numFmtId="3" fontId="10" fillId="17" borderId="2" xfId="0" applyNumberFormat="1" applyFont="1" applyFill="1" applyBorder="1" applyAlignment="1">
      <alignment horizontal="center" vertical="center" wrapText="1"/>
    </xf>
    <xf numFmtId="167" fontId="12" fillId="0" borderId="5" xfId="14" applyNumberFormat="1" applyFont="1" applyFill="1" applyBorder="1" applyAlignment="1" applyProtection="1">
      <alignment horizontal="left" vertical="center"/>
    </xf>
    <xf numFmtId="3" fontId="10" fillId="17" borderId="4" xfId="0" applyNumberFormat="1" applyFont="1" applyFill="1" applyBorder="1" applyAlignment="1">
      <alignment horizontal="center" vertical="center" wrapText="1"/>
    </xf>
    <xf numFmtId="3" fontId="10" fillId="17" borderId="54" xfId="0" applyNumberFormat="1" applyFont="1" applyFill="1" applyBorder="1" applyAlignment="1">
      <alignment horizontal="center" vertical="center" wrapText="1"/>
    </xf>
    <xf numFmtId="0" fontId="26" fillId="17" borderId="3" xfId="0" applyFont="1" applyFill="1" applyBorder="1" applyAlignment="1">
      <alignment horizontal="center" vertical="center" wrapText="1"/>
    </xf>
    <xf numFmtId="0" fontId="12" fillId="20" borderId="5" xfId="10" applyNumberFormat="1" applyFont="1" applyFill="1" applyBorder="1" applyAlignment="1">
      <alignment horizontal="left" vertical="center" wrapText="1"/>
    </xf>
    <xf numFmtId="167" fontId="12" fillId="18" borderId="2" xfId="14" applyNumberFormat="1" applyFont="1" applyFill="1" applyBorder="1" applyAlignment="1" applyProtection="1">
      <alignment horizontal="left" vertical="center"/>
    </xf>
    <xf numFmtId="0" fontId="12" fillId="20" borderId="10" xfId="10" applyNumberFormat="1" applyFont="1" applyFill="1" applyBorder="1" applyAlignment="1">
      <alignment horizontal="left" vertical="center" wrapText="1"/>
    </xf>
    <xf numFmtId="0" fontId="12" fillId="20" borderId="11" xfId="10" applyNumberFormat="1" applyFont="1" applyFill="1" applyBorder="1" applyAlignment="1">
      <alignment horizontal="left" vertical="center" wrapText="1"/>
    </xf>
    <xf numFmtId="2" fontId="12" fillId="0" borderId="97" xfId="0" applyNumberFormat="1" applyFont="1" applyBorder="1" applyAlignment="1">
      <alignment horizontal="center" vertical="center" wrapText="1"/>
    </xf>
    <xf numFmtId="2" fontId="0" fillId="0" borderId="5" xfId="0" applyNumberFormat="1" applyBorder="1"/>
    <xf numFmtId="0" fontId="0" fillId="0" borderId="0" xfId="0"/>
    <xf numFmtId="49" fontId="8" fillId="40" borderId="5" xfId="0" applyNumberFormat="1" applyFont="1" applyFill="1" applyBorder="1" applyAlignment="1">
      <alignment vertical="top" wrapText="1"/>
    </xf>
    <xf numFmtId="0" fontId="106" fillId="36" borderId="92" xfId="0" applyFont="1" applyFill="1" applyBorder="1" applyAlignment="1">
      <alignment horizontal="center" vertical="center" wrapText="1"/>
    </xf>
    <xf numFmtId="0" fontId="106" fillId="36" borderId="93" xfId="0" applyFont="1" applyFill="1" applyBorder="1" applyAlignment="1">
      <alignment horizontal="center" vertical="center" wrapText="1"/>
    </xf>
    <xf numFmtId="0" fontId="158" fillId="0" borderId="0" xfId="0" applyFont="1" applyAlignment="1">
      <alignment horizontal="center"/>
    </xf>
    <xf numFmtId="0" fontId="22" fillId="21" borderId="94" xfId="0" applyFont="1" applyFill="1" applyBorder="1" applyAlignment="1">
      <alignment vertical="center" wrapText="1"/>
    </xf>
    <xf numFmtId="0" fontId="103" fillId="36" borderId="94" xfId="0" applyFont="1" applyFill="1" applyBorder="1" applyAlignment="1">
      <alignment wrapText="1"/>
    </xf>
    <xf numFmtId="0" fontId="103" fillId="36" borderId="95" xfId="0" applyFont="1" applyFill="1" applyBorder="1" applyAlignment="1">
      <alignment horizontal="right" wrapText="1"/>
    </xf>
    <xf numFmtId="1" fontId="146" fillId="0" borderId="0" xfId="0" applyNumberFormat="1" applyFont="1"/>
    <xf numFmtId="0" fontId="0" fillId="0" borderId="0" xfId="0"/>
    <xf numFmtId="0" fontId="0" fillId="0" borderId="15" xfId="0" applyBorder="1"/>
    <xf numFmtId="1" fontId="150" fillId="0" borderId="0" xfId="0" applyNumberFormat="1" applyFont="1"/>
    <xf numFmtId="0" fontId="0" fillId="6" borderId="5" xfId="6" applyFont="1" applyBorder="1"/>
    <xf numFmtId="0" fontId="5" fillId="30" borderId="5" xfId="18" applyBorder="1"/>
    <xf numFmtId="0" fontId="16" fillId="2" borderId="9" xfId="1" applyBorder="1"/>
    <xf numFmtId="0" fontId="16" fillId="2" borderId="54" xfId="1" applyBorder="1" applyAlignment="1">
      <alignment vertical="top" wrapText="1"/>
    </xf>
    <xf numFmtId="0" fontId="16" fillId="2" borderId="54" xfId="1" applyBorder="1" applyAlignment="1">
      <alignment vertical="top"/>
    </xf>
    <xf numFmtId="0" fontId="4" fillId="2" borderId="54" xfId="1" applyFont="1" applyBorder="1" applyAlignment="1">
      <alignment vertical="top" wrapText="1"/>
    </xf>
    <xf numFmtId="0" fontId="0" fillId="0" borderId="98" xfId="0" applyBorder="1"/>
    <xf numFmtId="0" fontId="0" fillId="0" borderId="97" xfId="0" applyBorder="1" applyAlignment="1">
      <alignment horizontal="center"/>
    </xf>
    <xf numFmtId="0" fontId="71" fillId="11" borderId="97" xfId="0" applyFont="1" applyFill="1" applyBorder="1" applyAlignment="1">
      <alignment horizontal="center"/>
    </xf>
    <xf numFmtId="0" fontId="6" fillId="29" borderId="9" xfId="16" applyBorder="1"/>
    <xf numFmtId="0" fontId="6" fillId="29" borderId="54" xfId="16" applyBorder="1"/>
    <xf numFmtId="0" fontId="0" fillId="37" borderId="54" xfId="0" applyFill="1" applyBorder="1"/>
    <xf numFmtId="0" fontId="0" fillId="37" borderId="26" xfId="0" applyFill="1" applyBorder="1"/>
    <xf numFmtId="0" fontId="0" fillId="37" borderId="62" xfId="0" applyFill="1" applyBorder="1"/>
    <xf numFmtId="3" fontId="0" fillId="0" borderId="97" xfId="0" applyNumberFormat="1" applyBorder="1" applyAlignment="1">
      <alignment horizontal="center"/>
    </xf>
    <xf numFmtId="0" fontId="0" fillId="0" borderId="97" xfId="0" applyBorder="1"/>
    <xf numFmtId="0" fontId="160" fillId="11" borderId="15" xfId="0" applyFont="1" applyFill="1" applyBorder="1"/>
    <xf numFmtId="0" fontId="0" fillId="11" borderId="5" xfId="0" applyFill="1" applyBorder="1" applyAlignment="1">
      <alignment horizontal="center"/>
    </xf>
    <xf numFmtId="0" fontId="160" fillId="11" borderId="5" xfId="0" applyFont="1" applyFill="1" applyBorder="1" applyAlignment="1">
      <alignment horizontal="center"/>
    </xf>
    <xf numFmtId="0" fontId="160" fillId="11" borderId="5" xfId="0" applyFont="1" applyFill="1" applyBorder="1"/>
    <xf numFmtId="168" fontId="6" fillId="29" borderId="5" xfId="16" applyNumberFormat="1" applyBorder="1"/>
    <xf numFmtId="168" fontId="0" fillId="0" borderId="0" xfId="0" applyNumberFormat="1"/>
    <xf numFmtId="3" fontId="0" fillId="0" borderId="32" xfId="0" applyNumberFormat="1" applyBorder="1" applyAlignment="1">
      <alignment horizontal="center" vertical="center"/>
    </xf>
    <xf numFmtId="0" fontId="80" fillId="0" borderId="2" xfId="0" applyFont="1" applyFill="1" applyBorder="1" applyAlignment="1">
      <alignment horizontal="left" vertical="center" wrapText="1"/>
    </xf>
    <xf numFmtId="9" fontId="89" fillId="0" borderId="80" xfId="0" applyNumberFormat="1" applyFont="1" applyBorder="1" applyAlignment="1">
      <alignment horizontal="left" vertical="center"/>
    </xf>
    <xf numFmtId="9" fontId="89" fillId="0" borderId="75" xfId="0" applyNumberFormat="1" applyFont="1" applyBorder="1" applyAlignment="1">
      <alignment horizontal="left" vertical="center"/>
    </xf>
    <xf numFmtId="9" fontId="89" fillId="0" borderId="0" xfId="0" applyNumberFormat="1" applyFont="1" applyBorder="1" applyAlignment="1">
      <alignment horizontal="left" vertical="center"/>
    </xf>
    <xf numFmtId="9" fontId="112" fillId="0" borderId="23" xfId="0" applyNumberFormat="1" applyFont="1" applyBorder="1" applyAlignment="1">
      <alignment horizontal="left" vertical="center"/>
    </xf>
    <xf numFmtId="0" fontId="112" fillId="0" borderId="75" xfId="0" applyFont="1" applyBorder="1" applyAlignment="1">
      <alignment horizontal="left" vertical="center"/>
    </xf>
    <xf numFmtId="0" fontId="112" fillId="0" borderId="0" xfId="0" applyFont="1" applyBorder="1" applyAlignment="1">
      <alignment horizontal="left" vertical="center"/>
    </xf>
    <xf numFmtId="9" fontId="89" fillId="0" borderId="49" xfId="0" applyNumberFormat="1" applyFont="1" applyBorder="1" applyAlignment="1">
      <alignment horizontal="left" vertical="center"/>
    </xf>
    <xf numFmtId="9" fontId="89" fillId="0" borderId="23" xfId="0" applyNumberFormat="1" applyFont="1" applyBorder="1" applyAlignment="1">
      <alignment horizontal="left" vertical="center"/>
    </xf>
    <xf numFmtId="0" fontId="118" fillId="0" borderId="0" xfId="0" applyFont="1" applyBorder="1" applyAlignment="1">
      <alignment horizontal="left" vertical="center"/>
    </xf>
    <xf numFmtId="0" fontId="117" fillId="0" borderId="8" xfId="0" applyFont="1" applyBorder="1" applyAlignment="1">
      <alignment horizontal="center" vertical="center"/>
    </xf>
    <xf numFmtId="0" fontId="117" fillId="0" borderId="55" xfId="0" applyFont="1" applyBorder="1" applyAlignment="1">
      <alignment horizontal="center" vertical="center"/>
    </xf>
    <xf numFmtId="0" fontId="62" fillId="49" borderId="74" xfId="0" applyFont="1" applyFill="1" applyBorder="1" applyAlignment="1">
      <alignment horizontal="left" vertical="center" textRotation="90"/>
    </xf>
    <xf numFmtId="0" fontId="78" fillId="35" borderId="71"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76" fillId="0" borderId="23"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75" xfId="0" applyFont="1" applyFill="1" applyBorder="1" applyAlignment="1">
      <alignment horizontal="left" vertical="center" wrapText="1"/>
    </xf>
    <xf numFmtId="0" fontId="76" fillId="0" borderId="80" xfId="0" applyFont="1" applyFill="1" applyBorder="1" applyAlignment="1">
      <alignment horizontal="left" vertical="center" wrapText="1"/>
    </xf>
    <xf numFmtId="0" fontId="76" fillId="0" borderId="86" xfId="0" applyFont="1" applyFill="1" applyBorder="1" applyAlignment="1">
      <alignment horizontal="left" vertical="center" wrapText="1"/>
    </xf>
    <xf numFmtId="0" fontId="76" fillId="0" borderId="89" xfId="0" applyFont="1" applyFill="1" applyBorder="1" applyAlignment="1">
      <alignment horizontal="left" vertical="center" wrapText="1"/>
    </xf>
    <xf numFmtId="0" fontId="121" fillId="0" borderId="71" xfId="0" applyFont="1" applyBorder="1" applyAlignment="1">
      <alignment horizontal="left" vertical="center"/>
    </xf>
    <xf numFmtId="0" fontId="0" fillId="0" borderId="0" xfId="0"/>
    <xf numFmtId="0" fontId="4" fillId="6" borderId="99" xfId="6" applyFont="1" applyBorder="1" applyAlignment="1">
      <alignment horizontal="left" vertical="center"/>
    </xf>
    <xf numFmtId="0" fontId="4" fillId="6" borderId="100" xfId="6" applyFont="1" applyBorder="1" applyAlignment="1">
      <alignment horizontal="left" vertical="center"/>
    </xf>
    <xf numFmtId="1" fontId="4" fillId="6" borderId="100" xfId="6" applyNumberFormat="1" applyFont="1" applyBorder="1" applyAlignment="1">
      <alignment horizontal="left" vertical="center"/>
    </xf>
    <xf numFmtId="0" fontId="4" fillId="6" borderId="101" xfId="6" applyFont="1" applyBorder="1" applyAlignment="1">
      <alignment horizontal="left" vertical="center"/>
    </xf>
    <xf numFmtId="0" fontId="4" fillId="46" borderId="83" xfId="2" applyFont="1" applyFill="1" applyBorder="1" applyAlignment="1">
      <alignment horizontal="left" vertical="center"/>
    </xf>
    <xf numFmtId="167" fontId="4" fillId="46" borderId="49" xfId="2" applyNumberFormat="1" applyFont="1" applyFill="1" applyBorder="1" applyAlignment="1" applyProtection="1">
      <alignment horizontal="left" vertical="center"/>
    </xf>
    <xf numFmtId="167" fontId="4" fillId="46" borderId="84" xfId="2" applyNumberFormat="1" applyFont="1" applyFill="1" applyBorder="1" applyAlignment="1" applyProtection="1">
      <alignment horizontal="left" vertical="center"/>
    </xf>
    <xf numFmtId="0" fontId="112" fillId="0" borderId="28" xfId="0" applyFont="1" applyBorder="1" applyAlignment="1">
      <alignment horizontal="left" vertical="center"/>
    </xf>
    <xf numFmtId="0" fontId="62" fillId="0" borderId="10" xfId="0" applyFont="1" applyBorder="1" applyAlignment="1">
      <alignment horizontal="left" vertical="center"/>
    </xf>
    <xf numFmtId="1" fontId="62" fillId="0" borderId="10" xfId="0" applyNumberFormat="1" applyFont="1" applyBorder="1" applyAlignment="1">
      <alignment horizontal="left" vertical="center"/>
    </xf>
    <xf numFmtId="0" fontId="62" fillId="0" borderId="51" xfId="0" applyFont="1" applyBorder="1" applyAlignment="1">
      <alignment horizontal="left" vertical="center"/>
    </xf>
    <xf numFmtId="9" fontId="112" fillId="0" borderId="5" xfId="11" applyNumberFormat="1" applyFont="1" applyFill="1" applyBorder="1" applyAlignment="1">
      <alignment horizontal="left" vertical="center"/>
    </xf>
    <xf numFmtId="0" fontId="112" fillId="0" borderId="5" xfId="11" applyFont="1" applyFill="1" applyBorder="1" applyAlignment="1">
      <alignment horizontal="left" vertical="center"/>
    </xf>
    <xf numFmtId="9" fontId="162" fillId="0" borderId="5" xfId="11" applyNumberFormat="1" applyFont="1" applyFill="1" applyBorder="1" applyAlignment="1">
      <alignment horizontal="left" vertical="center"/>
    </xf>
    <xf numFmtId="9" fontId="162" fillId="0" borderId="52" xfId="11" applyNumberFormat="1" applyFont="1" applyFill="1" applyBorder="1" applyAlignment="1">
      <alignment horizontal="left" vertical="center"/>
    </xf>
    <xf numFmtId="0" fontId="112" fillId="0" borderId="5" xfId="11" applyNumberFormat="1" applyFont="1" applyFill="1" applyBorder="1" applyAlignment="1">
      <alignment horizontal="left" vertical="center"/>
    </xf>
    <xf numFmtId="0" fontId="112" fillId="0" borderId="52" xfId="11" applyNumberFormat="1" applyFont="1" applyFill="1" applyBorder="1" applyAlignment="1">
      <alignment horizontal="left" vertical="center"/>
    </xf>
    <xf numFmtId="0" fontId="112" fillId="0" borderId="11" xfId="11" applyFont="1" applyFill="1" applyBorder="1" applyAlignment="1">
      <alignment horizontal="left" vertical="center"/>
    </xf>
    <xf numFmtId="0" fontId="112" fillId="0" borderId="11" xfId="11" applyNumberFormat="1" applyFont="1" applyFill="1" applyBorder="1" applyAlignment="1">
      <alignment horizontal="left" vertical="center"/>
    </xf>
    <xf numFmtId="0" fontId="112" fillId="0" borderId="34" xfId="11" applyNumberFormat="1" applyFont="1" applyFill="1" applyBorder="1" applyAlignment="1">
      <alignment horizontal="left" vertical="center"/>
    </xf>
    <xf numFmtId="0" fontId="112" fillId="0" borderId="10" xfId="0" applyFont="1" applyBorder="1" applyAlignment="1">
      <alignment horizontal="left" vertical="center"/>
    </xf>
    <xf numFmtId="0" fontId="112" fillId="0" borderId="51" xfId="0" applyFont="1" applyBorder="1" applyAlignment="1">
      <alignment horizontal="left" vertical="center"/>
    </xf>
    <xf numFmtId="1" fontId="112" fillId="0" borderId="5" xfId="11" applyNumberFormat="1" applyFont="1" applyFill="1" applyBorder="1" applyAlignment="1">
      <alignment horizontal="left" vertical="center"/>
    </xf>
    <xf numFmtId="1" fontId="112" fillId="0" borderId="52" xfId="11" applyNumberFormat="1" applyFont="1" applyFill="1" applyBorder="1" applyAlignment="1">
      <alignment horizontal="left" vertical="center"/>
    </xf>
    <xf numFmtId="1" fontId="112" fillId="0" borderId="11" xfId="11" applyNumberFormat="1" applyFont="1" applyFill="1" applyBorder="1" applyAlignment="1">
      <alignment horizontal="left" vertical="center"/>
    </xf>
    <xf numFmtId="1" fontId="112" fillId="0" borderId="34" xfId="11" applyNumberFormat="1" applyFont="1" applyFill="1" applyBorder="1" applyAlignment="1">
      <alignment horizontal="left" vertical="center"/>
    </xf>
    <xf numFmtId="9" fontId="89" fillId="0" borderId="79" xfId="0" applyNumberFormat="1" applyFont="1" applyBorder="1" applyAlignment="1">
      <alignment horizontal="left" vertical="center"/>
    </xf>
    <xf numFmtId="9" fontId="89" fillId="0" borderId="78" xfId="0" applyNumberFormat="1" applyFont="1" applyBorder="1" applyAlignment="1">
      <alignment horizontal="left" vertical="center"/>
    </xf>
    <xf numFmtId="0" fontId="112" fillId="0" borderId="0" xfId="11" applyFont="1" applyFill="1" applyBorder="1" applyAlignment="1">
      <alignment horizontal="left" vertical="center"/>
    </xf>
    <xf numFmtId="9" fontId="112" fillId="0" borderId="0" xfId="0" applyNumberFormat="1" applyFont="1" applyBorder="1" applyAlignment="1">
      <alignment horizontal="left" vertical="center"/>
    </xf>
    <xf numFmtId="0" fontId="62" fillId="0" borderId="75" xfId="0" applyFont="1" applyBorder="1" applyAlignment="1">
      <alignment horizontal="left" vertical="center"/>
    </xf>
    <xf numFmtId="9" fontId="112" fillId="0" borderId="75" xfId="0" applyNumberFormat="1" applyFont="1" applyBorder="1" applyAlignment="1">
      <alignment horizontal="left" vertical="center"/>
    </xf>
    <xf numFmtId="9" fontId="112" fillId="0" borderId="49" xfId="0" applyNumberFormat="1" applyFont="1" applyBorder="1" applyAlignment="1">
      <alignment horizontal="left" vertical="center"/>
    </xf>
    <xf numFmtId="0" fontId="62" fillId="0" borderId="14" xfId="0" applyFont="1" applyBorder="1" applyAlignment="1">
      <alignment horizontal="left" vertical="center"/>
    </xf>
    <xf numFmtId="1" fontId="91" fillId="47" borderId="14" xfId="0" applyNumberFormat="1" applyFont="1" applyFill="1" applyBorder="1" applyAlignment="1">
      <alignment horizontal="left" vertical="center"/>
    </xf>
    <xf numFmtId="1" fontId="91" fillId="47" borderId="22" xfId="0" applyNumberFormat="1" applyFont="1" applyFill="1" applyBorder="1" applyAlignment="1">
      <alignment horizontal="left" vertical="center"/>
    </xf>
    <xf numFmtId="1" fontId="84" fillId="47" borderId="49" xfId="0" applyNumberFormat="1" applyFont="1" applyFill="1" applyBorder="1" applyAlignment="1">
      <alignment horizontal="left" vertical="center"/>
    </xf>
    <xf numFmtId="1" fontId="84" fillId="47" borderId="84" xfId="0" applyNumberFormat="1" applyFont="1" applyFill="1" applyBorder="1" applyAlignment="1">
      <alignment horizontal="left" vertical="center"/>
    </xf>
    <xf numFmtId="1" fontId="114" fillId="0" borderId="82" xfId="0" applyNumberFormat="1" applyFont="1" applyBorder="1" applyAlignment="1">
      <alignment horizontal="left" vertical="center"/>
    </xf>
    <xf numFmtId="0" fontId="62" fillId="46" borderId="83" xfId="0" applyFont="1" applyFill="1" applyBorder="1" applyAlignment="1">
      <alignment horizontal="left" vertical="center"/>
    </xf>
    <xf numFmtId="167" fontId="62" fillId="46" borderId="49" xfId="3" applyNumberFormat="1" applyFont="1" applyFill="1" applyBorder="1" applyAlignment="1" applyProtection="1">
      <alignment horizontal="left" vertical="center"/>
    </xf>
    <xf numFmtId="167" fontId="62" fillId="46" borderId="84" xfId="3" applyNumberFormat="1" applyFont="1" applyFill="1" applyBorder="1" applyAlignment="1" applyProtection="1">
      <alignment horizontal="left" vertical="center"/>
    </xf>
    <xf numFmtId="1" fontId="62" fillId="0" borderId="51" xfId="0" applyNumberFormat="1" applyFont="1" applyBorder="1" applyAlignment="1">
      <alignment horizontal="left" vertical="center"/>
    </xf>
    <xf numFmtId="1" fontId="112" fillId="0" borderId="10" xfId="0" applyNumberFormat="1" applyFont="1" applyBorder="1" applyAlignment="1">
      <alignment horizontal="left" vertical="center"/>
    </xf>
    <xf numFmtId="1" fontId="112" fillId="0" borderId="51" xfId="0" applyNumberFormat="1" applyFont="1" applyBorder="1" applyAlignment="1">
      <alignment horizontal="left" vertical="center"/>
    </xf>
    <xf numFmtId="10" fontId="62" fillId="46" borderId="49" xfId="3" applyNumberFormat="1" applyFont="1" applyFill="1" applyBorder="1" applyAlignment="1" applyProtection="1">
      <alignment horizontal="left" vertical="center"/>
    </xf>
    <xf numFmtId="0" fontId="4" fillId="46" borderId="49" xfId="2" applyFont="1" applyFill="1" applyBorder="1" applyAlignment="1">
      <alignment horizontal="left" vertical="center"/>
    </xf>
    <xf numFmtId="167" fontId="154" fillId="35" borderId="10" xfId="14" applyNumberFormat="1" applyFont="1" applyFill="1" applyBorder="1" applyAlignment="1" applyProtection="1">
      <alignment horizontal="center" vertical="center"/>
    </xf>
    <xf numFmtId="9" fontId="112" fillId="0" borderId="2" xfId="11" applyNumberFormat="1" applyFont="1" applyFill="1" applyBorder="1" applyAlignment="1">
      <alignment horizontal="left" vertical="center"/>
    </xf>
    <xf numFmtId="0" fontId="112" fillId="0" borderId="2" xfId="11" applyFont="1" applyFill="1" applyBorder="1" applyAlignment="1">
      <alignment horizontal="left" vertical="center"/>
    </xf>
    <xf numFmtId="1" fontId="112" fillId="0" borderId="2" xfId="11" applyNumberFormat="1" applyFont="1" applyFill="1" applyBorder="1" applyAlignment="1">
      <alignment horizontal="left" vertical="center"/>
    </xf>
    <xf numFmtId="1" fontId="112" fillId="0" borderId="32" xfId="11" applyNumberFormat="1" applyFont="1" applyFill="1" applyBorder="1" applyAlignment="1">
      <alignment horizontal="left" vertical="center"/>
    </xf>
    <xf numFmtId="1" fontId="112" fillId="0" borderId="10" xfId="11" applyNumberFormat="1" applyFont="1" applyFill="1" applyBorder="1" applyAlignment="1">
      <alignment horizontal="left" vertical="center"/>
    </xf>
    <xf numFmtId="0" fontId="112" fillId="0" borderId="10" xfId="11" applyFont="1" applyFill="1" applyBorder="1" applyAlignment="1">
      <alignment horizontal="left" vertical="center"/>
    </xf>
    <xf numFmtId="1" fontId="15" fillId="0" borderId="10" xfId="14" applyNumberFormat="1" applyBorder="1" applyAlignment="1">
      <alignment horizontal="left"/>
    </xf>
    <xf numFmtId="1" fontId="161" fillId="0" borderId="11" xfId="11" applyNumberFormat="1" applyFont="1" applyFill="1" applyBorder="1" applyAlignment="1">
      <alignment horizontal="left" vertical="center"/>
    </xf>
    <xf numFmtId="9" fontId="89" fillId="0" borderId="102" xfId="0" applyNumberFormat="1" applyFont="1" applyBorder="1" applyAlignment="1">
      <alignment horizontal="left" vertical="center"/>
    </xf>
    <xf numFmtId="0" fontId="112" fillId="0" borderId="75" xfId="11" applyFont="1" applyFill="1" applyBorder="1" applyAlignment="1">
      <alignment horizontal="left" vertical="center"/>
    </xf>
    <xf numFmtId="2" fontId="114" fillId="0" borderId="75" xfId="0" applyNumberFormat="1" applyFont="1" applyBorder="1" applyAlignment="1">
      <alignment horizontal="left" vertical="center"/>
    </xf>
    <xf numFmtId="2" fontId="114" fillId="0" borderId="89" xfId="0" applyNumberFormat="1" applyFont="1" applyBorder="1" applyAlignment="1">
      <alignment horizontal="left" vertical="center"/>
    </xf>
    <xf numFmtId="1" fontId="0" fillId="0" borderId="0" xfId="0" applyNumberFormat="1"/>
    <xf numFmtId="1" fontId="84" fillId="47" borderId="75" xfId="0" applyNumberFormat="1" applyFont="1" applyFill="1" applyBorder="1" applyAlignment="1">
      <alignment horizontal="left" vertical="center"/>
    </xf>
    <xf numFmtId="1" fontId="84" fillId="47" borderId="89" xfId="0" applyNumberFormat="1" applyFont="1" applyFill="1" applyBorder="1" applyAlignment="1">
      <alignment horizontal="left" vertical="center"/>
    </xf>
    <xf numFmtId="1" fontId="0" fillId="47" borderId="0" xfId="0" applyNumberFormat="1" applyFill="1"/>
    <xf numFmtId="0" fontId="62" fillId="46" borderId="63" xfId="6" applyFont="1" applyFill="1" applyBorder="1" applyAlignment="1">
      <alignment horizontal="left" vertical="center"/>
    </xf>
    <xf numFmtId="1" fontId="62" fillId="46" borderId="27" xfId="6" applyNumberFormat="1" applyFont="1" applyFill="1" applyBorder="1" applyAlignment="1">
      <alignment horizontal="left" vertical="center"/>
    </xf>
    <xf numFmtId="0" fontId="62" fillId="46" borderId="27" xfId="6" applyFont="1" applyFill="1" applyBorder="1" applyAlignment="1">
      <alignment horizontal="left" vertical="center"/>
    </xf>
    <xf numFmtId="0" fontId="62" fillId="46" borderId="48" xfId="6" applyFont="1" applyFill="1" applyBorder="1" applyAlignment="1">
      <alignment horizontal="left" vertical="center"/>
    </xf>
    <xf numFmtId="0" fontId="62" fillId="46" borderId="65" xfId="6" applyFont="1" applyFill="1" applyBorder="1" applyAlignment="1">
      <alignment horizontal="left" vertical="center"/>
    </xf>
    <xf numFmtId="1" fontId="112" fillId="0" borderId="28" xfId="0" applyNumberFormat="1" applyFont="1" applyBorder="1" applyAlignment="1">
      <alignment horizontal="left" vertical="center"/>
    </xf>
    <xf numFmtId="1" fontId="112" fillId="0" borderId="60" xfId="0" applyNumberFormat="1" applyFont="1" applyBorder="1" applyAlignment="1">
      <alignment horizontal="left" vertical="center"/>
    </xf>
    <xf numFmtId="1" fontId="62" fillId="49" borderId="70" xfId="0" applyNumberFormat="1" applyFont="1" applyFill="1" applyBorder="1" applyAlignment="1">
      <alignment horizontal="left" vertical="center"/>
    </xf>
    <xf numFmtId="1" fontId="62" fillId="0" borderId="12" xfId="0" applyNumberFormat="1" applyFont="1" applyBorder="1" applyAlignment="1">
      <alignment horizontal="left" vertical="center"/>
    </xf>
    <xf numFmtId="2" fontId="112" fillId="0" borderId="15" xfId="0" applyNumberFormat="1" applyFont="1" applyBorder="1" applyAlignment="1">
      <alignment horizontal="center" vertical="center"/>
    </xf>
    <xf numFmtId="1" fontId="112" fillId="0" borderId="31" xfId="0" applyNumberFormat="1" applyFont="1" applyBorder="1" applyAlignment="1">
      <alignment horizontal="left" vertical="center"/>
    </xf>
    <xf numFmtId="1" fontId="112" fillId="0" borderId="12" xfId="0" applyNumberFormat="1" applyFont="1" applyBorder="1" applyAlignment="1">
      <alignment horizontal="left" vertical="center"/>
    </xf>
    <xf numFmtId="1" fontId="119" fillId="0" borderId="31" xfId="0" applyNumberFormat="1" applyFont="1" applyBorder="1" applyAlignment="1">
      <alignment horizontal="left" vertical="center"/>
    </xf>
    <xf numFmtId="1" fontId="119" fillId="0" borderId="5" xfId="0" applyNumberFormat="1" applyFont="1" applyBorder="1" applyAlignment="1">
      <alignment horizontal="left" vertical="center"/>
    </xf>
    <xf numFmtId="1" fontId="119" fillId="0" borderId="12" xfId="0" applyNumberFormat="1" applyFont="1" applyBorder="1" applyAlignment="1">
      <alignment horizontal="left" vertical="center"/>
    </xf>
    <xf numFmtId="1" fontId="86" fillId="49" borderId="70" xfId="0" applyNumberFormat="1" applyFont="1" applyFill="1" applyBorder="1" applyAlignment="1">
      <alignment horizontal="left" vertical="center"/>
    </xf>
    <xf numFmtId="2" fontId="119" fillId="0" borderId="15" xfId="0" applyNumberFormat="1" applyFont="1" applyBorder="1" applyAlignment="1">
      <alignment horizontal="center" vertical="center"/>
    </xf>
    <xf numFmtId="1" fontId="112" fillId="0" borderId="33" xfId="0" applyNumberFormat="1" applyFont="1" applyBorder="1" applyAlignment="1">
      <alignment horizontal="left" vertical="center"/>
    </xf>
    <xf numFmtId="1" fontId="112" fillId="0" borderId="11" xfId="0" applyNumberFormat="1" applyFont="1" applyBorder="1" applyAlignment="1">
      <alignment horizontal="left" vertical="center"/>
    </xf>
    <xf numFmtId="1" fontId="112" fillId="0" borderId="24" xfId="0" applyNumberFormat="1" applyFont="1" applyBorder="1" applyAlignment="1">
      <alignment horizontal="left" vertical="center"/>
    </xf>
    <xf numFmtId="1" fontId="62" fillId="49" borderId="71" xfId="0" applyNumberFormat="1" applyFont="1" applyFill="1" applyBorder="1" applyAlignment="1">
      <alignment horizontal="left" vertical="center"/>
    </xf>
    <xf numFmtId="1" fontId="62" fillId="0" borderId="24" xfId="0" applyNumberFormat="1" applyFont="1" applyBorder="1" applyAlignment="1">
      <alignment horizontal="left" vertical="center"/>
    </xf>
    <xf numFmtId="1" fontId="62" fillId="49" borderId="67" xfId="0" applyNumberFormat="1" applyFont="1" applyFill="1" applyBorder="1" applyAlignment="1">
      <alignment horizontal="left" vertical="center"/>
    </xf>
    <xf numFmtId="1" fontId="117" fillId="0" borderId="78" xfId="0" applyNumberFormat="1" applyFont="1" applyBorder="1" applyAlignment="1">
      <alignment horizontal="left" vertical="center"/>
    </xf>
    <xf numFmtId="2" fontId="117" fillId="0" borderId="3" xfId="0" applyNumberFormat="1" applyFont="1" applyBorder="1" applyAlignment="1">
      <alignment horizontal="left" vertical="center"/>
    </xf>
    <xf numFmtId="1" fontId="117" fillId="0" borderId="17" xfId="0" applyNumberFormat="1" applyFont="1" applyBorder="1" applyAlignment="1">
      <alignment horizontal="left" vertical="center"/>
    </xf>
    <xf numFmtId="1" fontId="117" fillId="49" borderId="68" xfId="0" applyNumberFormat="1" applyFont="1" applyFill="1" applyBorder="1" applyAlignment="1">
      <alignment horizontal="center" vertical="center"/>
    </xf>
    <xf numFmtId="1" fontId="117" fillId="0" borderId="53" xfId="0" applyNumberFormat="1" applyFont="1" applyBorder="1" applyAlignment="1">
      <alignment horizontal="center" vertical="center"/>
    </xf>
    <xf numFmtId="1" fontId="117" fillId="49" borderId="87" xfId="0" applyNumberFormat="1" applyFont="1" applyFill="1" applyBorder="1" applyAlignment="1">
      <alignment horizontal="center" vertical="center"/>
    </xf>
    <xf numFmtId="168" fontId="117" fillId="0" borderId="8" xfId="0" applyNumberFormat="1" applyFont="1" applyBorder="1" applyAlignment="1">
      <alignment horizontal="center" vertical="center"/>
    </xf>
    <xf numFmtId="1" fontId="76" fillId="0" borderId="73" xfId="0" applyNumberFormat="1" applyFont="1" applyBorder="1" applyAlignment="1">
      <alignment horizontal="left" vertical="center"/>
    </xf>
    <xf numFmtId="1" fontId="76" fillId="49" borderId="68" xfId="0" applyNumberFormat="1" applyFont="1" applyFill="1" applyBorder="1" applyAlignment="1">
      <alignment horizontal="center" vertical="center"/>
    </xf>
    <xf numFmtId="1" fontId="76" fillId="0" borderId="72" xfId="0" applyNumberFormat="1" applyFont="1" applyBorder="1" applyAlignment="1">
      <alignment horizontal="center" vertical="center"/>
    </xf>
    <xf numFmtId="1" fontId="76" fillId="0" borderId="7" xfId="0" applyNumberFormat="1" applyFont="1" applyBorder="1" applyAlignment="1">
      <alignment horizontal="center" vertical="center"/>
    </xf>
    <xf numFmtId="1" fontId="76" fillId="0" borderId="7" xfId="0" applyNumberFormat="1" applyFont="1" applyBorder="1" applyAlignment="1">
      <alignment horizontal="right" vertical="center"/>
    </xf>
    <xf numFmtId="1" fontId="76" fillId="0" borderId="53" xfId="0" applyNumberFormat="1" applyFont="1" applyBorder="1" applyAlignment="1">
      <alignment horizontal="center" vertical="center"/>
    </xf>
    <xf numFmtId="1" fontId="76" fillId="49" borderId="87" xfId="0" applyNumberFormat="1" applyFont="1" applyFill="1" applyBorder="1" applyAlignment="1">
      <alignment horizontal="center" vertical="center"/>
    </xf>
    <xf numFmtId="1" fontId="76" fillId="0" borderId="26" xfId="0" applyNumberFormat="1" applyFont="1" applyBorder="1" applyAlignment="1">
      <alignment horizontal="left" vertical="center"/>
    </xf>
    <xf numFmtId="1" fontId="76" fillId="0" borderId="26" xfId="0" applyNumberFormat="1" applyFont="1" applyBorder="1" applyAlignment="1">
      <alignment horizontal="center" vertical="center"/>
    </xf>
    <xf numFmtId="0" fontId="117" fillId="0" borderId="29" xfId="0" applyFont="1" applyFill="1" applyBorder="1" applyAlignment="1">
      <alignment horizontal="left" vertical="center"/>
    </xf>
    <xf numFmtId="0" fontId="117" fillId="0" borderId="80" xfId="0" applyFont="1" applyBorder="1" applyAlignment="1">
      <alignment horizontal="left" vertical="center"/>
    </xf>
    <xf numFmtId="0" fontId="117" fillId="0" borderId="48" xfId="0" applyFont="1" applyBorder="1" applyAlignment="1">
      <alignment horizontal="left" vertical="center"/>
    </xf>
    <xf numFmtId="1" fontId="76" fillId="0" borderId="63" xfId="0" applyNumberFormat="1" applyFont="1" applyBorder="1" applyAlignment="1">
      <alignment horizontal="left" vertical="center"/>
    </xf>
    <xf numFmtId="2" fontId="76" fillId="0" borderId="27" xfId="0" applyNumberFormat="1" applyFont="1" applyBorder="1" applyAlignment="1">
      <alignment horizontal="left" vertical="center"/>
    </xf>
    <xf numFmtId="1" fontId="76" fillId="0" borderId="27" xfId="0" applyNumberFormat="1" applyFont="1" applyBorder="1" applyAlignment="1">
      <alignment horizontal="left" vertical="center"/>
    </xf>
    <xf numFmtId="1" fontId="76" fillId="0" borderId="48" xfId="0" applyNumberFormat="1" applyFont="1" applyBorder="1" applyAlignment="1">
      <alignment horizontal="left" vertical="center"/>
    </xf>
    <xf numFmtId="1" fontId="76" fillId="49" borderId="80" xfId="0" applyNumberFormat="1" applyFont="1" applyFill="1" applyBorder="1" applyAlignment="1">
      <alignment horizontal="center" vertical="center"/>
    </xf>
    <xf numFmtId="1" fontId="76" fillId="0" borderId="63" xfId="0" applyNumberFormat="1" applyFont="1" applyBorder="1" applyAlignment="1">
      <alignment horizontal="center" vertical="center"/>
    </xf>
    <xf numFmtId="1" fontId="76" fillId="0" borderId="27" xfId="0" applyNumberFormat="1" applyFont="1" applyBorder="1" applyAlignment="1">
      <alignment horizontal="center" vertical="center"/>
    </xf>
    <xf numFmtId="1" fontId="76" fillId="0" borderId="27" xfId="0" applyNumberFormat="1" applyFont="1" applyBorder="1" applyAlignment="1">
      <alignment horizontal="right" vertical="center"/>
    </xf>
    <xf numFmtId="1" fontId="76" fillId="0" borderId="48" xfId="0" applyNumberFormat="1" applyFont="1" applyBorder="1" applyAlignment="1">
      <alignment horizontal="center" vertical="center"/>
    </xf>
    <xf numFmtId="168" fontId="117" fillId="0" borderId="79" xfId="0" applyNumberFormat="1" applyFont="1" applyBorder="1" applyAlignment="1">
      <alignment horizontal="center" vertical="center"/>
    </xf>
    <xf numFmtId="168" fontId="117" fillId="0" borderId="27" xfId="0" applyNumberFormat="1" applyFont="1" applyBorder="1" applyAlignment="1">
      <alignment horizontal="center" vertical="center"/>
    </xf>
    <xf numFmtId="168" fontId="117" fillId="0" borderId="30" xfId="0" applyNumberFormat="1" applyFont="1" applyBorder="1" applyAlignment="1">
      <alignment horizontal="center" vertical="center"/>
    </xf>
    <xf numFmtId="1" fontId="62" fillId="49" borderId="14" xfId="0" applyNumberFormat="1" applyFont="1" applyFill="1" applyBorder="1" applyAlignment="1">
      <alignment horizontal="left" vertical="center"/>
    </xf>
    <xf numFmtId="1" fontId="112" fillId="0" borderId="34" xfId="0" applyNumberFormat="1" applyFont="1" applyBorder="1" applyAlignment="1">
      <alignment horizontal="left" vertical="center"/>
    </xf>
    <xf numFmtId="1" fontId="62" fillId="49" borderId="23" xfId="0" applyNumberFormat="1" applyFont="1" applyFill="1" applyBorder="1" applyAlignment="1">
      <alignment horizontal="left" vertical="center"/>
    </xf>
    <xf numFmtId="1" fontId="117" fillId="0" borderId="3" xfId="0" applyNumberFormat="1" applyFont="1" applyBorder="1" applyAlignment="1">
      <alignment horizontal="left" vertical="center"/>
    </xf>
    <xf numFmtId="0" fontId="62" fillId="49" borderId="0" xfId="0" applyFont="1" applyFill="1" applyBorder="1" applyAlignment="1">
      <alignment horizontal="left" vertical="center" textRotation="90"/>
    </xf>
    <xf numFmtId="0" fontId="117" fillId="0" borderId="0" xfId="0" applyFont="1" applyFill="1" applyBorder="1" applyAlignment="1">
      <alignment horizontal="left" vertical="center"/>
    </xf>
    <xf numFmtId="0" fontId="117" fillId="0" borderId="0" xfId="0" applyFont="1" applyBorder="1" applyAlignment="1">
      <alignment horizontal="left" vertical="center"/>
    </xf>
    <xf numFmtId="1" fontId="76" fillId="0" borderId="0" xfId="0" applyNumberFormat="1" applyFont="1" applyBorder="1" applyAlignment="1">
      <alignment horizontal="left" vertical="center"/>
    </xf>
    <xf numFmtId="1" fontId="76" fillId="49" borderId="0" xfId="0" applyNumberFormat="1" applyFont="1" applyFill="1" applyBorder="1" applyAlignment="1">
      <alignment horizontal="center" vertical="center"/>
    </xf>
    <xf numFmtId="168" fontId="117" fillId="0" borderId="0" xfId="0" applyNumberFormat="1" applyFont="1" applyBorder="1" applyAlignment="1">
      <alignment horizontal="center" vertical="center"/>
    </xf>
    <xf numFmtId="0" fontId="118" fillId="0" borderId="76" xfId="0" applyFont="1" applyBorder="1" applyAlignment="1">
      <alignment horizontal="left" vertical="center"/>
    </xf>
    <xf numFmtId="0" fontId="121" fillId="0" borderId="76" xfId="0" applyFont="1" applyBorder="1" applyAlignment="1">
      <alignment horizontal="left" vertical="center"/>
    </xf>
    <xf numFmtId="0" fontId="112" fillId="0" borderId="76" xfId="0" applyFont="1" applyBorder="1" applyAlignment="1">
      <alignment horizontal="left" vertical="center"/>
    </xf>
    <xf numFmtId="0" fontId="123" fillId="47" borderId="76" xfId="0" applyFont="1" applyFill="1" applyBorder="1" applyAlignment="1">
      <alignment horizontal="left" vertical="center"/>
    </xf>
    <xf numFmtId="1" fontId="141" fillId="0" borderId="76" xfId="0" applyNumberFormat="1" applyFont="1" applyBorder="1" applyAlignment="1">
      <alignment horizontal="left" vertical="center"/>
    </xf>
    <xf numFmtId="0" fontId="120" fillId="3" borderId="76" xfId="2" applyFont="1" applyBorder="1" applyAlignment="1">
      <alignment horizontal="left" vertical="center" wrapText="1"/>
    </xf>
    <xf numFmtId="0" fontId="123" fillId="3" borderId="76" xfId="2" applyFont="1" applyBorder="1" applyAlignment="1">
      <alignment horizontal="left" vertical="center"/>
    </xf>
    <xf numFmtId="2" fontId="16" fillId="3" borderId="97" xfId="2" applyNumberFormat="1" applyFont="1" applyBorder="1" applyAlignment="1" applyProtection="1">
      <alignment horizontal="left" vertical="center"/>
    </xf>
    <xf numFmtId="167" fontId="16" fillId="3" borderId="97" xfId="2" applyNumberFormat="1" applyFont="1" applyBorder="1" applyAlignment="1" applyProtection="1">
      <alignment horizontal="left" vertical="center"/>
    </xf>
    <xf numFmtId="0" fontId="0" fillId="0" borderId="78" xfId="0" applyBorder="1"/>
    <xf numFmtId="0" fontId="62" fillId="0" borderId="97" xfId="0" applyFont="1" applyBorder="1" applyAlignment="1">
      <alignment horizontal="left" vertical="center"/>
    </xf>
    <xf numFmtId="0" fontId="0" fillId="0" borderId="83" xfId="0" applyBorder="1"/>
    <xf numFmtId="0" fontId="112" fillId="0" borderId="33" xfId="0" applyFont="1" applyBorder="1" applyAlignment="1">
      <alignment horizontal="left" vertical="center"/>
    </xf>
    <xf numFmtId="9" fontId="112" fillId="0" borderId="11" xfId="11" applyNumberFormat="1" applyFont="1" applyFill="1" applyBorder="1" applyAlignment="1">
      <alignment horizontal="left" vertical="center"/>
    </xf>
    <xf numFmtId="9" fontId="112" fillId="0" borderId="0" xfId="11" applyNumberFormat="1" applyFont="1" applyFill="1" applyBorder="1" applyAlignment="1">
      <alignment horizontal="left" vertical="center"/>
    </xf>
    <xf numFmtId="1" fontId="112" fillId="0" borderId="0" xfId="0" applyNumberFormat="1" applyFont="1" applyBorder="1" applyAlignment="1">
      <alignment horizontal="left" vertical="center"/>
    </xf>
    <xf numFmtId="0" fontId="4" fillId="6" borderId="80" xfId="6" applyFont="1" applyBorder="1" applyAlignment="1">
      <alignment horizontal="left" vertical="center"/>
    </xf>
    <xf numFmtId="0" fontId="118" fillId="0" borderId="78" xfId="0" applyFont="1" applyBorder="1" applyAlignment="1">
      <alignment vertical="center"/>
    </xf>
    <xf numFmtId="0" fontId="118" fillId="0" borderId="79" xfId="0" applyFont="1" applyBorder="1" applyAlignment="1">
      <alignment horizontal="left" vertical="center"/>
    </xf>
    <xf numFmtId="1" fontId="91" fillId="0" borderId="80" xfId="0" applyNumberFormat="1" applyFont="1" applyBorder="1" applyAlignment="1">
      <alignment horizontal="left" vertical="center"/>
    </xf>
    <xf numFmtId="1" fontId="91" fillId="0" borderId="81" xfId="0" applyNumberFormat="1" applyFont="1" applyBorder="1" applyAlignment="1">
      <alignment horizontal="left" vertical="center"/>
    </xf>
    <xf numFmtId="0" fontId="118" fillId="0" borderId="78" xfId="0" applyFont="1" applyBorder="1" applyAlignment="1">
      <alignment horizontal="left" vertical="center"/>
    </xf>
    <xf numFmtId="1" fontId="91" fillId="0" borderId="82" xfId="0" applyNumberFormat="1" applyFont="1" applyBorder="1" applyAlignment="1">
      <alignment horizontal="left" vertical="center"/>
    </xf>
    <xf numFmtId="0" fontId="12" fillId="0" borderId="78" xfId="13" applyFont="1" applyFill="1" applyBorder="1" applyAlignment="1">
      <alignment vertical="center"/>
    </xf>
    <xf numFmtId="0" fontId="112" fillId="0" borderId="78" xfId="0" applyFont="1" applyBorder="1" applyAlignment="1">
      <alignment horizontal="left" vertical="center"/>
    </xf>
    <xf numFmtId="0" fontId="12" fillId="0" borderId="83" xfId="13" applyFont="1" applyFill="1" applyBorder="1" applyAlignment="1">
      <alignment vertical="center"/>
    </xf>
    <xf numFmtId="0" fontId="112" fillId="0" borderId="83" xfId="0" applyFont="1" applyBorder="1" applyAlignment="1">
      <alignment horizontal="left" vertical="center"/>
    </xf>
    <xf numFmtId="1" fontId="91" fillId="0" borderId="84" xfId="0" applyNumberFormat="1" applyFont="1" applyBorder="1" applyAlignment="1">
      <alignment horizontal="left" vertical="center"/>
    </xf>
    <xf numFmtId="0" fontId="117" fillId="0" borderId="87" xfId="0" applyFont="1" applyFill="1" applyBorder="1" applyAlignment="1">
      <alignment horizontal="left" vertical="center"/>
    </xf>
    <xf numFmtId="0" fontId="60" fillId="46" borderId="73" xfId="6" applyFont="1" applyFill="1" applyBorder="1" applyAlignment="1">
      <alignment horizontal="left" vertical="center"/>
    </xf>
    <xf numFmtId="0" fontId="60" fillId="46" borderId="55" xfId="6" applyFont="1" applyFill="1" applyBorder="1" applyAlignment="1">
      <alignment horizontal="left" vertical="center"/>
    </xf>
    <xf numFmtId="10" fontId="4" fillId="46" borderId="49" xfId="3" applyNumberFormat="1" applyFont="1" applyFill="1" applyBorder="1" applyAlignment="1" applyProtection="1">
      <alignment horizontal="left" vertical="center"/>
    </xf>
    <xf numFmtId="0" fontId="16" fillId="6" borderId="10" xfId="6" applyFont="1" applyBorder="1" applyAlignment="1">
      <alignment horizontal="left" vertical="center"/>
    </xf>
    <xf numFmtId="0" fontId="16" fillId="46" borderId="10" xfId="6" applyFont="1" applyFill="1" applyBorder="1" applyAlignment="1">
      <alignment horizontal="left" vertical="center"/>
    </xf>
    <xf numFmtId="0" fontId="16" fillId="6" borderId="28" xfId="6" applyFont="1" applyBorder="1" applyAlignment="1">
      <alignment horizontal="left" vertical="center"/>
    </xf>
    <xf numFmtId="0" fontId="16" fillId="6" borderId="51" xfId="6" applyFont="1" applyBorder="1" applyAlignment="1">
      <alignment horizontal="left" vertical="center"/>
    </xf>
    <xf numFmtId="0" fontId="118" fillId="0" borderId="5" xfId="0" applyFont="1" applyBorder="1" applyAlignment="1">
      <alignment vertical="center"/>
    </xf>
    <xf numFmtId="1" fontId="118" fillId="0" borderId="5" xfId="0" applyNumberFormat="1" applyFont="1" applyBorder="1" applyAlignment="1">
      <alignment vertical="center"/>
    </xf>
    <xf numFmtId="0" fontId="118" fillId="0" borderId="12" xfId="0" applyFont="1" applyBorder="1" applyAlignment="1">
      <alignment horizontal="center" vertical="center"/>
    </xf>
    <xf numFmtId="3" fontId="127" fillId="0" borderId="52" xfId="0" applyNumberFormat="1" applyFont="1" applyBorder="1" applyAlignment="1">
      <alignment horizontal="left" vertical="center" wrapText="1"/>
    </xf>
    <xf numFmtId="1" fontId="117" fillId="0" borderId="12" xfId="0" applyNumberFormat="1" applyFont="1" applyBorder="1" applyAlignment="1">
      <alignment horizontal="center" vertical="center"/>
    </xf>
    <xf numFmtId="0" fontId="12" fillId="0" borderId="11" xfId="13" applyFont="1" applyFill="1" applyBorder="1" applyAlignment="1">
      <alignment vertical="center"/>
    </xf>
    <xf numFmtId="0" fontId="118" fillId="0" borderId="11" xfId="0" applyFont="1" applyBorder="1" applyAlignment="1">
      <alignment vertical="center"/>
    </xf>
    <xf numFmtId="0" fontId="118" fillId="0" borderId="24" xfId="0" applyFont="1" applyBorder="1" applyAlignment="1">
      <alignment horizontal="center" vertical="center"/>
    </xf>
    <xf numFmtId="0" fontId="60" fillId="46" borderId="68" xfId="6" applyFont="1" applyFill="1" applyBorder="1" applyAlignment="1">
      <alignment horizontal="left" vertical="center"/>
    </xf>
    <xf numFmtId="0" fontId="60" fillId="46" borderId="81" xfId="6" applyFont="1" applyFill="1" applyBorder="1" applyAlignment="1">
      <alignment horizontal="left" vertical="center"/>
    </xf>
    <xf numFmtId="1" fontId="91" fillId="0" borderId="78" xfId="0" applyNumberFormat="1" applyFont="1" applyBorder="1" applyAlignment="1">
      <alignment horizontal="left" vertical="center"/>
    </xf>
    <xf numFmtId="1" fontId="91" fillId="0" borderId="83" xfId="0" applyNumberFormat="1" applyFont="1" applyBorder="1" applyAlignment="1">
      <alignment horizontal="left" vertical="center"/>
    </xf>
    <xf numFmtId="0" fontId="78" fillId="35" borderId="115" xfId="0" applyFont="1" applyFill="1" applyBorder="1" applyAlignment="1">
      <alignment horizontal="center" vertical="center" wrapText="1"/>
    </xf>
    <xf numFmtId="0" fontId="78" fillId="35" borderId="118" xfId="0" applyFont="1" applyFill="1" applyBorder="1" applyAlignment="1">
      <alignment horizontal="center" vertical="center" wrapText="1"/>
    </xf>
    <xf numFmtId="0" fontId="76" fillId="0" borderId="110" xfId="0" applyFont="1" applyFill="1" applyBorder="1" applyAlignment="1">
      <alignment horizontal="left" vertical="center"/>
    </xf>
    <xf numFmtId="0" fontId="164" fillId="0" borderId="109" xfId="0" applyFont="1" applyFill="1" applyBorder="1" applyAlignment="1">
      <alignment horizontal="center" vertical="center" wrapText="1"/>
    </xf>
    <xf numFmtId="0" fontId="76" fillId="0" borderId="125" xfId="0" applyFont="1" applyFill="1" applyBorder="1" applyAlignment="1">
      <alignment horizontal="left" vertical="center"/>
    </xf>
    <xf numFmtId="0" fontId="164" fillId="0" borderId="127" xfId="0" applyFont="1" applyFill="1" applyBorder="1" applyAlignment="1">
      <alignment horizontal="center" vertical="center" wrapText="1"/>
    </xf>
    <xf numFmtId="0" fontId="76" fillId="0" borderId="130" xfId="0" applyFont="1" applyFill="1" applyBorder="1" applyAlignment="1">
      <alignment horizontal="left" vertical="center"/>
    </xf>
    <xf numFmtId="0" fontId="164" fillId="0" borderId="132" xfId="0" applyFont="1" applyFill="1" applyBorder="1" applyAlignment="1">
      <alignment horizontal="center" vertical="center" wrapText="1"/>
    </xf>
    <xf numFmtId="0" fontId="80" fillId="0" borderId="135" xfId="0" applyFont="1" applyFill="1" applyBorder="1" applyAlignment="1">
      <alignment horizontal="left" vertical="center" wrapText="1"/>
    </xf>
    <xf numFmtId="0" fontId="76" fillId="0" borderId="135" xfId="0" applyFont="1" applyFill="1" applyBorder="1" applyAlignment="1">
      <alignment horizontal="left" vertical="center"/>
    </xf>
    <xf numFmtId="0" fontId="76" fillId="0" borderId="136" xfId="0" applyFont="1" applyFill="1" applyBorder="1" applyAlignment="1">
      <alignment horizontal="left" vertical="center" wrapText="1"/>
    </xf>
    <xf numFmtId="0" fontId="164" fillId="0" borderId="137" xfId="0" applyFont="1" applyFill="1" applyBorder="1" applyAlignment="1">
      <alignment horizontal="center" vertical="center" wrapText="1"/>
    </xf>
    <xf numFmtId="0" fontId="76" fillId="0" borderId="138" xfId="0" applyFont="1" applyFill="1" applyBorder="1" applyAlignment="1">
      <alignment horizontal="center" vertical="center" wrapText="1"/>
    </xf>
    <xf numFmtId="0" fontId="78" fillId="35" borderId="70" xfId="0" applyFont="1" applyFill="1" applyBorder="1" applyAlignment="1">
      <alignment horizontal="center" vertical="center" wrapText="1"/>
    </xf>
    <xf numFmtId="0" fontId="76" fillId="0" borderId="130" xfId="0" applyFont="1" applyFill="1" applyBorder="1" applyAlignment="1">
      <alignment horizontal="left" vertical="center" wrapText="1"/>
    </xf>
    <xf numFmtId="0" fontId="76" fillId="0" borderId="125" xfId="0" applyFont="1" applyFill="1" applyBorder="1" applyAlignment="1">
      <alignment horizontal="left" vertical="center" wrapText="1"/>
    </xf>
    <xf numFmtId="0" fontId="76" fillId="0" borderId="135" xfId="0" applyFont="1" applyFill="1" applyBorder="1" applyAlignment="1">
      <alignment horizontal="left" vertical="center" wrapText="1"/>
    </xf>
    <xf numFmtId="0" fontId="165" fillId="0" borderId="121" xfId="0" applyFont="1" applyFill="1" applyBorder="1" applyAlignment="1">
      <alignment horizontal="left" vertical="center"/>
    </xf>
    <xf numFmtId="0" fontId="165" fillId="0" borderId="121" xfId="0" applyFont="1" applyFill="1" applyBorder="1" applyAlignment="1">
      <alignment horizontal="center" vertical="center"/>
    </xf>
    <xf numFmtId="9" fontId="165" fillId="0" borderId="139" xfId="0" applyNumberFormat="1" applyFont="1" applyFill="1" applyBorder="1" applyAlignment="1">
      <alignment horizontal="center" vertical="center"/>
    </xf>
    <xf numFmtId="0" fontId="166" fillId="0" borderId="120" xfId="0" applyFont="1" applyFill="1" applyBorder="1" applyAlignment="1">
      <alignment horizontal="center" vertical="center"/>
    </xf>
    <xf numFmtId="1" fontId="165" fillId="0" borderId="140" xfId="0" applyNumberFormat="1" applyFont="1" applyFill="1" applyBorder="1" applyAlignment="1">
      <alignment horizontal="center" vertical="center"/>
    </xf>
    <xf numFmtId="0" fontId="167" fillId="0" borderId="120" xfId="0" applyFont="1" applyFill="1" applyBorder="1" applyAlignment="1">
      <alignment horizontal="center" vertical="center"/>
    </xf>
    <xf numFmtId="1" fontId="78" fillId="35" borderId="141" xfId="0" applyNumberFormat="1" applyFont="1" applyFill="1" applyBorder="1" applyAlignment="1">
      <alignment horizontal="center" vertical="center" wrapText="1"/>
    </xf>
    <xf numFmtId="0" fontId="81" fillId="35" borderId="124" xfId="0" applyFont="1" applyFill="1" applyBorder="1" applyAlignment="1">
      <alignment horizontal="left" vertical="center" wrapText="1"/>
    </xf>
    <xf numFmtId="0" fontId="81" fillId="35" borderId="142" xfId="0" applyFont="1" applyFill="1" applyBorder="1" applyAlignment="1">
      <alignment horizontal="left" vertical="center" wrapText="1"/>
    </xf>
    <xf numFmtId="3" fontId="81" fillId="35" borderId="123" xfId="0" applyNumberFormat="1" applyFont="1" applyFill="1" applyBorder="1" applyAlignment="1">
      <alignment horizontal="center" vertical="center" wrapText="1"/>
    </xf>
    <xf numFmtId="0" fontId="81" fillId="35" borderId="143" xfId="0" applyFont="1" applyFill="1" applyBorder="1" applyAlignment="1">
      <alignment horizontal="center" vertical="center" wrapText="1"/>
    </xf>
    <xf numFmtId="0" fontId="81" fillId="35" borderId="123" xfId="0" applyFont="1" applyFill="1" applyBorder="1" applyAlignment="1">
      <alignment horizontal="center" vertical="center" wrapText="1"/>
    </xf>
    <xf numFmtId="0" fontId="81" fillId="35" borderId="144" xfId="0" applyFont="1" applyFill="1" applyBorder="1" applyAlignment="1">
      <alignment horizontal="center" vertical="center" wrapText="1"/>
    </xf>
    <xf numFmtId="0" fontId="81" fillId="0" borderId="116" xfId="0" applyFont="1" applyFill="1" applyBorder="1" applyAlignment="1">
      <alignment horizontal="left" vertical="center" wrapText="1"/>
    </xf>
    <xf numFmtId="0" fontId="0" fillId="0" borderId="117" xfId="0" applyBorder="1" applyAlignment="1">
      <alignment horizontal="left" vertical="center"/>
    </xf>
    <xf numFmtId="176" fontId="138" fillId="0" borderId="115" xfId="0" applyNumberFormat="1" applyFont="1" applyBorder="1" applyAlignment="1">
      <alignment horizontal="center" vertical="center"/>
    </xf>
    <xf numFmtId="176" fontId="138" fillId="0" borderId="118" xfId="0" applyNumberFormat="1" applyFont="1" applyBorder="1" applyAlignment="1">
      <alignment horizontal="center" vertical="center"/>
    </xf>
    <xf numFmtId="2" fontId="69" fillId="0" borderId="119" xfId="0" applyNumberFormat="1" applyFont="1" applyBorder="1" applyAlignment="1">
      <alignment horizontal="center" vertical="center"/>
    </xf>
    <xf numFmtId="0" fontId="60" fillId="0" borderId="28" xfId="0" applyFont="1" applyBorder="1" applyAlignment="1">
      <alignment vertical="top" wrapText="1"/>
    </xf>
    <xf numFmtId="0" fontId="60" fillId="0" borderId="10" xfId="0" applyFont="1" applyBorder="1" applyAlignment="1"/>
    <xf numFmtId="0" fontId="0" fillId="0" borderId="10" xfId="0" applyBorder="1" applyAlignment="1"/>
    <xf numFmtId="0" fontId="169" fillId="53" borderId="10" xfId="0" applyFont="1" applyFill="1" applyBorder="1" applyAlignment="1">
      <alignment horizontal="center"/>
    </xf>
    <xf numFmtId="0" fontId="0" fillId="0" borderId="80" xfId="0" applyBorder="1" applyAlignment="1"/>
    <xf numFmtId="0" fontId="76" fillId="0" borderId="80" xfId="0" applyFont="1" applyBorder="1" applyAlignment="1"/>
    <xf numFmtId="0" fontId="0" fillId="0" borderId="81" xfId="0" applyBorder="1" applyAlignment="1"/>
    <xf numFmtId="0" fontId="60" fillId="0" borderId="31" xfId="0" applyFont="1" applyBorder="1" applyAlignment="1">
      <alignment vertical="top" wrapText="1"/>
    </xf>
    <xf numFmtId="0" fontId="60" fillId="0" borderId="5" xfId="0" applyFont="1" applyBorder="1" applyAlignment="1"/>
    <xf numFmtId="0" fontId="0" fillId="0" borderId="5" xfId="0" applyBorder="1" applyAlignment="1"/>
    <xf numFmtId="0" fontId="169" fillId="53" borderId="5" xfId="0" applyFont="1" applyFill="1" applyBorder="1" applyAlignment="1">
      <alignment horizontal="center"/>
    </xf>
    <xf numFmtId="0" fontId="0" fillId="0" borderId="0" xfId="0" applyBorder="1" applyAlignment="1"/>
    <xf numFmtId="0" fontId="0" fillId="0" borderId="82" xfId="0" applyBorder="1" applyAlignment="1"/>
    <xf numFmtId="0" fontId="164" fillId="0" borderId="109" xfId="0" applyFont="1" applyFill="1" applyBorder="1" applyAlignment="1">
      <alignment horizontal="left" vertical="center" wrapText="1"/>
    </xf>
    <xf numFmtId="0" fontId="164" fillId="0" borderId="127" xfId="0" applyFont="1" applyFill="1" applyBorder="1" applyAlignment="1">
      <alignment horizontal="left" vertical="center" wrapText="1"/>
    </xf>
    <xf numFmtId="0" fontId="164" fillId="0" borderId="132" xfId="0" applyFont="1" applyFill="1" applyBorder="1" applyAlignment="1">
      <alignment horizontal="left" vertical="center" wrapText="1"/>
    </xf>
    <xf numFmtId="9" fontId="169" fillId="53" borderId="5" xfId="0" applyNumberFormat="1" applyFont="1" applyFill="1" applyBorder="1" applyAlignment="1">
      <alignment horizontal="center"/>
    </xf>
    <xf numFmtId="0" fontId="0" fillId="15" borderId="5" xfId="0" applyFill="1" applyBorder="1" applyAlignment="1">
      <alignment horizontal="center"/>
    </xf>
    <xf numFmtId="0" fontId="76" fillId="0" borderId="145" xfId="0" applyFont="1" applyFill="1" applyBorder="1" applyAlignment="1">
      <alignment horizontal="left" vertical="center"/>
    </xf>
    <xf numFmtId="0" fontId="76" fillId="0" borderId="146" xfId="0" applyFont="1" applyFill="1" applyBorder="1" applyAlignment="1">
      <alignment horizontal="left" vertical="center" wrapText="1"/>
    </xf>
    <xf numFmtId="0" fontId="164" fillId="0" borderId="147" xfId="0" applyFont="1" applyFill="1" applyBorder="1" applyAlignment="1">
      <alignment horizontal="left" vertical="center" wrapText="1"/>
    </xf>
    <xf numFmtId="0" fontId="76" fillId="0" borderId="133" xfId="0" applyFont="1" applyFill="1" applyBorder="1" applyAlignment="1">
      <alignment horizontal="left" vertical="center" wrapText="1"/>
    </xf>
    <xf numFmtId="0" fontId="60" fillId="15" borderId="31" xfId="0" applyFont="1" applyFill="1" applyBorder="1" applyAlignment="1">
      <alignment vertical="top"/>
    </xf>
    <xf numFmtId="0" fontId="60" fillId="15" borderId="5" xfId="0" applyFont="1" applyFill="1" applyBorder="1" applyAlignment="1"/>
    <xf numFmtId="0" fontId="0" fillId="15" borderId="5" xfId="0" applyFill="1" applyBorder="1" applyAlignment="1"/>
    <xf numFmtId="0" fontId="0" fillId="0" borderId="28" xfId="0" applyBorder="1" applyAlignment="1">
      <alignment vertical="top"/>
    </xf>
    <xf numFmtId="0" fontId="22"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top"/>
    </xf>
    <xf numFmtId="0" fontId="0" fillId="0" borderId="10" xfId="0" applyBorder="1" applyAlignment="1">
      <alignment vertical="top"/>
    </xf>
    <xf numFmtId="0" fontId="0" fillId="0" borderId="51" xfId="0" applyBorder="1" applyAlignment="1">
      <alignment horizontal="center" vertical="top"/>
    </xf>
    <xf numFmtId="0" fontId="0" fillId="0" borderId="31" xfId="0" applyBorder="1" applyAlignment="1">
      <alignment vertical="top"/>
    </xf>
    <xf numFmtId="0" fontId="22" fillId="0" borderId="5" xfId="0" applyFont="1" applyBorder="1" applyAlignment="1">
      <alignment vertical="top" wrapText="1"/>
    </xf>
    <xf numFmtId="0" fontId="0" fillId="0" borderId="5" xfId="0" applyBorder="1" applyAlignment="1">
      <alignment horizontal="center" vertical="top"/>
    </xf>
    <xf numFmtId="0" fontId="0" fillId="0" borderId="52" xfId="0" applyBorder="1" applyAlignment="1">
      <alignment horizontal="center" vertical="top"/>
    </xf>
    <xf numFmtId="0" fontId="164" fillId="0" borderId="137" xfId="0" applyFont="1" applyFill="1" applyBorder="1" applyAlignment="1">
      <alignment horizontal="left" vertical="center" wrapText="1"/>
    </xf>
    <xf numFmtId="0" fontId="0" fillId="54" borderId="5" xfId="0" applyFill="1" applyBorder="1" applyAlignment="1">
      <alignment horizontal="center" vertical="top"/>
    </xf>
    <xf numFmtId="0" fontId="80" fillId="0" borderId="130" xfId="0" applyFont="1" applyFill="1" applyBorder="1" applyAlignment="1">
      <alignment horizontal="left" vertical="center" wrapText="1"/>
    </xf>
    <xf numFmtId="0" fontId="76" fillId="0" borderId="131" xfId="0" applyFont="1" applyFill="1" applyBorder="1" applyAlignment="1">
      <alignment horizontal="left" vertical="center" wrapText="1"/>
    </xf>
    <xf numFmtId="4" fontId="0" fillId="0" borderId="52" xfId="0" applyNumberFormat="1" applyBorder="1" applyAlignment="1">
      <alignment horizontal="center" vertical="top"/>
    </xf>
    <xf numFmtId="4" fontId="76" fillId="0" borderId="131" xfId="0" applyNumberFormat="1" applyFont="1" applyFill="1" applyBorder="1" applyAlignment="1">
      <alignment horizontal="left" vertical="center" wrapText="1"/>
    </xf>
    <xf numFmtId="0" fontId="168" fillId="0" borderId="78" xfId="0" applyFont="1" applyBorder="1" applyAlignment="1">
      <alignment vertical="top"/>
    </xf>
    <xf numFmtId="173" fontId="170" fillId="18" borderId="0" xfId="24" applyFont="1" applyFill="1" applyBorder="1" applyAlignment="1">
      <alignment horizontal="left" vertical="top" wrapText="1"/>
    </xf>
    <xf numFmtId="0" fontId="168" fillId="0" borderId="0" xfId="0" applyFont="1" applyBorder="1" applyAlignment="1">
      <alignment vertical="top"/>
    </xf>
    <xf numFmtId="9" fontId="168" fillId="0" borderId="0" xfId="0" applyNumberFormat="1" applyFont="1" applyBorder="1" applyAlignment="1">
      <alignment vertical="top"/>
    </xf>
    <xf numFmtId="0" fontId="168" fillId="0" borderId="82" xfId="0" applyFont="1" applyBorder="1" applyAlignment="1">
      <alignment vertical="top"/>
    </xf>
    <xf numFmtId="0" fontId="76" fillId="0" borderId="138" xfId="0" applyFont="1" applyFill="1" applyBorder="1" applyAlignment="1">
      <alignment horizontal="left" vertical="center" wrapText="1"/>
    </xf>
    <xf numFmtId="0" fontId="60" fillId="55" borderId="73" xfId="0" applyFont="1" applyFill="1" applyBorder="1" applyAlignment="1">
      <alignment horizontal="left" vertical="center"/>
    </xf>
    <xf numFmtId="0" fontId="0" fillId="55" borderId="8" xfId="0" applyFill="1" applyBorder="1" applyAlignment="1">
      <alignment horizontal="left" vertical="center"/>
    </xf>
    <xf numFmtId="4" fontId="60" fillId="55" borderId="55" xfId="0" applyNumberFormat="1" applyFont="1" applyFill="1" applyBorder="1" applyAlignment="1">
      <alignment horizontal="left" vertical="center"/>
    </xf>
    <xf numFmtId="1" fontId="171" fillId="35" borderId="141" xfId="0" applyNumberFormat="1" applyFont="1" applyFill="1" applyBorder="1" applyAlignment="1">
      <alignment horizontal="left" vertical="center" wrapText="1"/>
    </xf>
    <xf numFmtId="3" fontId="81" fillId="35" borderId="123" xfId="0" applyNumberFormat="1" applyFont="1" applyFill="1" applyBorder="1" applyAlignment="1">
      <alignment horizontal="left" vertical="center" wrapText="1"/>
    </xf>
    <xf numFmtId="0" fontId="81" fillId="35" borderId="143" xfId="0" applyFont="1" applyFill="1" applyBorder="1" applyAlignment="1">
      <alignment horizontal="left" vertical="center" wrapText="1"/>
    </xf>
    <xf numFmtId="0" fontId="81" fillId="35" borderId="123" xfId="0" applyFont="1" applyFill="1" applyBorder="1" applyAlignment="1">
      <alignment horizontal="left" vertical="center" wrapText="1"/>
    </xf>
    <xf numFmtId="0" fontId="81" fillId="35" borderId="144" xfId="0" applyFont="1" applyFill="1" applyBorder="1" applyAlignment="1">
      <alignment horizontal="left" vertical="center" wrapText="1"/>
    </xf>
    <xf numFmtId="176" fontId="138" fillId="0" borderId="115" xfId="0" applyNumberFormat="1" applyFont="1" applyBorder="1" applyAlignment="1">
      <alignment horizontal="left" vertical="center"/>
    </xf>
    <xf numFmtId="176" fontId="138" fillId="0" borderId="118" xfId="0" applyNumberFormat="1" applyFont="1" applyBorder="1" applyAlignment="1">
      <alignment horizontal="left" vertical="center"/>
    </xf>
    <xf numFmtId="2" fontId="69" fillId="0" borderId="119" xfId="0" applyNumberFormat="1" applyFont="1" applyBorder="1" applyAlignment="1">
      <alignment horizontal="left" vertical="center"/>
    </xf>
    <xf numFmtId="176" fontId="0" fillId="0" borderId="0" xfId="0" applyNumberFormat="1" applyAlignment="1">
      <alignment horizontal="left"/>
    </xf>
    <xf numFmtId="0" fontId="78" fillId="35" borderId="134" xfId="0" applyFont="1" applyFill="1" applyBorder="1" applyAlignment="1">
      <alignment horizontal="left" vertical="center" wrapText="1"/>
    </xf>
    <xf numFmtId="0" fontId="165" fillId="0" borderId="135" xfId="0" applyFont="1" applyFill="1" applyBorder="1" applyAlignment="1">
      <alignment horizontal="left" vertical="center"/>
    </xf>
    <xf numFmtId="9" fontId="165" fillId="0" borderId="136" xfId="0" applyNumberFormat="1" applyFont="1" applyFill="1" applyBorder="1" applyAlignment="1">
      <alignment horizontal="left" vertical="center"/>
    </xf>
    <xf numFmtId="0" fontId="166" fillId="0" borderId="137" xfId="0" applyFont="1" applyFill="1" applyBorder="1" applyAlignment="1">
      <alignment horizontal="left" vertical="center"/>
    </xf>
    <xf numFmtId="1" fontId="165" fillId="0" borderId="138" xfId="0" applyNumberFormat="1" applyFont="1" applyFill="1" applyBorder="1" applyAlignment="1">
      <alignment horizontal="left" vertical="center"/>
    </xf>
    <xf numFmtId="0" fontId="167" fillId="0" borderId="137" xfId="0" applyFont="1" applyFill="1" applyBorder="1" applyAlignment="1">
      <alignment horizontal="left" vertical="center"/>
    </xf>
    <xf numFmtId="1" fontId="171" fillId="35" borderId="70" xfId="0" applyNumberFormat="1" applyFont="1" applyFill="1" applyBorder="1" applyAlignment="1">
      <alignment horizontal="left" vertical="center" wrapText="1"/>
    </xf>
    <xf numFmtId="0" fontId="81" fillId="35" borderId="121" xfId="0" applyFont="1" applyFill="1" applyBorder="1" applyAlignment="1">
      <alignment horizontal="left" vertical="center" wrapText="1"/>
    </xf>
    <xf numFmtId="0" fontId="81" fillId="35" borderId="139" xfId="0" applyFont="1" applyFill="1" applyBorder="1" applyAlignment="1">
      <alignment horizontal="left" vertical="center" wrapText="1"/>
    </xf>
    <xf numFmtId="3" fontId="81" fillId="35" borderId="120" xfId="0" applyNumberFormat="1" applyFont="1" applyFill="1" applyBorder="1" applyAlignment="1">
      <alignment horizontal="left" vertical="center" wrapText="1"/>
    </xf>
    <xf numFmtId="0" fontId="81" fillId="35" borderId="140" xfId="0" applyFont="1" applyFill="1" applyBorder="1" applyAlignment="1">
      <alignment horizontal="left" vertical="center" wrapText="1"/>
    </xf>
    <xf numFmtId="0" fontId="81" fillId="35" borderId="120" xfId="0" applyFont="1" applyFill="1" applyBorder="1" applyAlignment="1">
      <alignment horizontal="left" vertical="center" wrapText="1"/>
    </xf>
    <xf numFmtId="0" fontId="81" fillId="35" borderId="141" xfId="0" applyFont="1" applyFill="1" applyBorder="1" applyAlignment="1">
      <alignment horizontal="left" vertical="center" wrapText="1"/>
    </xf>
    <xf numFmtId="0" fontId="80" fillId="0" borderId="66" xfId="0" applyFont="1" applyFill="1" applyBorder="1" applyAlignment="1">
      <alignment horizontal="left" vertical="center" wrapText="1"/>
    </xf>
    <xf numFmtId="3" fontId="76" fillId="0" borderId="154" xfId="0" applyNumberFormat="1" applyFont="1" applyFill="1" applyBorder="1" applyAlignment="1">
      <alignment horizontal="left" vertical="center" wrapText="1"/>
    </xf>
    <xf numFmtId="0" fontId="80" fillId="0" borderId="31" xfId="0" applyFont="1" applyFill="1" applyBorder="1" applyAlignment="1">
      <alignment horizontal="left" vertical="center" wrapText="1"/>
    </xf>
    <xf numFmtId="0" fontId="76" fillId="0" borderId="121" xfId="0" applyFont="1" applyFill="1" applyBorder="1" applyAlignment="1">
      <alignment horizontal="left" vertical="center"/>
    </xf>
    <xf numFmtId="0" fontId="164" fillId="0" borderId="120" xfId="0" applyFont="1" applyFill="1" applyBorder="1" applyAlignment="1">
      <alignment horizontal="left" vertical="center" wrapText="1"/>
    </xf>
    <xf numFmtId="1" fontId="164" fillId="0" borderId="137" xfId="0" applyNumberFormat="1" applyFont="1" applyFill="1" applyBorder="1" applyAlignment="1">
      <alignment horizontal="left" vertical="center" wrapText="1"/>
    </xf>
    <xf numFmtId="1" fontId="76" fillId="0" borderId="138" xfId="0" applyNumberFormat="1" applyFont="1" applyFill="1" applyBorder="1" applyAlignment="1">
      <alignment horizontal="left" vertical="center" wrapText="1"/>
    </xf>
    <xf numFmtId="0" fontId="80" fillId="0" borderId="77" xfId="0" applyFont="1" applyFill="1" applyBorder="1" applyAlignment="1">
      <alignment horizontal="left" vertical="center" wrapText="1"/>
    </xf>
    <xf numFmtId="3" fontId="76" fillId="0" borderId="138" xfId="0" applyNumberFormat="1" applyFont="1" applyFill="1" applyBorder="1" applyAlignment="1">
      <alignment horizontal="left" vertical="center" wrapText="1"/>
    </xf>
    <xf numFmtId="0" fontId="165" fillId="0" borderId="155" xfId="0" applyFont="1" applyFill="1" applyBorder="1" applyAlignment="1">
      <alignment horizontal="left" vertical="center"/>
    </xf>
    <xf numFmtId="9" fontId="165" fillId="0" borderId="139" xfId="0" applyNumberFormat="1" applyFont="1" applyFill="1" applyBorder="1" applyAlignment="1">
      <alignment horizontal="left" vertical="center"/>
    </xf>
    <xf numFmtId="0" fontId="166" fillId="0" borderId="120" xfId="0" applyFont="1" applyFill="1" applyBorder="1" applyAlignment="1">
      <alignment horizontal="left" vertical="center"/>
    </xf>
    <xf numFmtId="1" fontId="165" fillId="0" borderId="140" xfId="0" applyNumberFormat="1" applyFont="1" applyFill="1" applyBorder="1" applyAlignment="1">
      <alignment horizontal="left" vertical="center"/>
    </xf>
    <xf numFmtId="0" fontId="167" fillId="0" borderId="120" xfId="0" applyFont="1" applyFill="1" applyBorder="1" applyAlignment="1">
      <alignment horizontal="left" vertical="center"/>
    </xf>
    <xf numFmtId="1" fontId="171" fillId="35" borderId="76" xfId="0" applyNumberFormat="1" applyFont="1" applyFill="1" applyBorder="1" applyAlignment="1">
      <alignment horizontal="left" vertical="center" wrapText="1"/>
    </xf>
    <xf numFmtId="3" fontId="172" fillId="35" borderId="120" xfId="0" applyNumberFormat="1" applyFont="1" applyFill="1" applyBorder="1" applyAlignment="1">
      <alignment horizontal="left" vertical="center" wrapText="1"/>
    </xf>
    <xf numFmtId="1" fontId="81" fillId="35" borderId="140" xfId="0" applyNumberFormat="1" applyFont="1" applyFill="1" applyBorder="1" applyAlignment="1">
      <alignment horizontal="left" vertical="center" wrapText="1"/>
    </xf>
    <xf numFmtId="1" fontId="81" fillId="35" borderId="120" xfId="0" applyNumberFormat="1" applyFont="1" applyFill="1" applyBorder="1" applyAlignment="1">
      <alignment horizontal="left" vertical="center" wrapText="1"/>
    </xf>
    <xf numFmtId="1" fontId="81" fillId="35" borderId="141" xfId="0" applyNumberFormat="1" applyFont="1" applyFill="1" applyBorder="1" applyAlignment="1">
      <alignment horizontal="left" vertical="center" wrapText="1"/>
    </xf>
    <xf numFmtId="0" fontId="81" fillId="0" borderId="115" xfId="0" applyFont="1" applyFill="1" applyBorder="1" applyAlignment="1">
      <alignment horizontal="left" vertical="center" wrapText="1"/>
    </xf>
    <xf numFmtId="0" fontId="0" fillId="0" borderId="118" xfId="0" applyBorder="1" applyAlignment="1">
      <alignment horizontal="left" vertical="center"/>
    </xf>
    <xf numFmtId="176" fontId="173" fillId="0" borderId="115" xfId="0" applyNumberFormat="1" applyFont="1" applyBorder="1" applyAlignment="1">
      <alignment horizontal="left" vertical="center"/>
    </xf>
    <xf numFmtId="0" fontId="76" fillId="0" borderId="158" xfId="0" applyFont="1" applyFill="1" applyBorder="1" applyAlignment="1">
      <alignment horizontal="left" vertical="center"/>
    </xf>
    <xf numFmtId="0" fontId="76" fillId="0" borderId="159" xfId="0" applyFont="1" applyFill="1" applyBorder="1" applyAlignment="1">
      <alignment horizontal="left" vertical="center"/>
    </xf>
    <xf numFmtId="0" fontId="76" fillId="0" borderId="160" xfId="0" applyFont="1" applyFill="1" applyBorder="1" applyAlignment="1">
      <alignment horizontal="left" vertical="center"/>
    </xf>
    <xf numFmtId="0" fontId="76" fillId="0" borderId="161" xfId="0" applyFont="1" applyFill="1" applyBorder="1" applyAlignment="1">
      <alignment horizontal="left" vertical="center"/>
    </xf>
    <xf numFmtId="0" fontId="76" fillId="0" borderId="128" xfId="0" applyFont="1" applyFill="1" applyBorder="1" applyAlignment="1">
      <alignment horizontal="left" vertical="center" wrapText="1"/>
    </xf>
    <xf numFmtId="0" fontId="164" fillId="0" borderId="155" xfId="0" applyFont="1" applyFill="1" applyBorder="1" applyAlignment="1">
      <alignment horizontal="left" vertical="center" wrapText="1"/>
    </xf>
    <xf numFmtId="0" fontId="78" fillId="35" borderId="76" xfId="0" applyFont="1" applyFill="1" applyBorder="1" applyAlignment="1">
      <alignment horizontal="left" vertical="center" wrapText="1"/>
    </xf>
    <xf numFmtId="0" fontId="175" fillId="0" borderId="115" xfId="0" applyFont="1" applyFill="1" applyBorder="1" applyAlignment="1">
      <alignment horizontal="left" vertical="center" wrapText="1"/>
    </xf>
    <xf numFmtId="0" fontId="175" fillId="0" borderId="116" xfId="0" applyFont="1" applyFill="1" applyBorder="1" applyAlignment="1">
      <alignment horizontal="left" vertical="center" wrapText="1"/>
    </xf>
    <xf numFmtId="0" fontId="176" fillId="0" borderId="118" xfId="0" applyFont="1" applyBorder="1" applyAlignment="1">
      <alignment horizontal="left" vertical="center"/>
    </xf>
    <xf numFmtId="176" fontId="176" fillId="0" borderId="115" xfId="0" applyNumberFormat="1" applyFont="1" applyBorder="1" applyAlignment="1">
      <alignment horizontal="left" vertical="center"/>
    </xf>
    <xf numFmtId="176" fontId="176" fillId="0" borderId="118" xfId="0" applyNumberFormat="1" applyFont="1" applyBorder="1" applyAlignment="1">
      <alignment horizontal="left" vertical="center"/>
    </xf>
    <xf numFmtId="0" fontId="165" fillId="0" borderId="137" xfId="0" applyFont="1" applyFill="1" applyBorder="1" applyAlignment="1">
      <alignment horizontal="left" vertical="center"/>
    </xf>
    <xf numFmtId="0" fontId="108" fillId="15" borderId="79" xfId="0" applyFont="1" applyFill="1" applyBorder="1" applyAlignment="1">
      <alignment vertical="top"/>
    </xf>
    <xf numFmtId="0" fontId="108" fillId="15" borderId="80" xfId="0" applyFont="1" applyFill="1" applyBorder="1" applyAlignment="1">
      <alignment vertical="top"/>
    </xf>
    <xf numFmtId="0" fontId="108" fillId="15" borderId="80" xfId="0" applyFont="1" applyFill="1" applyBorder="1" applyAlignment="1">
      <alignment vertical="top" wrapText="1"/>
    </xf>
    <xf numFmtId="0" fontId="108" fillId="15" borderId="81" xfId="0" applyFont="1" applyFill="1" applyBorder="1" applyAlignment="1">
      <alignment horizontal="center" vertical="top" wrapText="1"/>
    </xf>
    <xf numFmtId="0" fontId="108" fillId="15" borderId="83" xfId="0" applyFont="1" applyFill="1" applyBorder="1" applyAlignment="1">
      <alignment vertical="top"/>
    </xf>
    <xf numFmtId="0" fontId="108" fillId="15" borderId="49" xfId="0" applyFont="1" applyFill="1" applyBorder="1" applyAlignment="1">
      <alignment vertical="top"/>
    </xf>
    <xf numFmtId="0" fontId="108" fillId="15" borderId="49" xfId="0" applyFont="1" applyFill="1" applyBorder="1" applyAlignment="1">
      <alignment vertical="top" wrapText="1"/>
    </xf>
    <xf numFmtId="0" fontId="108" fillId="15" borderId="84" xfId="0" applyFont="1" applyFill="1" applyBorder="1" applyAlignment="1">
      <alignment horizontal="center" vertical="top" wrapText="1"/>
    </xf>
    <xf numFmtId="4" fontId="76" fillId="0" borderId="138" xfId="0" applyNumberFormat="1" applyFont="1" applyFill="1" applyBorder="1" applyAlignment="1">
      <alignment horizontal="left" vertical="center" wrapText="1"/>
    </xf>
    <xf numFmtId="0" fontId="111" fillId="0" borderId="79" xfId="0" applyFont="1" applyBorder="1" applyAlignment="1">
      <alignment vertical="center"/>
    </xf>
    <xf numFmtId="0" fontId="0" fillId="0" borderId="80" xfId="0" applyBorder="1"/>
    <xf numFmtId="0" fontId="0" fillId="0" borderId="81" xfId="0" applyBorder="1"/>
    <xf numFmtId="4" fontId="76" fillId="0" borderId="128" xfId="0" applyNumberFormat="1" applyFont="1" applyFill="1" applyBorder="1" applyAlignment="1">
      <alignment horizontal="left" vertical="center" wrapText="1"/>
    </xf>
    <xf numFmtId="0" fontId="76" fillId="0" borderId="163" xfId="0" applyFont="1" applyFill="1" applyBorder="1" applyAlignment="1">
      <alignment horizontal="left" vertical="center" wrapText="1"/>
    </xf>
    <xf numFmtId="0" fontId="76" fillId="0" borderId="28" xfId="0" applyFont="1" applyFill="1" applyBorder="1" applyAlignment="1">
      <alignment horizontal="left" vertical="center" wrapText="1"/>
    </xf>
    <xf numFmtId="4" fontId="7" fillId="0" borderId="4" xfId="22" applyNumberFormat="1" applyFont="1" applyFill="1" applyBorder="1" applyAlignment="1">
      <alignment horizontal="left" vertical="center" wrapText="1"/>
    </xf>
    <xf numFmtId="4" fontId="83" fillId="18" borderId="76" xfId="22" applyNumberFormat="1" applyFont="1" applyFill="1" applyBorder="1" applyAlignment="1">
      <alignment horizontal="left" vertical="center" wrapText="1"/>
    </xf>
    <xf numFmtId="0" fontId="81" fillId="35" borderId="158" xfId="0" applyFont="1" applyFill="1" applyBorder="1" applyAlignment="1">
      <alignment horizontal="left" vertical="center" wrapText="1"/>
    </xf>
    <xf numFmtId="0" fontId="175" fillId="0" borderId="119" xfId="0" applyFont="1" applyFill="1" applyBorder="1" applyAlignment="1">
      <alignment horizontal="left" vertical="center" wrapText="1"/>
    </xf>
    <xf numFmtId="0" fontId="175" fillId="0" borderId="165" xfId="0" applyFont="1" applyFill="1" applyBorder="1" applyAlignment="1">
      <alignment horizontal="left" vertical="center" wrapText="1"/>
    </xf>
    <xf numFmtId="0" fontId="177" fillId="35" borderId="115" xfId="0" applyFont="1" applyFill="1" applyBorder="1" applyAlignment="1">
      <alignment horizontal="center" vertical="center" wrapText="1"/>
    </xf>
    <xf numFmtId="0" fontId="177" fillId="35" borderId="118" xfId="0" applyFont="1" applyFill="1" applyBorder="1" applyAlignment="1">
      <alignment horizontal="center" vertical="center" wrapText="1"/>
    </xf>
    <xf numFmtId="0" fontId="179" fillId="0" borderId="75" xfId="0" applyFont="1" applyFill="1" applyBorder="1" applyAlignment="1">
      <alignment horizontal="left" vertical="center" wrapText="1"/>
    </xf>
    <xf numFmtId="4" fontId="179" fillId="0" borderId="4" xfId="22" applyNumberFormat="1" applyFont="1" applyFill="1" applyBorder="1" applyAlignment="1">
      <alignment horizontal="left" vertical="center" wrapText="1"/>
    </xf>
    <xf numFmtId="0" fontId="180" fillId="0" borderId="155" xfId="0" applyFont="1" applyFill="1" applyBorder="1" applyAlignment="1">
      <alignment horizontal="left" vertical="center" wrapText="1"/>
    </xf>
    <xf numFmtId="0" fontId="179" fillId="0" borderId="128" xfId="0" applyFont="1" applyFill="1" applyBorder="1" applyAlignment="1">
      <alignment horizontal="left" vertical="center" wrapText="1"/>
    </xf>
    <xf numFmtId="0" fontId="177" fillId="35" borderId="76" xfId="0" applyFont="1" applyFill="1" applyBorder="1" applyAlignment="1">
      <alignment horizontal="left" vertical="center" wrapText="1"/>
    </xf>
    <xf numFmtId="0" fontId="179" fillId="0" borderId="0" xfId="0" applyFont="1" applyFill="1" applyAlignment="1">
      <alignment horizontal="left" vertical="center" wrapText="1"/>
    </xf>
    <xf numFmtId="0" fontId="179" fillId="0" borderId="0" xfId="0" applyFont="1" applyFill="1" applyBorder="1" applyAlignment="1">
      <alignment horizontal="left" vertical="center" wrapText="1"/>
    </xf>
    <xf numFmtId="0" fontId="178" fillId="35" borderId="67" xfId="0" applyFont="1" applyFill="1" applyBorder="1" applyAlignment="1">
      <alignment horizontal="left" vertical="center" wrapText="1"/>
    </xf>
    <xf numFmtId="0" fontId="178" fillId="35" borderId="167" xfId="0" applyFont="1" applyFill="1" applyBorder="1" applyAlignment="1">
      <alignment horizontal="left" vertical="center" wrapText="1"/>
    </xf>
    <xf numFmtId="0" fontId="178" fillId="35" borderId="168" xfId="0" applyFont="1" applyFill="1" applyBorder="1" applyAlignment="1">
      <alignment horizontal="left" vertical="center" wrapText="1"/>
    </xf>
    <xf numFmtId="3" fontId="178" fillId="35" borderId="169" xfId="0" applyNumberFormat="1" applyFont="1" applyFill="1" applyBorder="1" applyAlignment="1">
      <alignment horizontal="left" vertical="center" wrapText="1"/>
    </xf>
    <xf numFmtId="0" fontId="178" fillId="35" borderId="169" xfId="0" applyFont="1" applyFill="1" applyBorder="1" applyAlignment="1">
      <alignment horizontal="left" vertical="center" wrapText="1"/>
    </xf>
    <xf numFmtId="0" fontId="181" fillId="35" borderId="67" xfId="0" applyFont="1" applyFill="1" applyBorder="1" applyAlignment="1">
      <alignment horizontal="left" vertical="center" wrapText="1"/>
    </xf>
    <xf numFmtId="0" fontId="181" fillId="35" borderId="168" xfId="0" applyFont="1" applyFill="1" applyBorder="1" applyAlignment="1">
      <alignment horizontal="left" vertical="center" wrapText="1"/>
    </xf>
    <xf numFmtId="0" fontId="181" fillId="35" borderId="169" xfId="0" applyFont="1" applyFill="1" applyBorder="1" applyAlignment="1">
      <alignment horizontal="left" vertical="center" wrapText="1"/>
    </xf>
    <xf numFmtId="4" fontId="178" fillId="0" borderId="74" xfId="22" applyNumberFormat="1" applyFont="1" applyFill="1" applyBorder="1" applyAlignment="1">
      <alignment horizontal="left" vertical="center" wrapText="1"/>
    </xf>
    <xf numFmtId="0" fontId="182" fillId="35" borderId="68" xfId="0" applyFont="1" applyFill="1" applyBorder="1" applyAlignment="1">
      <alignment horizontal="left" vertical="center" wrapText="1"/>
    </xf>
    <xf numFmtId="0" fontId="182" fillId="35" borderId="170" xfId="0" applyFont="1" applyFill="1" applyBorder="1" applyAlignment="1">
      <alignment horizontal="left" vertical="center" wrapText="1"/>
    </xf>
    <xf numFmtId="0" fontId="182" fillId="35" borderId="171" xfId="0" applyFont="1" applyFill="1" applyBorder="1" applyAlignment="1">
      <alignment horizontal="left" vertical="center" wrapText="1"/>
    </xf>
    <xf numFmtId="3" fontId="182" fillId="35" borderId="172" xfId="0" applyNumberFormat="1" applyFont="1" applyFill="1" applyBorder="1" applyAlignment="1">
      <alignment horizontal="left" vertical="center" wrapText="1"/>
    </xf>
    <xf numFmtId="0" fontId="182" fillId="35" borderId="172" xfId="0" applyFont="1" applyFill="1" applyBorder="1" applyAlignment="1">
      <alignment horizontal="left" vertical="center" wrapText="1"/>
    </xf>
    <xf numFmtId="0" fontId="181" fillId="35" borderId="68" xfId="0" applyFont="1" applyFill="1" applyBorder="1" applyAlignment="1">
      <alignment horizontal="left" vertical="center" wrapText="1"/>
    </xf>
    <xf numFmtId="0" fontId="181" fillId="35" borderId="170" xfId="0" applyFont="1" applyFill="1" applyBorder="1" applyAlignment="1">
      <alignment horizontal="left" vertical="center" wrapText="1"/>
    </xf>
    <xf numFmtId="0" fontId="181" fillId="35" borderId="171" xfId="0" applyFont="1" applyFill="1" applyBorder="1" applyAlignment="1">
      <alignment horizontal="left" vertical="center" wrapText="1"/>
    </xf>
    <xf numFmtId="3" fontId="181" fillId="35" borderId="172" xfId="0" applyNumberFormat="1" applyFont="1" applyFill="1" applyBorder="1" applyAlignment="1">
      <alignment horizontal="left" vertical="center" wrapText="1"/>
    </xf>
    <xf numFmtId="0" fontId="181" fillId="35" borderId="172" xfId="0" applyFont="1" applyFill="1" applyBorder="1" applyAlignment="1">
      <alignment horizontal="left" vertical="center" wrapText="1"/>
    </xf>
    <xf numFmtId="0" fontId="178" fillId="35" borderId="68" xfId="0" applyFont="1" applyFill="1" applyBorder="1" applyAlignment="1">
      <alignment horizontal="left" vertical="center" wrapText="1"/>
    </xf>
    <xf numFmtId="0" fontId="178" fillId="35" borderId="170" xfId="0" applyFont="1" applyFill="1" applyBorder="1" applyAlignment="1">
      <alignment horizontal="left" vertical="center" wrapText="1"/>
    </xf>
    <xf numFmtId="0" fontId="178" fillId="35" borderId="171" xfId="0" applyFont="1" applyFill="1" applyBorder="1" applyAlignment="1">
      <alignment horizontal="left" vertical="center" wrapText="1"/>
    </xf>
    <xf numFmtId="3" fontId="178" fillId="35" borderId="172" xfId="0" applyNumberFormat="1" applyFont="1" applyFill="1" applyBorder="1" applyAlignment="1">
      <alignment horizontal="left" vertical="center" wrapText="1"/>
    </xf>
    <xf numFmtId="0" fontId="178" fillId="35" borderId="172" xfId="0" applyFont="1" applyFill="1" applyBorder="1" applyAlignment="1">
      <alignment horizontal="left" vertical="center" wrapText="1"/>
    </xf>
    <xf numFmtId="0" fontId="78" fillId="35" borderId="70" xfId="0" applyFont="1" applyFill="1" applyBorder="1" applyAlignment="1">
      <alignment vertical="center" wrapText="1"/>
    </xf>
    <xf numFmtId="4" fontId="76" fillId="0" borderId="22" xfId="0" applyNumberFormat="1" applyFont="1" applyFill="1" applyBorder="1" applyAlignment="1">
      <alignment horizontal="left" vertical="center" wrapText="1"/>
    </xf>
    <xf numFmtId="0" fontId="183" fillId="0" borderId="137" xfId="0" applyFont="1" applyFill="1" applyBorder="1" applyAlignment="1">
      <alignment horizontal="left" vertical="center"/>
    </xf>
    <xf numFmtId="1" fontId="175" fillId="35" borderId="70" xfId="0" applyNumberFormat="1" applyFont="1" applyFill="1" applyBorder="1" applyAlignment="1">
      <alignment vertical="center" wrapText="1"/>
    </xf>
    <xf numFmtId="0" fontId="81" fillId="35" borderId="141" xfId="0" applyFont="1" applyFill="1" applyBorder="1" applyAlignment="1">
      <alignment vertical="center" wrapText="1"/>
    </xf>
    <xf numFmtId="2" fontId="69" fillId="0" borderId="119" xfId="0" applyNumberFormat="1" applyFont="1" applyBorder="1" applyAlignment="1">
      <alignment vertical="center"/>
    </xf>
    <xf numFmtId="4" fontId="76" fillId="0" borderId="89" xfId="0" applyNumberFormat="1" applyFont="1" applyFill="1" applyBorder="1" applyAlignment="1">
      <alignment horizontal="left" vertical="center" wrapText="1"/>
    </xf>
    <xf numFmtId="0" fontId="90" fillId="0" borderId="77" xfId="0" applyFont="1" applyFill="1" applyBorder="1" applyAlignment="1">
      <alignment horizontal="left" vertical="center" wrapText="1"/>
    </xf>
    <xf numFmtId="0" fontId="76" fillId="0" borderId="82" xfId="0" applyFont="1" applyFill="1" applyBorder="1" applyAlignment="1">
      <alignment horizontal="left" vertical="center" wrapText="1"/>
    </xf>
    <xf numFmtId="0" fontId="22" fillId="0" borderId="99" xfId="0" applyNumberFormat="1" applyFont="1" applyBorder="1" applyAlignment="1">
      <alignment horizontal="left" vertical="center" wrapText="1"/>
    </xf>
    <xf numFmtId="0" fontId="164" fillId="0" borderId="174" xfId="0" applyFont="1" applyFill="1" applyBorder="1" applyAlignment="1">
      <alignment horizontal="left" vertical="center" wrapText="1"/>
    </xf>
    <xf numFmtId="0" fontId="78" fillId="35" borderId="114" xfId="0" applyFont="1" applyFill="1" applyBorder="1" applyAlignment="1">
      <alignment vertical="center" wrapText="1"/>
    </xf>
    <xf numFmtId="0" fontId="22" fillId="0" borderId="102" xfId="0" applyNumberFormat="1" applyFont="1" applyBorder="1" applyAlignment="1">
      <alignment horizontal="left" vertical="center" wrapText="1"/>
    </xf>
    <xf numFmtId="0" fontId="22" fillId="0" borderId="77" xfId="0" applyNumberFormat="1" applyFont="1" applyBorder="1" applyAlignment="1">
      <alignment horizontal="left" vertical="center" wrapText="1"/>
    </xf>
    <xf numFmtId="4" fontId="76" fillId="0" borderId="163" xfId="0" applyNumberFormat="1" applyFont="1" applyFill="1" applyBorder="1" applyAlignment="1">
      <alignment horizontal="left" vertical="center" wrapText="1"/>
    </xf>
    <xf numFmtId="168" fontId="118" fillId="56" borderId="2" xfId="0" applyNumberFormat="1" applyFont="1" applyFill="1" applyBorder="1" applyAlignment="1">
      <alignment horizontal="left" vertical="center"/>
    </xf>
    <xf numFmtId="4" fontId="12" fillId="0" borderId="15" xfId="0" applyNumberFormat="1" applyFont="1" applyFill="1" applyBorder="1" applyAlignment="1">
      <alignment horizontal="center" vertical="center" wrapText="1"/>
    </xf>
    <xf numFmtId="1" fontId="91" fillId="49" borderId="78" xfId="0" applyNumberFormat="1" applyFont="1" applyFill="1" applyBorder="1" applyAlignment="1">
      <alignment horizontal="left" vertical="center"/>
    </xf>
    <xf numFmtId="1" fontId="91" fillId="49" borderId="83" xfId="0" applyNumberFormat="1" applyFont="1" applyFill="1" applyBorder="1" applyAlignment="1">
      <alignment horizontal="left" vertical="center"/>
    </xf>
    <xf numFmtId="0" fontId="60" fillId="46" borderId="0" xfId="6" applyFont="1" applyFill="1" applyBorder="1" applyAlignment="1">
      <alignment horizontal="left" vertical="center"/>
    </xf>
    <xf numFmtId="1" fontId="117" fillId="0" borderId="51" xfId="0" applyNumberFormat="1" applyFont="1" applyBorder="1" applyAlignment="1">
      <alignment horizontal="center" vertical="center"/>
    </xf>
    <xf numFmtId="1" fontId="117" fillId="0" borderId="52" xfId="0" applyNumberFormat="1" applyFont="1" applyBorder="1" applyAlignment="1">
      <alignment horizontal="center" vertical="center"/>
    </xf>
    <xf numFmtId="1" fontId="117" fillId="0" borderId="34" xfId="0" applyNumberFormat="1" applyFont="1" applyBorder="1" applyAlignment="1">
      <alignment horizontal="center" vertical="center"/>
    </xf>
    <xf numFmtId="1" fontId="117" fillId="0" borderId="66" xfId="0" applyNumberFormat="1" applyFont="1" applyBorder="1" applyAlignment="1">
      <alignment horizontal="center" vertical="center"/>
    </xf>
    <xf numFmtId="1" fontId="117" fillId="0" borderId="2" xfId="0" applyNumberFormat="1" applyFont="1" applyBorder="1" applyAlignment="1">
      <alignment horizontal="center" vertical="center"/>
    </xf>
    <xf numFmtId="1" fontId="117" fillId="0" borderId="32" xfId="0" applyNumberFormat="1" applyFont="1" applyBorder="1" applyAlignment="1">
      <alignment horizontal="center" vertical="center"/>
    </xf>
    <xf numFmtId="1" fontId="117" fillId="0" borderId="61" xfId="0" applyNumberFormat="1" applyFont="1" applyBorder="1" applyAlignment="1">
      <alignment horizontal="center" vertical="center"/>
    </xf>
    <xf numFmtId="1" fontId="117" fillId="0" borderId="54" xfId="0" applyNumberFormat="1" applyFont="1" applyBorder="1" applyAlignment="1">
      <alignment horizontal="center" vertical="center"/>
    </xf>
    <xf numFmtId="1" fontId="117" fillId="0" borderId="62" xfId="0" applyNumberFormat="1" applyFont="1" applyBorder="1" applyAlignment="1">
      <alignment horizontal="center" vertical="center"/>
    </xf>
    <xf numFmtId="1" fontId="112" fillId="0" borderId="49" xfId="0" applyNumberFormat="1" applyFont="1" applyBorder="1" applyAlignment="1">
      <alignment horizontal="right" vertical="center"/>
    </xf>
    <xf numFmtId="1" fontId="62" fillId="0" borderId="87" xfId="0" applyNumberFormat="1" applyFont="1" applyBorder="1" applyAlignment="1">
      <alignment horizontal="right" vertical="center"/>
    </xf>
    <xf numFmtId="1" fontId="91" fillId="0" borderId="10" xfId="0" applyNumberFormat="1" applyFont="1" applyBorder="1" applyAlignment="1">
      <alignment horizontal="left" vertical="center"/>
    </xf>
    <xf numFmtId="1" fontId="91" fillId="0" borderId="51" xfId="0" applyNumberFormat="1" applyFont="1" applyBorder="1" applyAlignment="1">
      <alignment horizontal="left" vertical="center"/>
    </xf>
    <xf numFmtId="1" fontId="91" fillId="0" borderId="34" xfId="0" applyNumberFormat="1" applyFont="1" applyBorder="1" applyAlignment="1">
      <alignment horizontal="left" vertical="center"/>
    </xf>
    <xf numFmtId="1" fontId="91" fillId="0" borderId="18" xfId="0" applyNumberFormat="1" applyFont="1" applyBorder="1" applyAlignment="1">
      <alignment horizontal="left" vertical="center"/>
    </xf>
    <xf numFmtId="1" fontId="91" fillId="0" borderId="104" xfId="0" applyNumberFormat="1" applyFont="1" applyBorder="1" applyAlignment="1">
      <alignment horizontal="left" vertical="center"/>
    </xf>
    <xf numFmtId="0" fontId="62" fillId="46" borderId="80" xfId="0" applyFont="1" applyFill="1" applyBorder="1" applyAlignment="1">
      <alignment horizontal="left" vertical="center"/>
    </xf>
    <xf numFmtId="0" fontId="12" fillId="0" borderId="28" xfId="13" applyFont="1" applyFill="1" applyBorder="1" applyAlignment="1">
      <alignment vertical="center"/>
    </xf>
    <xf numFmtId="0" fontId="0" fillId="0" borderId="33" xfId="0" applyBorder="1"/>
    <xf numFmtId="0" fontId="112" fillId="0" borderId="11" xfId="0" applyFont="1" applyBorder="1" applyAlignment="1">
      <alignment horizontal="left" vertical="center"/>
    </xf>
    <xf numFmtId="0" fontId="112" fillId="0" borderId="34" xfId="0" applyFont="1" applyBorder="1" applyAlignment="1">
      <alignment horizontal="left" vertical="center"/>
    </xf>
    <xf numFmtId="4" fontId="12" fillId="0" borderId="97" xfId="0" applyNumberFormat="1" applyFont="1" applyBorder="1" applyAlignment="1">
      <alignment horizontal="center" vertical="center" wrapText="1"/>
    </xf>
    <xf numFmtId="4" fontId="12" fillId="0" borderId="5" xfId="0" applyNumberFormat="1" applyFont="1" applyBorder="1" applyAlignment="1">
      <alignment horizontal="center" vertical="center" wrapText="1"/>
    </xf>
    <xf numFmtId="2" fontId="104" fillId="0" borderId="2" xfId="14" applyNumberFormat="1" applyFont="1" applyBorder="1" applyAlignment="1" applyProtection="1">
      <alignment horizontal="center" vertical="center"/>
    </xf>
    <xf numFmtId="2" fontId="156" fillId="0" borderId="2" xfId="14" applyNumberFormat="1" applyFont="1" applyBorder="1" applyAlignment="1" applyProtection="1">
      <alignment horizontal="center" vertical="center"/>
    </xf>
    <xf numFmtId="2" fontId="12" fillId="0" borderId="10" xfId="0" applyNumberFormat="1" applyFont="1" applyBorder="1" applyAlignment="1">
      <alignment horizontal="center" vertical="center" wrapText="1"/>
    </xf>
    <xf numFmtId="4" fontId="12" fillId="0" borderId="0" xfId="0" applyNumberFormat="1" applyFont="1" applyFill="1" applyBorder="1" applyAlignment="1">
      <alignment horizontal="left" vertical="center"/>
    </xf>
    <xf numFmtId="4" fontId="12" fillId="0" borderId="0" xfId="0" applyNumberFormat="1" applyFont="1" applyFill="1" applyBorder="1" applyAlignment="1">
      <alignment horizontal="center" vertical="center"/>
    </xf>
    <xf numFmtId="2" fontId="12" fillId="0" borderId="5" xfId="0" applyNumberFormat="1" applyFont="1" applyBorder="1" applyAlignment="1">
      <alignment horizontal="center" vertical="center" wrapText="1"/>
    </xf>
    <xf numFmtId="0" fontId="160" fillId="0" borderId="0" xfId="0" applyFont="1"/>
    <xf numFmtId="0" fontId="25" fillId="18" borderId="5" xfId="7" applyFont="1" applyFill="1" applyBorder="1" applyAlignment="1">
      <alignment horizontal="center" vertical="center"/>
    </xf>
    <xf numFmtId="2" fontId="12" fillId="20" borderId="2" xfId="14" applyNumberFormat="1" applyFont="1" applyFill="1" applyBorder="1" applyAlignment="1" applyProtection="1">
      <alignment horizontal="center" vertical="center"/>
    </xf>
    <xf numFmtId="3" fontId="10" fillId="18" borderId="4" xfId="0" applyNumberFormat="1" applyFont="1" applyFill="1" applyBorder="1" applyAlignment="1">
      <alignment horizontal="center" vertical="center" wrapText="1"/>
    </xf>
    <xf numFmtId="3" fontId="10" fillId="18" borderId="5" xfId="0" applyNumberFormat="1" applyFont="1" applyFill="1" applyBorder="1" applyAlignment="1">
      <alignment horizontal="center" vertical="center" wrapText="1"/>
    </xf>
    <xf numFmtId="0" fontId="26" fillId="18" borderId="14" xfId="0" applyFont="1" applyFill="1" applyBorder="1" applyAlignment="1">
      <alignment horizontal="center" vertical="center" wrapText="1"/>
    </xf>
    <xf numFmtId="178" fontId="24" fillId="12" borderId="5" xfId="8" applyNumberFormat="1" applyFont="1" applyFill="1" applyBorder="1" applyAlignment="1">
      <alignment horizontal="center" vertical="center" wrapText="1"/>
    </xf>
    <xf numFmtId="178" fontId="24" fillId="12" borderId="5" xfId="8" applyNumberFormat="1" applyFont="1" applyFill="1" applyBorder="1" applyAlignment="1">
      <alignment vertical="center" wrapText="1"/>
    </xf>
    <xf numFmtId="178" fontId="11" fillId="13" borderId="7" xfId="7" applyNumberFormat="1" applyFont="1" applyFill="1" applyBorder="1" applyAlignment="1">
      <alignment horizontal="center" vertical="center" wrapText="1"/>
    </xf>
    <xf numFmtId="178" fontId="26" fillId="14" borderId="3" xfId="1" applyNumberFormat="1" applyFont="1" applyFill="1" applyBorder="1" applyAlignment="1" applyProtection="1">
      <alignment horizontal="center" vertical="center"/>
    </xf>
    <xf numFmtId="178" fontId="25" fillId="15" borderId="10" xfId="1" applyNumberFormat="1" applyFont="1" applyFill="1" applyBorder="1" applyAlignment="1" applyProtection="1">
      <alignment horizontal="center" vertical="center"/>
    </xf>
    <xf numFmtId="178" fontId="26" fillId="15" borderId="10" xfId="1" applyNumberFormat="1" applyFont="1" applyFill="1" applyBorder="1" applyAlignment="1" applyProtection="1">
      <alignment horizontal="center" vertical="center"/>
    </xf>
    <xf numFmtId="178" fontId="12" fillId="16" borderId="2" xfId="14" applyNumberFormat="1" applyFont="1" applyFill="1" applyBorder="1" applyAlignment="1" applyProtection="1">
      <alignment horizontal="center" vertical="center"/>
    </xf>
    <xf numFmtId="178" fontId="10" fillId="16" borderId="2" xfId="14" applyNumberFormat="1" applyFont="1" applyFill="1" applyBorder="1" applyAlignment="1" applyProtection="1">
      <alignment horizontal="center" vertical="center"/>
    </xf>
    <xf numFmtId="178" fontId="25" fillId="17" borderId="10" xfId="3" applyNumberFormat="1" applyFont="1" applyFill="1" applyBorder="1" applyAlignment="1" applyProtection="1">
      <alignment horizontal="center" vertical="center"/>
    </xf>
    <xf numFmtId="178" fontId="26" fillId="17" borderId="10" xfId="3" applyNumberFormat="1" applyFont="1" applyFill="1" applyBorder="1" applyAlignment="1" applyProtection="1">
      <alignment horizontal="center" vertical="center"/>
    </xf>
    <xf numFmtId="178" fontId="12" fillId="16" borderId="5" xfId="14" applyNumberFormat="1" applyFont="1" applyFill="1" applyBorder="1" applyAlignment="1" applyProtection="1">
      <alignment horizontal="center" vertical="center"/>
    </xf>
    <xf numFmtId="178" fontId="10" fillId="16" borderId="5" xfId="14" applyNumberFormat="1" applyFont="1" applyFill="1" applyBorder="1" applyAlignment="1" applyProtection="1">
      <alignment horizontal="center" vertical="center"/>
    </xf>
    <xf numFmtId="178" fontId="29" fillId="16" borderId="5" xfId="14" applyNumberFormat="1" applyFont="1" applyFill="1" applyBorder="1" applyAlignment="1" applyProtection="1">
      <alignment horizontal="center" vertical="center"/>
    </xf>
    <xf numFmtId="178" fontId="33" fillId="16" borderId="5" xfId="14" applyNumberFormat="1" applyFont="1" applyFill="1" applyBorder="1" applyAlignment="1" applyProtection="1">
      <alignment horizontal="center" vertical="center"/>
    </xf>
    <xf numFmtId="178" fontId="25" fillId="19" borderId="2" xfId="3" applyNumberFormat="1" applyFont="1" applyFill="1" applyBorder="1" applyAlignment="1" applyProtection="1">
      <alignment horizontal="center" vertical="center"/>
    </xf>
    <xf numFmtId="178" fontId="12" fillId="16" borderId="27" xfId="14" applyNumberFormat="1" applyFont="1" applyFill="1" applyBorder="1" applyAlignment="1" applyProtection="1">
      <alignment horizontal="center" vertical="center"/>
    </xf>
    <xf numFmtId="178" fontId="10" fillId="16" borderId="30" xfId="14" applyNumberFormat="1" applyFont="1" applyFill="1" applyBorder="1" applyAlignment="1" applyProtection="1">
      <alignment horizontal="center" vertical="center"/>
    </xf>
    <xf numFmtId="178" fontId="10" fillId="16" borderId="32" xfId="14" applyNumberFormat="1" applyFont="1" applyFill="1" applyBorder="1" applyAlignment="1" applyProtection="1">
      <alignment horizontal="center" vertical="center"/>
    </xf>
    <xf numFmtId="178" fontId="12" fillId="16" borderId="11" xfId="14" applyNumberFormat="1" applyFont="1" applyFill="1" applyBorder="1" applyAlignment="1" applyProtection="1">
      <alignment horizontal="center" vertical="center"/>
    </xf>
    <xf numFmtId="178" fontId="10" fillId="16" borderId="34" xfId="14" applyNumberFormat="1" applyFont="1" applyFill="1" applyBorder="1" applyAlignment="1" applyProtection="1">
      <alignment horizontal="center" vertical="center"/>
    </xf>
    <xf numFmtId="178" fontId="12" fillId="16" borderId="3" xfId="14" applyNumberFormat="1" applyFont="1" applyFill="1" applyBorder="1" applyAlignment="1" applyProtection="1">
      <alignment horizontal="center" vertical="center"/>
    </xf>
    <xf numFmtId="178" fontId="10" fillId="16" borderId="3" xfId="14" applyNumberFormat="1" applyFont="1" applyFill="1" applyBorder="1" applyAlignment="1" applyProtection="1">
      <alignment horizontal="center" vertical="center"/>
    </xf>
    <xf numFmtId="178" fontId="43" fillId="0" borderId="2" xfId="14" applyNumberFormat="1" applyFont="1" applyFill="1" applyBorder="1" applyAlignment="1" applyProtection="1">
      <alignment horizontal="center" vertical="center"/>
    </xf>
    <xf numFmtId="178" fontId="25" fillId="19" borderId="5" xfId="3" applyNumberFormat="1" applyFont="1" applyFill="1" applyBorder="1" applyAlignment="1" applyProtection="1">
      <alignment horizontal="center" vertical="center"/>
    </xf>
    <xf numFmtId="178" fontId="26" fillId="19" borderId="5" xfId="3" applyNumberFormat="1" applyFont="1" applyFill="1" applyBorder="1" applyAlignment="1" applyProtection="1">
      <alignment horizontal="center" vertical="center"/>
    </xf>
    <xf numFmtId="178" fontId="26" fillId="17" borderId="5" xfId="1" applyNumberFormat="1" applyFont="1" applyFill="1" applyBorder="1" applyAlignment="1" applyProtection="1">
      <alignment horizontal="center" vertical="center"/>
    </xf>
    <xf numFmtId="178" fontId="26" fillId="14" borderId="5" xfId="1" applyNumberFormat="1" applyFont="1" applyFill="1" applyBorder="1" applyAlignment="1" applyProtection="1">
      <alignment horizontal="center" vertical="center"/>
    </xf>
    <xf numFmtId="178" fontId="26" fillId="17" borderId="5" xfId="3" applyNumberFormat="1" applyFont="1" applyFill="1" applyBorder="1" applyAlignment="1" applyProtection="1">
      <alignment horizontal="center" vertical="center"/>
    </xf>
    <xf numFmtId="178" fontId="32" fillId="17" borderId="5" xfId="0" applyNumberFormat="1" applyFont="1" applyFill="1" applyBorder="1" applyAlignment="1">
      <alignment horizontal="center" vertical="center"/>
    </xf>
    <xf numFmtId="178" fontId="10" fillId="17" borderId="5" xfId="3" applyNumberFormat="1" applyFont="1" applyFill="1" applyBorder="1" applyAlignment="1" applyProtection="1">
      <alignment horizontal="center" vertical="center"/>
    </xf>
    <xf numFmtId="178" fontId="40" fillId="17" borderId="5" xfId="0" applyNumberFormat="1" applyFont="1" applyFill="1" applyBorder="1" applyAlignment="1">
      <alignment horizontal="center" vertical="center" wrapText="1"/>
    </xf>
    <xf numFmtId="178" fontId="10" fillId="16" borderId="11" xfId="14" applyNumberFormat="1" applyFont="1" applyFill="1" applyBorder="1" applyAlignment="1" applyProtection="1">
      <alignment horizontal="center" vertical="center"/>
    </xf>
    <xf numFmtId="178" fontId="32" fillId="13" borderId="5" xfId="0" applyNumberFormat="1" applyFont="1" applyFill="1" applyBorder="1" applyAlignment="1">
      <alignment horizontal="center" vertical="center" wrapText="1"/>
    </xf>
    <xf numFmtId="178" fontId="32" fillId="14" borderId="4" xfId="0" applyNumberFormat="1" applyFont="1" applyFill="1" applyBorder="1" applyAlignment="1">
      <alignment horizontal="center" vertical="center" wrapText="1"/>
    </xf>
    <xf numFmtId="178" fontId="40" fillId="17" borderId="2" xfId="0" applyNumberFormat="1" applyFont="1" applyFill="1" applyBorder="1" applyAlignment="1">
      <alignment horizontal="center" vertical="center" wrapText="1"/>
    </xf>
    <xf numFmtId="178" fontId="39" fillId="16" borderId="5" xfId="14" applyNumberFormat="1" applyFont="1" applyFill="1" applyBorder="1" applyAlignment="1" applyProtection="1">
      <alignment horizontal="center" vertical="center"/>
    </xf>
    <xf numFmtId="178" fontId="40" fillId="16" borderId="5" xfId="14" applyNumberFormat="1" applyFont="1" applyFill="1" applyBorder="1" applyAlignment="1" applyProtection="1">
      <alignment horizontal="center" vertical="center"/>
    </xf>
    <xf numFmtId="178" fontId="39" fillId="16" borderId="11" xfId="14" applyNumberFormat="1" applyFont="1" applyFill="1" applyBorder="1" applyAlignment="1" applyProtection="1">
      <alignment horizontal="center" vertical="center"/>
    </xf>
    <xf numFmtId="178" fontId="40" fillId="16" borderId="11" xfId="14" applyNumberFormat="1" applyFont="1" applyFill="1" applyBorder="1" applyAlignment="1" applyProtection="1">
      <alignment horizontal="center" vertical="center"/>
    </xf>
    <xf numFmtId="178" fontId="39" fillId="16" borderId="27" xfId="14" applyNumberFormat="1" applyFont="1" applyFill="1" applyBorder="1" applyAlignment="1" applyProtection="1">
      <alignment horizontal="center" vertical="center"/>
    </xf>
    <xf numFmtId="178" fontId="40" fillId="16" borderId="27" xfId="14" applyNumberFormat="1" applyFont="1" applyFill="1" applyBorder="1" applyAlignment="1" applyProtection="1">
      <alignment horizontal="center" vertical="center"/>
    </xf>
    <xf numFmtId="178" fontId="39" fillId="16" borderId="2" xfId="14" applyNumberFormat="1" applyFont="1" applyFill="1" applyBorder="1" applyAlignment="1" applyProtection="1">
      <alignment horizontal="center" vertical="center"/>
    </xf>
    <xf numFmtId="178" fontId="40" fillId="16" borderId="2" xfId="14" applyNumberFormat="1" applyFont="1" applyFill="1" applyBorder="1" applyAlignment="1" applyProtection="1">
      <alignment horizontal="center" vertical="center"/>
    </xf>
    <xf numFmtId="178" fontId="40" fillId="17" borderId="54" xfId="0" applyNumberFormat="1" applyFont="1" applyFill="1" applyBorder="1" applyAlignment="1">
      <alignment horizontal="center" vertical="center" wrapText="1"/>
    </xf>
    <xf numFmtId="178" fontId="40" fillId="17" borderId="62" xfId="0" applyNumberFormat="1" applyFont="1" applyFill="1" applyBorder="1" applyAlignment="1">
      <alignment horizontal="center" vertical="center" wrapText="1"/>
    </xf>
    <xf numFmtId="178" fontId="32" fillId="14" borderId="5" xfId="0" applyNumberFormat="1" applyFont="1" applyFill="1" applyBorder="1" applyAlignment="1">
      <alignment horizontal="center" vertical="center" wrapText="1"/>
    </xf>
    <xf numFmtId="178" fontId="32" fillId="15" borderId="5" xfId="0" applyNumberFormat="1" applyFont="1" applyFill="1" applyBorder="1" applyAlignment="1">
      <alignment horizontal="center" vertical="center" wrapText="1"/>
    </xf>
    <xf numFmtId="178" fontId="10" fillId="16" borderId="27" xfId="14" applyNumberFormat="1" applyFont="1" applyFill="1" applyBorder="1" applyAlignment="1" applyProtection="1">
      <alignment horizontal="center" vertical="center"/>
    </xf>
    <xf numFmtId="178" fontId="43" fillId="16" borderId="2" xfId="14" applyNumberFormat="1" applyFont="1" applyFill="1" applyBorder="1" applyAlignment="1" applyProtection="1">
      <alignment horizontal="center" vertical="center"/>
    </xf>
    <xf numFmtId="178" fontId="43" fillId="16" borderId="11" xfId="14" applyNumberFormat="1" applyFont="1" applyFill="1" applyBorder="1" applyAlignment="1" applyProtection="1">
      <alignment horizontal="center" vertical="center"/>
    </xf>
    <xf numFmtId="178" fontId="100" fillId="17" borderId="5" xfId="0" applyNumberFormat="1" applyFont="1" applyFill="1" applyBorder="1" applyAlignment="1">
      <alignment horizontal="center" vertical="center" wrapText="1"/>
    </xf>
    <xf numFmtId="178" fontId="147" fillId="17" borderId="5" xfId="0" applyNumberFormat="1" applyFont="1" applyFill="1" applyBorder="1" applyAlignment="1">
      <alignment horizontal="center" vertical="center" wrapText="1"/>
    </xf>
    <xf numFmtId="178" fontId="32" fillId="17" borderId="5" xfId="0" applyNumberFormat="1" applyFont="1" applyFill="1" applyBorder="1" applyAlignment="1">
      <alignment horizontal="center" vertical="center" wrapText="1"/>
    </xf>
    <xf numFmtId="178" fontId="32" fillId="17" borderId="2" xfId="0" applyNumberFormat="1" applyFont="1" applyFill="1" applyBorder="1" applyAlignment="1">
      <alignment horizontal="center" vertical="center" wrapText="1"/>
    </xf>
    <xf numFmtId="178" fontId="43" fillId="16" borderId="3" xfId="14" applyNumberFormat="1" applyFont="1" applyFill="1" applyBorder="1" applyAlignment="1" applyProtection="1">
      <alignment horizontal="center" vertical="center"/>
    </xf>
    <xf numFmtId="178" fontId="43" fillId="16" borderId="27" xfId="14" applyNumberFormat="1" applyFont="1" applyFill="1" applyBorder="1" applyAlignment="1" applyProtection="1">
      <alignment horizontal="center" vertical="center"/>
    </xf>
    <xf numFmtId="178" fontId="12" fillId="16" borderId="10" xfId="14" applyNumberFormat="1" applyFont="1" applyFill="1" applyBorder="1" applyAlignment="1" applyProtection="1">
      <alignment horizontal="center" vertical="center"/>
    </xf>
    <xf numFmtId="178" fontId="12" fillId="16" borderId="30" xfId="14" applyNumberFormat="1" applyFont="1" applyFill="1" applyBorder="1" applyAlignment="1" applyProtection="1">
      <alignment horizontal="center" vertical="center"/>
    </xf>
    <xf numFmtId="178" fontId="12" fillId="16" borderId="32" xfId="14" applyNumberFormat="1" applyFont="1" applyFill="1" applyBorder="1" applyAlignment="1" applyProtection="1">
      <alignment horizontal="center" vertical="center"/>
    </xf>
    <xf numFmtId="178" fontId="12" fillId="16" borderId="34" xfId="14" applyNumberFormat="1" applyFont="1" applyFill="1" applyBorder="1" applyAlignment="1" applyProtection="1">
      <alignment horizontal="center" vertical="center"/>
    </xf>
    <xf numFmtId="178" fontId="147" fillId="17" borderId="54" xfId="0" applyNumberFormat="1" applyFont="1" applyFill="1" applyBorder="1" applyAlignment="1">
      <alignment horizontal="center" vertical="center" wrapText="1"/>
    </xf>
    <xf numFmtId="178" fontId="147" fillId="17" borderId="62" xfId="0" applyNumberFormat="1" applyFont="1" applyFill="1" applyBorder="1" applyAlignment="1">
      <alignment horizontal="center" vertical="center" wrapText="1"/>
    </xf>
    <xf numFmtId="178" fontId="32" fillId="14" borderId="97" xfId="0" applyNumberFormat="1" applyFont="1" applyFill="1" applyBorder="1" applyAlignment="1">
      <alignment horizontal="center" vertical="center" wrapText="1"/>
    </xf>
    <xf numFmtId="178" fontId="28" fillId="17" borderId="5" xfId="0" applyNumberFormat="1" applyFont="1" applyFill="1" applyBorder="1" applyAlignment="1">
      <alignment horizontal="center" vertical="center" wrapText="1"/>
    </xf>
    <xf numFmtId="178" fontId="12" fillId="16" borderId="90" xfId="14" applyNumberFormat="1" applyFont="1" applyFill="1" applyBorder="1" applyAlignment="1" applyProtection="1">
      <alignment horizontal="center" vertical="center"/>
    </xf>
    <xf numFmtId="178" fontId="32" fillId="17" borderId="54" xfId="0" applyNumberFormat="1" applyFont="1" applyFill="1" applyBorder="1" applyAlignment="1">
      <alignment horizontal="center" vertical="center" wrapText="1"/>
    </xf>
    <xf numFmtId="178" fontId="32" fillId="17" borderId="62" xfId="0" applyNumberFormat="1" applyFont="1" applyFill="1" applyBorder="1" applyAlignment="1">
      <alignment horizontal="center" vertical="center" wrapText="1"/>
    </xf>
    <xf numFmtId="178" fontId="10" fillId="17" borderId="5" xfId="0" applyNumberFormat="1" applyFont="1" applyFill="1" applyBorder="1" applyAlignment="1">
      <alignment horizontal="center" vertical="center" wrapText="1"/>
    </xf>
    <xf numFmtId="178" fontId="12" fillId="0" borderId="2" xfId="14" applyNumberFormat="1" applyFont="1" applyFill="1" applyBorder="1" applyAlignment="1" applyProtection="1">
      <alignment horizontal="center" vertical="center"/>
    </xf>
    <xf numFmtId="178" fontId="10" fillId="14" borderId="54" xfId="0" applyNumberFormat="1" applyFont="1" applyFill="1" applyBorder="1" applyAlignment="1">
      <alignment horizontal="center" vertical="center" wrapText="1"/>
    </xf>
    <xf numFmtId="178" fontId="10" fillId="14" borderId="62" xfId="0" applyNumberFormat="1" applyFont="1" applyFill="1" applyBorder="1" applyAlignment="1">
      <alignment horizontal="center" vertical="center" wrapText="1"/>
    </xf>
    <xf numFmtId="178" fontId="12" fillId="26" borderId="3" xfId="14" applyNumberFormat="1" applyFont="1" applyFill="1" applyBorder="1" applyAlignment="1" applyProtection="1">
      <alignment horizontal="center" vertical="center"/>
    </xf>
    <xf numFmtId="178" fontId="12" fillId="26" borderId="2" xfId="14" applyNumberFormat="1" applyFont="1" applyFill="1" applyBorder="1" applyAlignment="1" applyProtection="1">
      <alignment horizontal="center" vertical="center"/>
    </xf>
    <xf numFmtId="178" fontId="25" fillId="17" borderId="2" xfId="0" applyNumberFormat="1" applyFont="1" applyFill="1" applyBorder="1" applyAlignment="1">
      <alignment horizontal="center" vertical="center" wrapText="1"/>
    </xf>
    <xf numFmtId="178" fontId="0" fillId="0" borderId="0" xfId="0" applyNumberFormat="1"/>
    <xf numFmtId="178" fontId="22" fillId="0" borderId="0" xfId="0" applyNumberFormat="1" applyFont="1" applyBorder="1" applyAlignment="1">
      <alignment horizontal="center" vertical="center" wrapText="1"/>
    </xf>
    <xf numFmtId="178" fontId="22" fillId="0" borderId="0" xfId="0" applyNumberFormat="1" applyFont="1" applyFill="1" applyBorder="1" applyAlignment="1">
      <alignment vertical="center"/>
    </xf>
    <xf numFmtId="0" fontId="151" fillId="0" borderId="0" xfId="0" applyFont="1" applyBorder="1"/>
    <xf numFmtId="0" fontId="104" fillId="0" borderId="0" xfId="0" applyFont="1" applyBorder="1"/>
    <xf numFmtId="1" fontId="104" fillId="0" borderId="0" xfId="0" applyNumberFormat="1" applyFont="1" applyBorder="1"/>
    <xf numFmtId="178" fontId="0" fillId="0" borderId="0" xfId="0" applyNumberFormat="1" applyBorder="1"/>
    <xf numFmtId="0" fontId="65" fillId="0" borderId="0" xfId="0" applyFont="1" applyFill="1" applyBorder="1" applyAlignment="1">
      <alignment horizontal="center" vertical="center"/>
    </xf>
    <xf numFmtId="0" fontId="44" fillId="0" borderId="0" xfId="0" applyFont="1" applyBorder="1" applyAlignment="1">
      <alignment horizontal="left" vertical="center" wrapText="1"/>
    </xf>
    <xf numFmtId="0" fontId="44" fillId="0" borderId="44" xfId="0" applyFont="1" applyBorder="1" applyAlignment="1">
      <alignment horizontal="left" vertical="center" wrapText="1"/>
    </xf>
    <xf numFmtId="0" fontId="42" fillId="23" borderId="0" xfId="0" applyFont="1" applyFill="1" applyAlignment="1">
      <alignment horizontal="center" vertical="center"/>
    </xf>
    <xf numFmtId="0" fontId="42" fillId="23" borderId="44" xfId="0" applyFont="1" applyFill="1" applyBorder="1" applyAlignment="1">
      <alignment horizontal="center" vertical="center"/>
    </xf>
    <xf numFmtId="0" fontId="44" fillId="0" borderId="0" xfId="0" applyFont="1" applyAlignment="1">
      <alignment horizontal="center" vertical="center"/>
    </xf>
    <xf numFmtId="0" fontId="44" fillId="0" borderId="44" xfId="0" applyFont="1" applyBorder="1" applyAlignment="1">
      <alignment horizontal="center" vertical="center"/>
    </xf>
    <xf numFmtId="0" fontId="39" fillId="18" borderId="2" xfId="13" applyFont="1" applyFill="1" applyBorder="1" applyAlignment="1">
      <alignment vertical="center" wrapText="1"/>
    </xf>
    <xf numFmtId="0" fontId="39" fillId="18" borderId="3" xfId="13" applyFont="1" applyFill="1" applyBorder="1" applyAlignment="1">
      <alignment vertical="center" wrapText="1"/>
    </xf>
    <xf numFmtId="0" fontId="39" fillId="18" borderId="4" xfId="13" applyFont="1" applyFill="1" applyBorder="1" applyAlignment="1">
      <alignment vertical="center" wrapText="1"/>
    </xf>
    <xf numFmtId="0" fontId="25" fillId="0" borderId="27"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22" borderId="3" xfId="0" applyFont="1" applyFill="1" applyBorder="1" applyAlignment="1">
      <alignment horizontal="left" vertical="center" wrapText="1"/>
    </xf>
    <xf numFmtId="0" fontId="25" fillId="22" borderId="47" xfId="0" applyFont="1" applyFill="1" applyBorder="1" applyAlignment="1">
      <alignment horizontal="left" vertical="center" wrapText="1"/>
    </xf>
    <xf numFmtId="0" fontId="26" fillId="17" borderId="17" xfId="0" applyFont="1" applyFill="1" applyBorder="1" applyAlignment="1">
      <alignment horizontal="left" vertical="center" wrapText="1"/>
    </xf>
    <xf numFmtId="0" fontId="26" fillId="17" borderId="0" xfId="0" applyFont="1" applyFill="1" applyBorder="1" applyAlignment="1">
      <alignment horizontal="left" vertical="center" wrapText="1"/>
    </xf>
    <xf numFmtId="0" fontId="26" fillId="17" borderId="20" xfId="0" applyFont="1" applyFill="1" applyBorder="1" applyAlignment="1">
      <alignment horizontal="left" vertical="center" wrapText="1"/>
    </xf>
    <xf numFmtId="0" fontId="26" fillId="17" borderId="60" xfId="13" applyFont="1" applyFill="1" applyBorder="1" applyAlignment="1">
      <alignment horizontal="left" vertical="center" wrapText="1"/>
    </xf>
    <xf numFmtId="0" fontId="26" fillId="17" borderId="100" xfId="13" applyFont="1" applyFill="1" applyBorder="1" applyAlignment="1">
      <alignment horizontal="left" vertical="center" wrapText="1"/>
    </xf>
    <xf numFmtId="0" fontId="26" fillId="17" borderId="18" xfId="13" applyFont="1" applyFill="1" applyBorder="1" applyAlignment="1">
      <alignment horizontal="left" vertical="center" wrapText="1"/>
    </xf>
    <xf numFmtId="0" fontId="26" fillId="17" borderId="73" xfId="13" applyFont="1" applyFill="1" applyBorder="1" applyAlignment="1">
      <alignment horizontal="left" vertical="center" wrapText="1"/>
    </xf>
    <xf numFmtId="0" fontId="26" fillId="17" borderId="8" xfId="13" applyFont="1" applyFill="1" applyBorder="1" applyAlignment="1">
      <alignment horizontal="left" vertical="center" wrapText="1"/>
    </xf>
    <xf numFmtId="0" fontId="26" fillId="17" borderId="9" xfId="13" applyFont="1" applyFill="1" applyBorder="1" applyAlignment="1">
      <alignment horizontal="left" vertical="center" wrapText="1"/>
    </xf>
    <xf numFmtId="0" fontId="26" fillId="14" borderId="12" xfId="0" applyFont="1" applyFill="1" applyBorder="1" applyAlignment="1">
      <alignment horizontal="left" vertical="center" wrapText="1"/>
    </xf>
    <xf numFmtId="0" fontId="26" fillId="14" borderId="14" xfId="0" applyFont="1" applyFill="1" applyBorder="1" applyAlignment="1">
      <alignment horizontal="left" vertical="center" wrapText="1"/>
    </xf>
    <xf numFmtId="0" fontId="26" fillId="14" borderId="15" xfId="0" applyFont="1" applyFill="1" applyBorder="1" applyAlignment="1">
      <alignment horizontal="left" vertical="center" wrapText="1"/>
    </xf>
    <xf numFmtId="0" fontId="26" fillId="17" borderId="12" xfId="13" applyFont="1" applyFill="1" applyBorder="1" applyAlignment="1">
      <alignment horizontal="left" vertical="center" wrapText="1"/>
    </xf>
    <xf numFmtId="0" fontId="26" fillId="17" borderId="14" xfId="13" applyFont="1" applyFill="1" applyBorder="1" applyAlignment="1">
      <alignment horizontal="left" vertical="center" wrapText="1"/>
    </xf>
    <xf numFmtId="0" fontId="26" fillId="17" borderId="15" xfId="13" applyFont="1" applyFill="1" applyBorder="1" applyAlignment="1">
      <alignment horizontal="left" vertical="center" wrapText="1"/>
    </xf>
    <xf numFmtId="0" fontId="26" fillId="17" borderId="12" xfId="13" applyFont="1" applyFill="1" applyBorder="1" applyAlignment="1">
      <alignment horizontal="left" vertical="center"/>
    </xf>
    <xf numFmtId="0" fontId="26" fillId="17" borderId="14" xfId="13" applyFont="1" applyFill="1" applyBorder="1" applyAlignment="1">
      <alignment horizontal="left" vertical="center"/>
    </xf>
    <xf numFmtId="0" fontId="26" fillId="17" borderId="15" xfId="13" applyFont="1" applyFill="1" applyBorder="1" applyAlignment="1">
      <alignment horizontal="left" vertical="center"/>
    </xf>
    <xf numFmtId="0" fontId="149" fillId="17" borderId="26" xfId="13" applyFont="1" applyFill="1" applyBorder="1" applyAlignment="1">
      <alignment horizontal="left" vertical="center" wrapText="1"/>
    </xf>
    <xf numFmtId="0" fontId="149" fillId="17" borderId="8" xfId="13" applyFont="1" applyFill="1" applyBorder="1" applyAlignment="1">
      <alignment horizontal="left" vertical="center" wrapText="1"/>
    </xf>
    <xf numFmtId="0" fontId="149" fillId="17" borderId="9" xfId="13" applyFont="1" applyFill="1" applyBorder="1" applyAlignment="1">
      <alignment horizontal="left" vertical="center" wrapText="1"/>
    </xf>
    <xf numFmtId="0" fontId="26" fillId="14" borderId="60" xfId="0" applyFont="1" applyFill="1" applyBorder="1" applyAlignment="1">
      <alignment horizontal="left" vertical="center" wrapText="1"/>
    </xf>
    <xf numFmtId="0" fontId="26" fillId="14" borderId="100" xfId="0" applyFont="1" applyFill="1" applyBorder="1" applyAlignment="1">
      <alignment horizontal="left" vertical="center" wrapText="1"/>
    </xf>
    <xf numFmtId="0" fontId="26" fillId="14" borderId="18" xfId="0" applyFont="1" applyFill="1" applyBorder="1" applyAlignment="1">
      <alignment horizontal="left" vertical="center" wrapText="1"/>
    </xf>
    <xf numFmtId="0" fontId="26" fillId="17" borderId="26" xfId="13" applyFont="1" applyFill="1" applyBorder="1" applyAlignment="1">
      <alignment horizontal="left" vertical="center" wrapText="1"/>
    </xf>
    <xf numFmtId="0" fontId="26" fillId="17" borderId="107" xfId="13" applyFont="1" applyFill="1" applyBorder="1" applyAlignment="1">
      <alignment horizontal="left" vertical="center" wrapText="1"/>
    </xf>
    <xf numFmtId="0" fontId="26" fillId="17" borderId="75" xfId="13" applyFont="1" applyFill="1" applyBorder="1" applyAlignment="1">
      <alignment horizontal="left" vertical="center" wrapText="1"/>
    </xf>
    <xf numFmtId="0" fontId="26" fillId="17" borderId="98" xfId="13" applyFont="1" applyFill="1" applyBorder="1" applyAlignment="1">
      <alignment horizontal="left" vertical="center" wrapText="1"/>
    </xf>
    <xf numFmtId="0" fontId="25" fillId="18" borderId="48" xfId="0" applyFont="1" applyFill="1" applyBorder="1" applyAlignment="1">
      <alignment horizontal="left" vertical="center" wrapText="1"/>
    </xf>
    <xf numFmtId="0" fontId="25" fillId="18" borderId="17" xfId="0" applyFont="1" applyFill="1" applyBorder="1" applyAlignment="1">
      <alignment horizontal="left" vertical="center" wrapText="1"/>
    </xf>
    <xf numFmtId="0" fontId="25" fillId="18" borderId="53" xfId="0" applyFont="1" applyFill="1" applyBorder="1" applyAlignment="1">
      <alignment horizontal="left" vertical="center" wrapText="1"/>
    </xf>
    <xf numFmtId="2" fontId="25" fillId="0" borderId="2" xfId="0" applyNumberFormat="1" applyFont="1" applyFill="1" applyBorder="1" applyAlignment="1">
      <alignment horizontal="center" vertical="center" wrapText="1"/>
    </xf>
    <xf numFmtId="2" fontId="25" fillId="0" borderId="3" xfId="0" applyNumberFormat="1" applyFont="1" applyFill="1" applyBorder="1" applyAlignment="1">
      <alignment horizontal="center" vertical="center" wrapText="1"/>
    </xf>
    <xf numFmtId="2" fontId="25" fillId="0" borderId="7" xfId="0" applyNumberFormat="1" applyFont="1" applyFill="1" applyBorder="1" applyAlignment="1">
      <alignment horizontal="center" vertical="center" wrapText="1"/>
    </xf>
    <xf numFmtId="2" fontId="25" fillId="0" borderId="2" xfId="0" applyNumberFormat="1" applyFont="1" applyBorder="1" applyAlignment="1">
      <alignment horizontal="center" vertical="center" wrapText="1"/>
    </xf>
    <xf numFmtId="2" fontId="25" fillId="0" borderId="3" xfId="0" applyNumberFormat="1" applyFont="1" applyBorder="1" applyAlignment="1">
      <alignment horizontal="center" vertical="center" wrapText="1"/>
    </xf>
    <xf numFmtId="2" fontId="25" fillId="0" borderId="4" xfId="0" applyNumberFormat="1" applyFont="1" applyBorder="1" applyAlignment="1">
      <alignment horizontal="center" vertical="center" wrapText="1"/>
    </xf>
    <xf numFmtId="0" fontId="25" fillId="16" borderId="5" xfId="10" applyNumberFormat="1" applyFont="1" applyFill="1" applyBorder="1" applyAlignment="1">
      <alignment horizontal="center" vertical="center" wrapText="1"/>
    </xf>
    <xf numFmtId="2" fontId="25" fillId="18" borderId="2" xfId="0" applyNumberFormat="1" applyFont="1" applyFill="1" applyBorder="1" applyAlignment="1">
      <alignment horizontal="center" vertical="center" wrapText="1"/>
    </xf>
    <xf numFmtId="2" fontId="25" fillId="18" borderId="3" xfId="0" applyNumberFormat="1" applyFont="1" applyFill="1" applyBorder="1" applyAlignment="1">
      <alignment horizontal="center" vertical="center" wrapText="1"/>
    </xf>
    <xf numFmtId="2" fontId="25" fillId="18" borderId="4" xfId="0" applyNumberFormat="1" applyFont="1" applyFill="1" applyBorder="1" applyAlignment="1">
      <alignment horizontal="center" vertical="center" wrapText="1"/>
    </xf>
    <xf numFmtId="0" fontId="26" fillId="17" borderId="13" xfId="0" applyFont="1" applyFill="1" applyBorder="1" applyAlignment="1">
      <alignment horizontal="left" vertical="center" wrapText="1"/>
    </xf>
    <xf numFmtId="0" fontId="26" fillId="17" borderId="23" xfId="0" applyFont="1" applyFill="1" applyBorder="1" applyAlignment="1">
      <alignment horizontal="left" vertical="center" wrapText="1"/>
    </xf>
    <xf numFmtId="0" fontId="26" fillId="17" borderId="19" xfId="0" applyFont="1" applyFill="1" applyBorder="1" applyAlignment="1">
      <alignment horizontal="left" vertical="center" wrapText="1"/>
    </xf>
    <xf numFmtId="0" fontId="26" fillId="17" borderId="107" xfId="0" applyFont="1" applyFill="1" applyBorder="1" applyAlignment="1">
      <alignment horizontal="left" vertical="center" wrapText="1"/>
    </xf>
    <xf numFmtId="0" fontId="26" fillId="17" borderId="75" xfId="0" applyFont="1" applyFill="1" applyBorder="1" applyAlignment="1">
      <alignment horizontal="left" vertical="center" wrapText="1"/>
    </xf>
    <xf numFmtId="0" fontId="26" fillId="17" borderId="98" xfId="0" applyFont="1" applyFill="1" applyBorder="1" applyAlignment="1">
      <alignment horizontal="left" vertical="center" wrapText="1"/>
    </xf>
    <xf numFmtId="49" fontId="39" fillId="58" borderId="19" xfId="10" applyNumberFormat="1" applyFont="1" applyFill="1" applyBorder="1" applyAlignment="1">
      <alignment horizontal="left" vertical="center" wrapText="1"/>
    </xf>
    <xf numFmtId="49" fontId="39" fillId="58" borderId="20" xfId="10" applyNumberFormat="1" applyFont="1" applyFill="1" applyBorder="1" applyAlignment="1">
      <alignment horizontal="left" vertical="center" wrapText="1"/>
    </xf>
    <xf numFmtId="49" fontId="39" fillId="58" borderId="21" xfId="10" applyNumberFormat="1" applyFont="1" applyFill="1" applyBorder="1" applyAlignment="1">
      <alignment horizontal="left" vertical="center" wrapText="1"/>
    </xf>
    <xf numFmtId="0" fontId="39" fillId="0" borderId="2" xfId="13" applyFont="1" applyFill="1" applyBorder="1" applyAlignment="1">
      <alignment vertical="center" wrapText="1"/>
    </xf>
    <xf numFmtId="0" fontId="39" fillId="0" borderId="3" xfId="13" applyFont="1" applyFill="1" applyBorder="1" applyAlignment="1">
      <alignment vertical="center" wrapText="1"/>
    </xf>
    <xf numFmtId="0" fontId="39" fillId="0" borderId="7" xfId="13" applyFont="1" applyFill="1" applyBorder="1" applyAlignment="1">
      <alignment vertical="center" wrapText="1"/>
    </xf>
    <xf numFmtId="0" fontId="39" fillId="0" borderId="4" xfId="13" applyFont="1" applyFill="1" applyBorder="1" applyAlignment="1">
      <alignment vertical="center" wrapText="1"/>
    </xf>
    <xf numFmtId="2" fontId="25" fillId="0" borderId="4" xfId="0" applyNumberFormat="1" applyFont="1" applyFill="1" applyBorder="1" applyAlignment="1">
      <alignment horizontal="center" vertical="center" wrapText="1"/>
    </xf>
    <xf numFmtId="0" fontId="25" fillId="16" borderId="5" xfId="10" applyFont="1" applyFill="1" applyBorder="1" applyAlignment="1">
      <alignment horizontal="center" vertical="center" wrapText="1"/>
    </xf>
    <xf numFmtId="0" fontId="25" fillId="0" borderId="5" xfId="10" applyFont="1" applyFill="1" applyBorder="1" applyAlignment="1">
      <alignment horizontal="center" vertical="center" wrapText="1"/>
    </xf>
    <xf numFmtId="0" fontId="26" fillId="17" borderId="60" xfId="0" applyFont="1" applyFill="1" applyBorder="1" applyAlignment="1">
      <alignment horizontal="left" vertical="center" wrapText="1"/>
    </xf>
    <xf numFmtId="0" fontId="26" fillId="17" borderId="100" xfId="0" applyFont="1" applyFill="1" applyBorder="1" applyAlignment="1">
      <alignment horizontal="left" vertical="center" wrapText="1"/>
    </xf>
    <xf numFmtId="0" fontId="26" fillId="17" borderId="18" xfId="0" applyFont="1" applyFill="1" applyBorder="1" applyAlignment="1">
      <alignment horizontal="left" vertical="center" wrapText="1"/>
    </xf>
    <xf numFmtId="0" fontId="25" fillId="22" borderId="27" xfId="0" applyFont="1" applyFill="1" applyBorder="1" applyAlignment="1">
      <alignment horizontal="left" vertical="center" wrapText="1"/>
    </xf>
    <xf numFmtId="0" fontId="25" fillId="18" borderId="3" xfId="0" applyFont="1" applyFill="1" applyBorder="1" applyAlignment="1">
      <alignment horizontal="left" vertical="center" wrapText="1"/>
    </xf>
    <xf numFmtId="0" fontId="25" fillId="18" borderId="7" xfId="0" applyFont="1" applyFill="1" applyBorder="1" applyAlignment="1">
      <alignment horizontal="left" vertical="center" wrapText="1"/>
    </xf>
    <xf numFmtId="0" fontId="25" fillId="16" borderId="3" xfId="10" applyNumberFormat="1" applyFont="1" applyFill="1" applyBorder="1" applyAlignment="1">
      <alignment horizontal="center" vertical="center" wrapText="1"/>
    </xf>
    <xf numFmtId="0" fontId="25" fillId="16" borderId="97" xfId="10" applyNumberFormat="1" applyFont="1" applyFill="1" applyBorder="1" applyAlignment="1">
      <alignment horizontal="center" vertical="center" wrapText="1"/>
    </xf>
    <xf numFmtId="0" fontId="25" fillId="20" borderId="5" xfId="10" applyNumberFormat="1" applyFont="1" applyFill="1" applyBorder="1" applyAlignment="1">
      <alignment horizontal="center" vertical="center" wrapText="1"/>
    </xf>
    <xf numFmtId="0" fontId="26" fillId="17" borderId="12" xfId="0" applyFont="1" applyFill="1" applyBorder="1" applyAlignment="1">
      <alignment horizontal="left" vertical="center" wrapText="1"/>
    </xf>
    <xf numFmtId="0" fontId="26" fillId="17" borderId="14" xfId="0" applyFont="1" applyFill="1" applyBorder="1" applyAlignment="1">
      <alignment horizontal="left" vertical="center" wrapText="1"/>
    </xf>
    <xf numFmtId="0" fontId="26" fillId="17" borderId="15" xfId="0" applyFont="1" applyFill="1" applyBorder="1" applyAlignment="1">
      <alignment horizontal="left" vertical="center" wrapText="1"/>
    </xf>
    <xf numFmtId="0" fontId="26" fillId="17" borderId="26" xfId="0" applyFont="1" applyFill="1" applyBorder="1" applyAlignment="1">
      <alignment horizontal="left" vertical="center" wrapText="1"/>
    </xf>
    <xf numFmtId="0" fontId="26" fillId="17" borderId="8" xfId="0" applyFont="1" applyFill="1" applyBorder="1" applyAlignment="1">
      <alignment horizontal="left" vertical="center" wrapText="1"/>
    </xf>
    <xf numFmtId="0" fontId="26" fillId="17" borderId="9" xfId="0" applyFont="1" applyFill="1" applyBorder="1" applyAlignment="1">
      <alignment horizontal="left" vertical="center" wrapText="1"/>
    </xf>
    <xf numFmtId="0" fontId="26" fillId="14" borderId="26" xfId="13" applyFont="1" applyFill="1" applyBorder="1" applyAlignment="1">
      <alignment horizontal="left" vertical="center" wrapText="1"/>
    </xf>
    <xf numFmtId="0" fontId="26" fillId="14" borderId="8" xfId="13" applyFont="1" applyFill="1" applyBorder="1" applyAlignment="1">
      <alignment horizontal="left" vertical="center" wrapText="1"/>
    </xf>
    <xf numFmtId="0" fontId="26" fillId="14" borderId="9" xfId="13" applyFont="1" applyFill="1" applyBorder="1" applyAlignment="1">
      <alignment horizontal="left" vertical="center" wrapText="1"/>
    </xf>
    <xf numFmtId="49" fontId="39" fillId="57" borderId="19" xfId="10" applyNumberFormat="1" applyFont="1" applyFill="1" applyBorder="1" applyAlignment="1">
      <alignment horizontal="left" vertical="center" wrapText="1"/>
    </xf>
    <xf numFmtId="49" fontId="39" fillId="57" borderId="20" xfId="10" applyNumberFormat="1" applyFont="1" applyFill="1" applyBorder="1" applyAlignment="1">
      <alignment horizontal="left" vertical="center" wrapText="1"/>
    </xf>
    <xf numFmtId="49" fontId="39" fillId="57" borderId="21" xfId="10" applyNumberFormat="1" applyFont="1" applyFill="1" applyBorder="1" applyAlignment="1">
      <alignment horizontal="left" vertical="center" wrapText="1"/>
    </xf>
    <xf numFmtId="49" fontId="39" fillId="16" borderId="19" xfId="10" applyNumberFormat="1" applyFont="1" applyFill="1" applyBorder="1" applyAlignment="1">
      <alignment horizontal="left" vertical="center" wrapText="1"/>
    </xf>
    <xf numFmtId="49" fontId="39" fillId="16" borderId="20" xfId="10" applyNumberFormat="1" applyFont="1" applyFill="1" applyBorder="1" applyAlignment="1">
      <alignment horizontal="left" vertical="center" wrapText="1"/>
    </xf>
    <xf numFmtId="49" fontId="39" fillId="16" borderId="21" xfId="10" applyNumberFormat="1" applyFont="1" applyFill="1" applyBorder="1" applyAlignment="1">
      <alignment horizontal="left" vertical="center" wrapText="1"/>
    </xf>
    <xf numFmtId="0" fontId="65" fillId="33" borderId="57" xfId="0" applyFont="1" applyFill="1" applyBorder="1" applyAlignment="1">
      <alignment horizontal="center" vertical="center" wrapText="1"/>
    </xf>
    <xf numFmtId="0" fontId="153" fillId="0" borderId="58" xfId="0" applyFont="1" applyBorder="1"/>
    <xf numFmtId="49" fontId="39" fillId="20" borderId="19" xfId="10" applyNumberFormat="1" applyFont="1" applyFill="1" applyBorder="1" applyAlignment="1">
      <alignment horizontal="left" vertical="center" wrapText="1"/>
    </xf>
    <xf numFmtId="49" fontId="39" fillId="20" borderId="20" xfId="10" applyNumberFormat="1" applyFont="1" applyFill="1" applyBorder="1" applyAlignment="1">
      <alignment horizontal="left" vertical="center" wrapText="1"/>
    </xf>
    <xf numFmtId="49" fontId="39" fillId="20" borderId="21" xfId="10" applyNumberFormat="1" applyFont="1" applyFill="1" applyBorder="1" applyAlignment="1">
      <alignment horizontal="left" vertical="center" wrapText="1"/>
    </xf>
    <xf numFmtId="0" fontId="25" fillId="16" borderId="27" xfId="10" applyNumberFormat="1" applyFont="1" applyFill="1" applyBorder="1" applyAlignment="1">
      <alignment horizontal="center" vertical="center" wrapText="1"/>
    </xf>
    <xf numFmtId="0" fontId="25" fillId="16" borderId="7" xfId="10" applyNumberFormat="1" applyFont="1" applyFill="1" applyBorder="1" applyAlignment="1">
      <alignment horizontal="center" vertical="center" wrapText="1"/>
    </xf>
    <xf numFmtId="0" fontId="12" fillId="16" borderId="27" xfId="10" applyNumberFormat="1" applyFont="1" applyFill="1" applyBorder="1" applyAlignment="1">
      <alignment horizontal="center" vertical="center" wrapText="1"/>
    </xf>
    <xf numFmtId="0" fontId="12" fillId="16" borderId="3" xfId="10" applyNumberFormat="1" applyFont="1" applyFill="1" applyBorder="1" applyAlignment="1">
      <alignment horizontal="center" vertical="center" wrapText="1"/>
    </xf>
    <xf numFmtId="0" fontId="12" fillId="16" borderId="7" xfId="10" applyNumberFormat="1" applyFont="1" applyFill="1" applyBorder="1" applyAlignment="1">
      <alignment horizontal="center" vertical="center" wrapText="1"/>
    </xf>
    <xf numFmtId="0" fontId="39" fillId="0" borderId="2" xfId="13" applyFont="1" applyBorder="1" applyAlignment="1">
      <alignment vertical="center" wrapText="1"/>
    </xf>
    <xf numFmtId="0" fontId="39" fillId="0" borderId="3" xfId="13" applyFont="1" applyBorder="1" applyAlignment="1">
      <alignment vertical="center" wrapText="1"/>
    </xf>
    <xf numFmtId="0" fontId="39" fillId="0" borderId="97" xfId="13" applyFont="1" applyBorder="1" applyAlignment="1">
      <alignment vertical="center" wrapText="1"/>
    </xf>
    <xf numFmtId="0" fontId="25" fillId="0" borderId="10" xfId="13" applyFont="1" applyFill="1" applyBorder="1" applyAlignment="1">
      <alignment vertical="center" wrapText="1"/>
    </xf>
    <xf numFmtId="0" fontId="26" fillId="0" borderId="5" xfId="13" applyFont="1" applyFill="1" applyBorder="1" applyAlignment="1">
      <alignment vertical="center" wrapText="1"/>
    </xf>
    <xf numFmtId="0" fontId="26" fillId="0" borderId="11" xfId="13" applyFont="1" applyFill="1" applyBorder="1" applyAlignment="1">
      <alignment vertical="center" wrapText="1"/>
    </xf>
    <xf numFmtId="0" fontId="12" fillId="0" borderId="27" xfId="13" applyFont="1" applyFill="1" applyBorder="1" applyAlignment="1">
      <alignment vertical="center" wrapText="1"/>
    </xf>
    <xf numFmtId="0" fontId="12" fillId="0" borderId="3" xfId="13" applyFont="1" applyFill="1" applyBorder="1" applyAlignment="1">
      <alignment vertical="center" wrapText="1"/>
    </xf>
    <xf numFmtId="0" fontId="12" fillId="0" borderId="7" xfId="13" applyFont="1" applyFill="1" applyBorder="1" applyAlignment="1">
      <alignment vertical="center" wrapText="1"/>
    </xf>
    <xf numFmtId="49" fontId="39" fillId="16" borderId="2" xfId="10" applyNumberFormat="1" applyFont="1" applyFill="1" applyBorder="1" applyAlignment="1">
      <alignment horizontal="left" vertical="center" wrapText="1"/>
    </xf>
    <xf numFmtId="49" fontId="39" fillId="16" borderId="3" xfId="10" applyNumberFormat="1" applyFont="1" applyFill="1" applyBorder="1" applyAlignment="1">
      <alignment horizontal="left" vertical="center" wrapText="1"/>
    </xf>
    <xf numFmtId="49" fontId="39" fillId="16" borderId="4" xfId="10" applyNumberFormat="1" applyFont="1" applyFill="1" applyBorder="1" applyAlignment="1">
      <alignment horizontal="left" vertical="center" wrapText="1"/>
    </xf>
    <xf numFmtId="2" fontId="25" fillId="16" borderId="2" xfId="0" applyNumberFormat="1" applyFont="1" applyFill="1" applyBorder="1" applyAlignment="1">
      <alignment horizontal="center" vertical="center" wrapText="1"/>
    </xf>
    <xf numFmtId="2" fontId="25" fillId="16" borderId="3" xfId="0" applyNumberFormat="1" applyFont="1" applyFill="1" applyBorder="1" applyAlignment="1">
      <alignment horizontal="center" vertical="center" wrapText="1"/>
    </xf>
    <xf numFmtId="2" fontId="25" fillId="16" borderId="50" xfId="0" applyNumberFormat="1" applyFont="1" applyFill="1" applyBorder="1" applyAlignment="1">
      <alignment horizontal="center" vertical="center" wrapText="1"/>
    </xf>
    <xf numFmtId="0" fontId="25" fillId="0" borderId="48"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39" fillId="0" borderId="27" xfId="13" applyFont="1" applyFill="1" applyBorder="1" applyAlignment="1">
      <alignment vertical="center" wrapText="1"/>
    </xf>
    <xf numFmtId="49" fontId="25" fillId="57" borderId="19" xfId="10" applyNumberFormat="1" applyFont="1" applyFill="1" applyBorder="1" applyAlignment="1">
      <alignment horizontal="left" vertical="center" wrapText="1"/>
    </xf>
    <xf numFmtId="49" fontId="25" fillId="57" borderId="20" xfId="10" applyNumberFormat="1" applyFont="1" applyFill="1" applyBorder="1" applyAlignment="1">
      <alignment horizontal="left" vertical="center" wrapText="1"/>
    </xf>
    <xf numFmtId="49" fontId="25" fillId="57" borderId="21" xfId="10" applyNumberFormat="1" applyFont="1" applyFill="1" applyBorder="1" applyAlignment="1">
      <alignment horizontal="left" vertical="center" wrapText="1"/>
    </xf>
    <xf numFmtId="49" fontId="39" fillId="16" borderId="27" xfId="10" applyNumberFormat="1" applyFont="1" applyFill="1" applyBorder="1" applyAlignment="1">
      <alignment horizontal="left" vertical="center" wrapText="1"/>
    </xf>
    <xf numFmtId="49" fontId="39" fillId="16" borderId="7" xfId="10" applyNumberFormat="1" applyFont="1" applyFill="1" applyBorder="1" applyAlignment="1">
      <alignment horizontal="left" vertical="center" wrapText="1"/>
    </xf>
    <xf numFmtId="0" fontId="25" fillId="16" borderId="10" xfId="10" applyNumberFormat="1" applyFont="1" applyFill="1" applyBorder="1" applyAlignment="1">
      <alignment horizontal="center" vertical="center" wrapText="1"/>
    </xf>
    <xf numFmtId="0" fontId="25" fillId="0" borderId="3" xfId="10" applyNumberFormat="1" applyFont="1" applyFill="1" applyBorder="1" applyAlignment="1">
      <alignment horizontal="center" vertical="center" wrapText="1"/>
    </xf>
    <xf numFmtId="0" fontId="25" fillId="0" borderId="97" xfId="10" applyNumberFormat="1" applyFont="1" applyFill="1" applyBorder="1" applyAlignment="1">
      <alignment horizontal="center" vertical="center" wrapText="1"/>
    </xf>
    <xf numFmtId="0" fontId="25" fillId="0" borderId="2" xfId="10" applyNumberFormat="1" applyFont="1" applyFill="1" applyBorder="1" applyAlignment="1">
      <alignment horizontal="center" vertical="center" wrapText="1"/>
    </xf>
    <xf numFmtId="2" fontId="25" fillId="0" borderId="97" xfId="0" applyNumberFormat="1" applyFont="1" applyFill="1" applyBorder="1" applyAlignment="1">
      <alignment horizontal="center" vertical="center" wrapText="1"/>
    </xf>
    <xf numFmtId="0" fontId="12" fillId="16" borderId="10" xfId="10" applyNumberFormat="1" applyFont="1" applyFill="1" applyBorder="1" applyAlignment="1">
      <alignment horizontal="center" vertical="center" wrapText="1"/>
    </xf>
    <xf numFmtId="0" fontId="12" fillId="16" borderId="5" xfId="10" applyNumberFormat="1" applyFont="1" applyFill="1" applyBorder="1" applyAlignment="1">
      <alignment horizontal="center" vertical="center" wrapText="1"/>
    </xf>
    <xf numFmtId="49" fontId="39" fillId="16" borderId="97" xfId="10" applyNumberFormat="1" applyFont="1" applyFill="1" applyBorder="1" applyAlignment="1">
      <alignment horizontal="left" vertical="center" wrapText="1"/>
    </xf>
    <xf numFmtId="2" fontId="25" fillId="0" borderId="5" xfId="0" applyNumberFormat="1" applyFont="1" applyBorder="1" applyAlignment="1">
      <alignment horizontal="center" vertical="center" wrapText="1"/>
    </xf>
    <xf numFmtId="2" fontId="25" fillId="0" borderId="11" xfId="0" applyNumberFormat="1" applyFont="1" applyBorder="1" applyAlignment="1">
      <alignment horizontal="center" vertical="center" wrapText="1"/>
    </xf>
    <xf numFmtId="0" fontId="26" fillId="15" borderId="60" xfId="3" applyFont="1" applyFill="1" applyBorder="1" applyAlignment="1">
      <alignment horizontal="left" vertical="center" wrapText="1"/>
    </xf>
    <xf numFmtId="0" fontId="26" fillId="15" borderId="100" xfId="3" applyFont="1" applyFill="1" applyBorder="1" applyAlignment="1">
      <alignment horizontal="left" vertical="center" wrapText="1"/>
    </xf>
    <xf numFmtId="0" fontId="26" fillId="15" borderId="18" xfId="3" applyFont="1" applyFill="1" applyBorder="1" applyAlignment="1">
      <alignment horizontal="left" vertical="center" wrapText="1"/>
    </xf>
    <xf numFmtId="0" fontId="26" fillId="17" borderId="107" xfId="6" applyFont="1" applyFill="1" applyBorder="1" applyAlignment="1">
      <alignment horizontal="left" vertical="center" wrapText="1"/>
    </xf>
    <xf numFmtId="0" fontId="26" fillId="17" borderId="75" xfId="6" applyFont="1" applyFill="1" applyBorder="1" applyAlignment="1">
      <alignment horizontal="left" vertical="center" wrapText="1"/>
    </xf>
    <xf numFmtId="0" fontId="26" fillId="17" borderId="98" xfId="6" applyFont="1" applyFill="1" applyBorder="1" applyAlignment="1">
      <alignment horizontal="left" vertical="center" wrapText="1"/>
    </xf>
    <xf numFmtId="0" fontId="26" fillId="19" borderId="23" xfId="9" applyNumberFormat="1" applyFont="1" applyFill="1" applyBorder="1" applyAlignment="1">
      <alignment horizontal="left" vertical="center" wrapText="1"/>
    </xf>
    <xf numFmtId="0" fontId="26" fillId="19" borderId="19" xfId="9" applyNumberFormat="1" applyFont="1" applyFill="1" applyBorder="1" applyAlignment="1">
      <alignment horizontal="left" vertical="center" wrapText="1"/>
    </xf>
    <xf numFmtId="0" fontId="26" fillId="19" borderId="107" xfId="9" applyNumberFormat="1" applyFont="1" applyFill="1" applyBorder="1" applyAlignment="1">
      <alignment horizontal="left" vertical="center" wrapText="1"/>
    </xf>
    <xf numFmtId="0" fontId="26" fillId="19" borderId="75" xfId="9" applyNumberFormat="1" applyFont="1" applyFill="1" applyBorder="1" applyAlignment="1">
      <alignment horizontal="left" vertical="center" wrapText="1"/>
    </xf>
    <xf numFmtId="0" fontId="26" fillId="19" borderId="98" xfId="9" applyNumberFormat="1" applyFont="1" applyFill="1" applyBorder="1" applyAlignment="1">
      <alignment horizontal="left" vertical="center" wrapText="1"/>
    </xf>
    <xf numFmtId="0" fontId="26" fillId="17" borderId="12" xfId="1" applyFont="1" applyFill="1" applyBorder="1" applyAlignment="1">
      <alignment horizontal="left" vertical="center" wrapText="1"/>
    </xf>
    <xf numFmtId="0" fontId="26" fillId="17" borderId="14" xfId="1" applyFont="1" applyFill="1" applyBorder="1" applyAlignment="1">
      <alignment horizontal="left" vertical="center" wrapText="1"/>
    </xf>
    <xf numFmtId="0" fontId="26" fillId="17" borderId="15" xfId="1" applyFont="1" applyFill="1" applyBorder="1" applyAlignment="1">
      <alignment horizontal="left" vertical="center" wrapText="1"/>
    </xf>
    <xf numFmtId="0" fontId="26" fillId="14" borderId="12" xfId="1" applyFont="1" applyFill="1" applyBorder="1" applyAlignment="1">
      <alignment horizontal="left" vertical="center" wrapText="1"/>
    </xf>
    <xf numFmtId="0" fontId="26" fillId="14" borderId="14" xfId="1" applyFont="1" applyFill="1" applyBorder="1" applyAlignment="1">
      <alignment horizontal="left" vertical="center" wrapText="1"/>
    </xf>
    <xf numFmtId="0" fontId="26" fillId="14" borderId="15" xfId="1" applyFont="1" applyFill="1" applyBorder="1" applyAlignment="1">
      <alignment horizontal="left" vertical="center" wrapText="1"/>
    </xf>
    <xf numFmtId="0" fontId="26" fillId="17" borderId="13" xfId="6" applyFont="1" applyFill="1" applyBorder="1" applyAlignment="1">
      <alignment horizontal="left" vertical="center" wrapText="1"/>
    </xf>
    <xf numFmtId="0" fontId="26" fillId="17" borderId="23" xfId="6" applyFont="1" applyFill="1" applyBorder="1" applyAlignment="1">
      <alignment horizontal="left" vertical="center" wrapText="1"/>
    </xf>
    <xf numFmtId="0" fontId="26" fillId="17" borderId="19" xfId="6" applyFont="1" applyFill="1" applyBorder="1" applyAlignment="1">
      <alignment horizontal="left" vertical="center" wrapText="1"/>
    </xf>
    <xf numFmtId="0" fontId="26" fillId="17" borderId="102" xfId="0" applyFont="1" applyFill="1" applyBorder="1" applyAlignment="1">
      <alignment horizontal="left" vertical="center" wrapText="1"/>
    </xf>
    <xf numFmtId="0" fontId="26" fillId="17" borderId="77" xfId="0" applyFont="1" applyFill="1" applyBorder="1" applyAlignment="1">
      <alignment horizontal="left" vertical="center" wrapText="1"/>
    </xf>
    <xf numFmtId="2" fontId="25" fillId="16" borderId="2" xfId="10" applyNumberFormat="1" applyFont="1" applyFill="1" applyBorder="1" applyAlignment="1">
      <alignment horizontal="center" vertical="center" wrapText="1"/>
    </xf>
    <xf numFmtId="2" fontId="25" fillId="16" borderId="3" xfId="10" applyNumberFormat="1" applyFont="1" applyFill="1" applyBorder="1" applyAlignment="1">
      <alignment horizontal="center" vertical="center" wrapText="1"/>
    </xf>
    <xf numFmtId="2" fontId="25" fillId="16" borderId="7" xfId="10" applyNumberFormat="1" applyFont="1" applyFill="1" applyBorder="1" applyAlignment="1">
      <alignment horizontal="center" vertical="center" wrapText="1"/>
    </xf>
    <xf numFmtId="0" fontId="12" fillId="18" borderId="2" xfId="13" applyFont="1" applyFill="1" applyBorder="1" applyAlignment="1">
      <alignment vertical="center" wrapText="1"/>
    </xf>
    <xf numFmtId="0" fontId="12" fillId="18" borderId="3" xfId="13" applyFont="1" applyFill="1" applyBorder="1" applyAlignment="1">
      <alignment vertical="center" wrapText="1"/>
    </xf>
    <xf numFmtId="0" fontId="12" fillId="18" borderId="4" xfId="13" applyFont="1" applyFill="1" applyBorder="1" applyAlignment="1">
      <alignment vertical="center" wrapText="1"/>
    </xf>
    <xf numFmtId="0" fontId="25" fillId="18" borderId="2" xfId="13" applyFont="1" applyFill="1" applyBorder="1" applyAlignment="1">
      <alignment vertical="center" wrapText="1"/>
    </xf>
    <xf numFmtId="0" fontId="25" fillId="18" borderId="3" xfId="13" applyFont="1" applyFill="1" applyBorder="1" applyAlignment="1">
      <alignment vertical="center" wrapText="1"/>
    </xf>
    <xf numFmtId="0" fontId="25" fillId="18" borderId="4" xfId="13" applyFont="1" applyFill="1" applyBorder="1" applyAlignment="1">
      <alignment vertical="center" wrapText="1"/>
    </xf>
    <xf numFmtId="0" fontId="43" fillId="16" borderId="19" xfId="10" applyNumberFormat="1" applyFont="1" applyFill="1" applyBorder="1" applyAlignment="1">
      <alignment horizontal="left" vertical="center" wrapText="1"/>
    </xf>
    <xf numFmtId="0" fontId="43" fillId="16" borderId="20" xfId="10" applyNumberFormat="1" applyFont="1" applyFill="1" applyBorder="1" applyAlignment="1">
      <alignment horizontal="left" vertical="center" wrapText="1"/>
    </xf>
    <xf numFmtId="0" fontId="43" fillId="16" borderId="21" xfId="10" applyNumberFormat="1" applyFont="1" applyFill="1" applyBorder="1" applyAlignment="1">
      <alignment horizontal="left" vertical="center" wrapText="1"/>
    </xf>
    <xf numFmtId="0" fontId="187" fillId="18" borderId="2" xfId="13" applyFont="1" applyFill="1" applyBorder="1" applyAlignment="1">
      <alignment vertical="center" wrapText="1"/>
    </xf>
    <xf numFmtId="0" fontId="187" fillId="18" borderId="3" xfId="13" applyFont="1" applyFill="1" applyBorder="1" applyAlignment="1">
      <alignment vertical="center" wrapText="1"/>
    </xf>
    <xf numFmtId="0" fontId="187" fillId="18" borderId="4" xfId="13" applyFont="1" applyFill="1" applyBorder="1" applyAlignment="1">
      <alignment vertical="center" wrapText="1"/>
    </xf>
    <xf numFmtId="0" fontId="39" fillId="0" borderId="4" xfId="13" applyFont="1" applyBorder="1" applyAlignment="1">
      <alignment vertical="center" wrapText="1"/>
    </xf>
    <xf numFmtId="0" fontId="25" fillId="16" borderId="19" xfId="10" applyNumberFormat="1" applyFont="1" applyFill="1" applyBorder="1" applyAlignment="1">
      <alignment horizontal="left" vertical="center" wrapText="1"/>
    </xf>
    <xf numFmtId="0" fontId="25" fillId="16" borderId="20" xfId="10" applyNumberFormat="1" applyFont="1" applyFill="1" applyBorder="1" applyAlignment="1">
      <alignment horizontal="left" vertical="center" wrapText="1"/>
    </xf>
    <xf numFmtId="0" fontId="25" fillId="16" borderId="21" xfId="10" applyNumberFormat="1" applyFont="1" applyFill="1" applyBorder="1" applyAlignment="1">
      <alignment horizontal="left" vertical="center" wrapText="1"/>
    </xf>
    <xf numFmtId="2" fontId="39" fillId="0" borderId="2" xfId="0" applyNumberFormat="1" applyFont="1" applyBorder="1" applyAlignment="1">
      <alignment horizontal="center" vertical="center" wrapText="1"/>
    </xf>
    <xf numFmtId="2" fontId="39" fillId="0" borderId="3" xfId="0" applyNumberFormat="1" applyFont="1" applyBorder="1" applyAlignment="1">
      <alignment horizontal="center" vertical="center" wrapText="1"/>
    </xf>
    <xf numFmtId="2" fontId="39" fillId="0" borderId="4" xfId="0" applyNumberFormat="1" applyFont="1" applyBorder="1" applyAlignment="1">
      <alignment horizontal="center" vertical="center" wrapText="1"/>
    </xf>
    <xf numFmtId="2" fontId="25" fillId="0" borderId="97" xfId="0" applyNumberFormat="1" applyFont="1" applyBorder="1" applyAlignment="1">
      <alignment horizontal="center" vertical="center" wrapText="1"/>
    </xf>
    <xf numFmtId="0" fontId="25" fillId="11" borderId="19" xfId="13" applyFont="1" applyFill="1" applyBorder="1" applyAlignment="1">
      <alignment horizontal="left" vertical="center" wrapText="1"/>
    </xf>
    <xf numFmtId="0" fontId="25" fillId="11" borderId="20" xfId="13" applyFont="1" applyFill="1" applyBorder="1" applyAlignment="1">
      <alignment horizontal="left" vertical="center" wrapText="1"/>
    </xf>
    <xf numFmtId="0" fontId="25" fillId="11" borderId="21" xfId="13" applyFont="1" applyFill="1" applyBorder="1" applyAlignment="1">
      <alignment horizontal="left" vertical="center" wrapText="1"/>
    </xf>
    <xf numFmtId="0" fontId="39" fillId="16" borderId="19" xfId="10" applyNumberFormat="1" applyFont="1" applyFill="1" applyBorder="1" applyAlignment="1">
      <alignment horizontal="left" vertical="center" wrapText="1"/>
    </xf>
    <xf numFmtId="0" fontId="39" fillId="16" borderId="20" xfId="10" applyNumberFormat="1" applyFont="1" applyFill="1" applyBorder="1" applyAlignment="1">
      <alignment horizontal="left" vertical="center" wrapText="1"/>
    </xf>
    <xf numFmtId="0" fontId="39" fillId="16" borderId="21" xfId="10" applyNumberFormat="1" applyFont="1" applyFill="1" applyBorder="1" applyAlignment="1">
      <alignment horizontal="left" vertical="center" wrapText="1"/>
    </xf>
    <xf numFmtId="49" fontId="12" fillId="57" borderId="19" xfId="10" applyNumberFormat="1" applyFont="1" applyFill="1" applyBorder="1" applyAlignment="1">
      <alignment horizontal="left" vertical="center" wrapText="1"/>
    </xf>
    <xf numFmtId="49" fontId="12" fillId="57" borderId="20" xfId="10" applyNumberFormat="1" applyFont="1" applyFill="1" applyBorder="1" applyAlignment="1">
      <alignment horizontal="left" vertical="center" wrapText="1"/>
    </xf>
    <xf numFmtId="49" fontId="12" fillId="57" borderId="98" xfId="10" applyNumberFormat="1" applyFont="1" applyFill="1" applyBorder="1" applyAlignment="1">
      <alignment horizontal="left" vertical="center" wrapText="1"/>
    </xf>
    <xf numFmtId="49" fontId="157" fillId="16" borderId="2" xfId="10" applyNumberFormat="1" applyFont="1" applyFill="1" applyBorder="1" applyAlignment="1">
      <alignment horizontal="left" vertical="center" wrapText="1"/>
    </xf>
    <xf numFmtId="49" fontId="157" fillId="16" borderId="3" xfId="10" applyNumberFormat="1" applyFont="1" applyFill="1" applyBorder="1" applyAlignment="1">
      <alignment horizontal="left" vertical="center" wrapText="1"/>
    </xf>
    <xf numFmtId="49" fontId="157" fillId="16" borderId="4" xfId="10" applyNumberFormat="1" applyFont="1" applyFill="1" applyBorder="1" applyAlignment="1">
      <alignment horizontal="left" vertical="center" wrapText="1"/>
    </xf>
    <xf numFmtId="49" fontId="25" fillId="16" borderId="2" xfId="10" applyNumberFormat="1" applyFont="1" applyFill="1" applyBorder="1" applyAlignment="1">
      <alignment horizontal="left" vertical="center" wrapText="1"/>
    </xf>
    <xf numFmtId="49" fontId="25" fillId="16" borderId="3" xfId="10" applyNumberFormat="1" applyFont="1" applyFill="1" applyBorder="1" applyAlignment="1">
      <alignment horizontal="left" vertical="center" wrapText="1"/>
    </xf>
    <xf numFmtId="49" fontId="25" fillId="16" borderId="4" xfId="10" applyNumberFormat="1" applyFont="1" applyFill="1" applyBorder="1" applyAlignment="1">
      <alignment horizontal="left" vertical="center" wrapText="1"/>
    </xf>
    <xf numFmtId="0" fontId="26" fillId="13" borderId="107" xfId="0" applyFont="1" applyFill="1" applyBorder="1" applyAlignment="1">
      <alignment horizontal="left" vertical="center" wrapText="1"/>
    </xf>
    <xf numFmtId="0" fontId="26" fillId="13" borderId="75" xfId="0" applyFont="1" applyFill="1" applyBorder="1" applyAlignment="1">
      <alignment horizontal="left" vertical="center" wrapText="1"/>
    </xf>
    <xf numFmtId="0" fontId="26" fillId="13" borderId="98" xfId="0" applyFont="1" applyFill="1" applyBorder="1" applyAlignment="1">
      <alignment horizontal="left" vertical="center" wrapText="1"/>
    </xf>
    <xf numFmtId="0" fontId="25" fillId="18" borderId="27" xfId="7" applyFont="1" applyFill="1" applyBorder="1" applyAlignment="1">
      <alignment horizontal="center" vertical="center"/>
    </xf>
    <xf numFmtId="0" fontId="25" fillId="18" borderId="3" xfId="7" applyFont="1" applyFill="1" applyBorder="1" applyAlignment="1">
      <alignment horizontal="center" vertical="center"/>
    </xf>
    <xf numFmtId="0" fontId="25" fillId="18" borderId="7" xfId="7" applyFont="1" applyFill="1" applyBorder="1" applyAlignment="1">
      <alignment horizontal="center" vertical="center"/>
    </xf>
    <xf numFmtId="0" fontId="12" fillId="18" borderId="97" xfId="13" applyFont="1" applyFill="1" applyBorder="1" applyAlignment="1">
      <alignment vertical="center" wrapText="1"/>
    </xf>
    <xf numFmtId="2" fontId="12" fillId="0" borderId="2"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0" fontId="39" fillId="0" borderId="27" xfId="13" applyFont="1" applyBorder="1" applyAlignment="1">
      <alignment vertical="center" wrapText="1"/>
    </xf>
    <xf numFmtId="0" fontId="39" fillId="0" borderId="7" xfId="13" applyFont="1" applyBorder="1" applyAlignment="1">
      <alignment vertical="center" wrapText="1"/>
    </xf>
    <xf numFmtId="0" fontId="12" fillId="18" borderId="13" xfId="13" applyFont="1" applyFill="1" applyBorder="1" applyAlignment="1">
      <alignment horizontal="left" vertical="center" wrapText="1"/>
    </xf>
    <xf numFmtId="0" fontId="12" fillId="18" borderId="17" xfId="13" applyFont="1" applyFill="1" applyBorder="1" applyAlignment="1">
      <alignment horizontal="left" vertical="center" wrapText="1"/>
    </xf>
    <xf numFmtId="0" fontId="12" fillId="18" borderId="16" xfId="13" applyFont="1" applyFill="1" applyBorder="1" applyAlignment="1">
      <alignment horizontal="left" vertical="center" wrapText="1"/>
    </xf>
    <xf numFmtId="0" fontId="25" fillId="0" borderId="2" xfId="13" applyFont="1" applyFill="1" applyBorder="1" applyAlignment="1">
      <alignment vertical="center" wrapText="1"/>
    </xf>
    <xf numFmtId="0" fontId="25" fillId="0" borderId="3" xfId="13" applyFont="1" applyFill="1" applyBorder="1" applyAlignment="1">
      <alignment vertical="center" wrapText="1"/>
    </xf>
    <xf numFmtId="0" fontId="25" fillId="0" borderId="7" xfId="13" applyFont="1" applyFill="1" applyBorder="1" applyAlignment="1">
      <alignment vertical="center" wrapText="1"/>
    </xf>
    <xf numFmtId="0" fontId="12" fillId="0" borderId="2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97" xfId="0" applyFont="1" applyFill="1" applyBorder="1" applyAlignment="1">
      <alignment horizontal="center" vertical="center" wrapText="1"/>
    </xf>
    <xf numFmtId="0" fontId="65" fillId="0" borderId="2" xfId="0" applyFont="1" applyBorder="1" applyAlignment="1">
      <alignment vertical="center" wrapText="1"/>
    </xf>
    <xf numFmtId="0" fontId="65" fillId="0" borderId="3" xfId="0" applyFont="1" applyBorder="1" applyAlignment="1">
      <alignment vertical="center" wrapText="1"/>
    </xf>
    <xf numFmtId="0" fontId="65" fillId="0" borderId="97" xfId="0" applyFont="1" applyBorder="1" applyAlignment="1">
      <alignment vertical="center" wrapText="1"/>
    </xf>
    <xf numFmtId="0" fontId="25" fillId="18" borderId="27" xfId="13" applyFont="1" applyFill="1" applyBorder="1" applyAlignment="1">
      <alignment vertical="center" wrapText="1"/>
    </xf>
    <xf numFmtId="0" fontId="25" fillId="18" borderId="7" xfId="13" applyFont="1" applyFill="1" applyBorder="1" applyAlignment="1">
      <alignment vertical="center" wrapText="1"/>
    </xf>
    <xf numFmtId="0" fontId="12" fillId="0" borderId="48"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2" fontId="25" fillId="16" borderId="4" xfId="10" applyNumberFormat="1" applyFont="1" applyFill="1" applyBorder="1" applyAlignment="1">
      <alignment horizontal="center" vertical="center" wrapText="1"/>
    </xf>
    <xf numFmtId="49" fontId="39" fillId="20" borderId="27" xfId="10" applyNumberFormat="1" applyFont="1" applyFill="1" applyBorder="1" applyAlignment="1">
      <alignment horizontal="left" vertical="center" wrapText="1"/>
    </xf>
    <xf numFmtId="49" fontId="39" fillId="20" borderId="3" xfId="10" applyNumberFormat="1" applyFont="1" applyFill="1" applyBorder="1" applyAlignment="1">
      <alignment horizontal="left" vertical="center" wrapText="1"/>
    </xf>
    <xf numFmtId="49" fontId="39" fillId="20" borderId="7" xfId="10" applyNumberFormat="1" applyFont="1" applyFill="1" applyBorder="1" applyAlignment="1">
      <alignment horizontal="left" vertical="center" wrapText="1"/>
    </xf>
    <xf numFmtId="0" fontId="12" fillId="0" borderId="2" xfId="10" applyNumberFormat="1" applyFont="1" applyFill="1" applyBorder="1" applyAlignment="1">
      <alignment horizontal="center" vertical="center" wrapText="1"/>
    </xf>
    <xf numFmtId="0" fontId="12" fillId="0" borderId="3" xfId="10" applyNumberFormat="1" applyFont="1" applyFill="1" applyBorder="1" applyAlignment="1">
      <alignment horizontal="center" vertical="center" wrapText="1"/>
    </xf>
    <xf numFmtId="0" fontId="12" fillId="0" borderId="97" xfId="10" applyNumberFormat="1" applyFont="1" applyFill="1" applyBorder="1" applyAlignment="1">
      <alignment horizontal="center" vertical="center" wrapText="1"/>
    </xf>
    <xf numFmtId="49" fontId="39" fillId="57" borderId="2" xfId="10" applyNumberFormat="1" applyFont="1" applyFill="1" applyBorder="1" applyAlignment="1">
      <alignment horizontal="left" vertical="center" wrapText="1"/>
    </xf>
    <xf numFmtId="49" fontId="39" fillId="57" borderId="3" xfId="10" applyNumberFormat="1" applyFont="1" applyFill="1" applyBorder="1" applyAlignment="1">
      <alignment horizontal="left" vertical="center" wrapText="1"/>
    </xf>
    <xf numFmtId="49" fontId="39" fillId="57" borderId="4" xfId="10" applyNumberFormat="1" applyFont="1" applyFill="1" applyBorder="1" applyAlignment="1">
      <alignment horizontal="left" vertical="center" wrapText="1"/>
    </xf>
    <xf numFmtId="0" fontId="25" fillId="0" borderId="4" xfId="13" applyFont="1" applyFill="1" applyBorder="1" applyAlignment="1">
      <alignment vertical="center" wrapText="1"/>
    </xf>
    <xf numFmtId="0" fontId="25" fillId="0" borderId="27" xfId="13" applyFont="1" applyFill="1" applyBorder="1" applyAlignment="1">
      <alignment vertical="center" wrapText="1"/>
    </xf>
    <xf numFmtId="49" fontId="39" fillId="0" borderId="2" xfId="13" applyNumberFormat="1" applyFont="1" applyFill="1" applyBorder="1" applyAlignment="1">
      <alignment vertical="center" wrapText="1"/>
    </xf>
    <xf numFmtId="49" fontId="39" fillId="0" borderId="3" xfId="13" applyNumberFormat="1" applyFont="1" applyFill="1" applyBorder="1" applyAlignment="1">
      <alignment vertical="center" wrapText="1"/>
    </xf>
    <xf numFmtId="49" fontId="39" fillId="0" borderId="4" xfId="13" applyNumberFormat="1" applyFont="1" applyFill="1" applyBorder="1" applyAlignment="1">
      <alignment vertical="center" wrapText="1"/>
    </xf>
    <xf numFmtId="2" fontId="25" fillId="16" borderId="7" xfId="0" applyNumberFormat="1" applyFont="1" applyFill="1" applyBorder="1" applyAlignment="1">
      <alignment horizontal="center" vertical="center" wrapText="1"/>
    </xf>
    <xf numFmtId="0" fontId="26" fillId="0" borderId="3" xfId="13" applyFont="1" applyFill="1" applyBorder="1" applyAlignment="1">
      <alignment vertical="center" wrapText="1"/>
    </xf>
    <xf numFmtId="0" fontId="26" fillId="0" borderId="7" xfId="13" applyFont="1" applyFill="1" applyBorder="1" applyAlignment="1">
      <alignment vertical="center" wrapText="1"/>
    </xf>
    <xf numFmtId="0" fontId="25" fillId="21" borderId="27" xfId="0" applyFont="1" applyFill="1" applyBorder="1" applyAlignment="1">
      <alignment horizontal="center" vertical="center" wrapText="1"/>
    </xf>
    <xf numFmtId="0" fontId="25" fillId="21" borderId="3" xfId="0" applyFont="1" applyFill="1" applyBorder="1" applyAlignment="1">
      <alignment horizontal="center" vertical="center" wrapText="1"/>
    </xf>
    <xf numFmtId="0" fontId="25" fillId="21" borderId="7" xfId="0" applyFont="1" applyFill="1" applyBorder="1" applyAlignment="1">
      <alignment horizontal="center" vertical="center" wrapText="1"/>
    </xf>
    <xf numFmtId="49" fontId="43" fillId="16" borderId="27" xfId="10" applyNumberFormat="1" applyFont="1" applyFill="1" applyBorder="1" applyAlignment="1">
      <alignment horizontal="left" vertical="center" wrapText="1"/>
    </xf>
    <xf numFmtId="49" fontId="43" fillId="16" borderId="3" xfId="10" applyNumberFormat="1" applyFont="1" applyFill="1" applyBorder="1" applyAlignment="1">
      <alignment horizontal="left" vertical="center" wrapText="1"/>
    </xf>
    <xf numFmtId="49" fontId="43" fillId="16" borderId="7" xfId="10" applyNumberFormat="1" applyFont="1" applyFill="1" applyBorder="1" applyAlignment="1">
      <alignment horizontal="left" vertical="center" wrapText="1"/>
    </xf>
    <xf numFmtId="49" fontId="39" fillId="16" borderId="6" xfId="10" applyNumberFormat="1" applyFont="1" applyFill="1" applyBorder="1" applyAlignment="1">
      <alignment horizontal="left" vertical="center" wrapText="1"/>
    </xf>
    <xf numFmtId="49" fontId="39" fillId="57" borderId="27" xfId="10" applyNumberFormat="1" applyFont="1" applyFill="1" applyBorder="1" applyAlignment="1">
      <alignment horizontal="left" vertical="center" wrapText="1"/>
    </xf>
    <xf numFmtId="49" fontId="39" fillId="57" borderId="7" xfId="10" applyNumberFormat="1" applyFont="1" applyFill="1" applyBorder="1" applyAlignment="1">
      <alignment horizontal="left" vertical="center" wrapText="1"/>
    </xf>
    <xf numFmtId="0" fontId="25" fillId="11" borderId="10"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6" borderId="2" xfId="10" applyNumberFormat="1" applyFont="1" applyFill="1" applyBorder="1" applyAlignment="1">
      <alignment horizontal="center" vertical="center" wrapText="1"/>
    </xf>
    <xf numFmtId="0" fontId="25" fillId="16" borderId="4" xfId="10" applyNumberFormat="1" applyFont="1" applyFill="1" applyBorder="1" applyAlignment="1">
      <alignment horizontal="center" vertical="center" wrapText="1"/>
    </xf>
    <xf numFmtId="0" fontId="39" fillId="18" borderId="27" xfId="13" applyFont="1" applyFill="1" applyBorder="1" applyAlignment="1">
      <alignment vertical="center" wrapText="1"/>
    </xf>
    <xf numFmtId="0" fontId="25" fillId="0" borderId="27" xfId="13" applyFont="1" applyFill="1" applyBorder="1" applyAlignment="1">
      <alignment horizontal="center" vertical="center" wrapText="1"/>
    </xf>
    <xf numFmtId="0" fontId="25" fillId="0" borderId="3" xfId="13" applyFont="1" applyFill="1" applyBorder="1" applyAlignment="1">
      <alignment horizontal="center" vertical="center" wrapText="1"/>
    </xf>
    <xf numFmtId="0" fontId="25" fillId="0" borderId="7" xfId="13" applyFont="1" applyFill="1" applyBorder="1" applyAlignment="1">
      <alignment horizontal="center" vertical="center" wrapText="1"/>
    </xf>
    <xf numFmtId="2" fontId="25" fillId="0" borderId="5" xfId="0" applyNumberFormat="1" applyFont="1" applyFill="1" applyBorder="1" applyAlignment="1">
      <alignment horizontal="center" vertical="center" wrapText="1"/>
    </xf>
    <xf numFmtId="2" fontId="25" fillId="0" borderId="11" xfId="0" applyNumberFormat="1" applyFont="1" applyFill="1" applyBorder="1" applyAlignment="1">
      <alignment horizontal="center" vertical="center" wrapText="1"/>
    </xf>
    <xf numFmtId="0" fontId="25" fillId="0" borderId="10" xfId="10" applyNumberFormat="1" applyFont="1" applyFill="1" applyBorder="1" applyAlignment="1">
      <alignment horizontal="center" vertical="center" wrapText="1"/>
    </xf>
    <xf numFmtId="0" fontId="25" fillId="0" borderId="5" xfId="10" applyNumberFormat="1" applyFont="1" applyFill="1" applyBorder="1" applyAlignment="1">
      <alignment horizontal="center" vertical="center" wrapText="1"/>
    </xf>
    <xf numFmtId="49" fontId="39" fillId="16" borderId="2" xfId="10" applyNumberFormat="1" applyFont="1" applyFill="1" applyBorder="1" applyAlignment="1">
      <alignment horizontal="center" vertical="center" wrapText="1"/>
    </xf>
    <xf numFmtId="49" fontId="39" fillId="16" borderId="3" xfId="10" applyNumberFormat="1" applyFont="1" applyFill="1" applyBorder="1" applyAlignment="1">
      <alignment horizontal="center" vertical="center" wrapText="1"/>
    </xf>
    <xf numFmtId="49" fontId="39" fillId="16" borderId="7" xfId="10" applyNumberFormat="1" applyFont="1" applyFill="1" applyBorder="1" applyAlignment="1">
      <alignment horizontal="center" vertical="center" wrapText="1"/>
    </xf>
    <xf numFmtId="0" fontId="26" fillId="0" borderId="2" xfId="13" applyFont="1" applyFill="1" applyBorder="1" applyAlignment="1">
      <alignment vertical="center" wrapText="1"/>
    </xf>
    <xf numFmtId="0" fontId="12" fillId="0" borderId="5" xfId="10" applyNumberFormat="1" applyFont="1" applyFill="1" applyBorder="1" applyAlignment="1">
      <alignment horizontal="center" vertical="center" wrapText="1"/>
    </xf>
    <xf numFmtId="0" fontId="43" fillId="0" borderId="2" xfId="13" applyFont="1" applyFill="1" applyBorder="1" applyAlignment="1">
      <alignment vertical="center" wrapText="1"/>
    </xf>
    <xf numFmtId="0" fontId="43" fillId="0" borderId="3" xfId="13" applyFont="1" applyFill="1" applyBorder="1" applyAlignment="1">
      <alignment vertical="center" wrapText="1"/>
    </xf>
    <xf numFmtId="0" fontId="43" fillId="0" borderId="4" xfId="13" applyFont="1" applyFill="1" applyBorder="1" applyAlignment="1">
      <alignment vertical="center" wrapText="1"/>
    </xf>
    <xf numFmtId="0" fontId="25" fillId="0" borderId="2" xfId="13" applyFont="1" applyBorder="1" applyAlignment="1">
      <alignment horizontal="left" vertical="center" wrapText="1"/>
    </xf>
    <xf numFmtId="0" fontId="25" fillId="0" borderId="3" xfId="13" applyFont="1" applyBorder="1" applyAlignment="1">
      <alignment horizontal="left" vertical="center" wrapText="1"/>
    </xf>
    <xf numFmtId="0" fontId="25" fillId="0" borderId="4" xfId="13" applyFont="1" applyBorder="1" applyAlignment="1">
      <alignment horizontal="left" vertical="center" wrapText="1"/>
    </xf>
    <xf numFmtId="0" fontId="39" fillId="0" borderId="97" xfId="13" applyFont="1" applyFill="1" applyBorder="1" applyAlignment="1">
      <alignment vertical="center" wrapText="1"/>
    </xf>
    <xf numFmtId="49" fontId="39" fillId="0" borderId="97" xfId="13" applyNumberFormat="1" applyFont="1" applyFill="1" applyBorder="1" applyAlignment="1">
      <alignment vertical="center" wrapText="1"/>
    </xf>
    <xf numFmtId="0" fontId="43" fillId="0" borderId="97" xfId="13" applyFont="1" applyFill="1" applyBorder="1" applyAlignment="1">
      <alignment vertical="center" wrapText="1"/>
    </xf>
    <xf numFmtId="49" fontId="39" fillId="20" borderId="2" xfId="10" applyNumberFormat="1" applyFont="1" applyFill="1" applyBorder="1" applyAlignment="1">
      <alignment horizontal="left" vertical="center" wrapText="1"/>
    </xf>
    <xf numFmtId="49" fontId="39" fillId="20" borderId="4" xfId="10" applyNumberFormat="1" applyFont="1" applyFill="1" applyBorder="1" applyAlignment="1">
      <alignment horizontal="left" vertical="center" wrapText="1"/>
    </xf>
    <xf numFmtId="0" fontId="25" fillId="0" borderId="27"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39" fillId="0" borderId="63" xfId="0" applyFont="1" applyBorder="1" applyAlignment="1">
      <alignment horizontal="left" vertical="center" wrapText="1"/>
    </xf>
    <xf numFmtId="0" fontId="39" fillId="0" borderId="64" xfId="0" applyFont="1" applyBorder="1" applyAlignment="1">
      <alignment horizontal="left" vertical="center" wrapText="1"/>
    </xf>
    <xf numFmtId="0" fontId="12" fillId="0" borderId="17" xfId="7" applyFont="1" applyFill="1" applyBorder="1" applyAlignment="1">
      <alignment horizontal="center" vertical="center"/>
    </xf>
    <xf numFmtId="0" fontId="25" fillId="0" borderId="10" xfId="7" applyFont="1" applyFill="1" applyBorder="1" applyAlignment="1">
      <alignment horizontal="center" vertical="center"/>
    </xf>
    <xf numFmtId="0" fontId="25" fillId="0" borderId="5" xfId="7" applyFont="1" applyFill="1" applyBorder="1" applyAlignment="1">
      <alignment horizontal="center" vertical="center"/>
    </xf>
    <xf numFmtId="0" fontId="25" fillId="0" borderId="11" xfId="7" applyFont="1" applyFill="1" applyBorder="1" applyAlignment="1">
      <alignment horizontal="center" vertical="center"/>
    </xf>
    <xf numFmtId="0" fontId="25" fillId="18" borderId="97" xfId="7" applyFont="1" applyFill="1" applyBorder="1" applyAlignment="1">
      <alignment horizontal="center" vertical="center"/>
    </xf>
    <xf numFmtId="0" fontId="25" fillId="18" borderId="5" xfId="7" applyFont="1" applyFill="1" applyBorder="1" applyAlignment="1">
      <alignment horizontal="center" vertical="center"/>
    </xf>
    <xf numFmtId="0" fontId="25" fillId="18" borderId="11" xfId="7" applyFont="1" applyFill="1" applyBorder="1" applyAlignment="1">
      <alignment horizontal="center" vertical="center"/>
    </xf>
    <xf numFmtId="0" fontId="25" fillId="18" borderId="10" xfId="7" applyFont="1" applyFill="1" applyBorder="1" applyAlignment="1">
      <alignment horizontal="center" vertical="center"/>
    </xf>
    <xf numFmtId="0" fontId="25" fillId="11" borderId="27" xfId="13" applyFont="1" applyFill="1" applyBorder="1" applyAlignment="1">
      <alignment horizontal="center" vertical="center" wrapText="1"/>
    </xf>
    <xf numFmtId="0" fontId="25" fillId="11" borderId="3" xfId="13" applyFont="1" applyFill="1" applyBorder="1" applyAlignment="1">
      <alignment horizontal="center" vertical="center" wrapText="1"/>
    </xf>
    <xf numFmtId="0" fontId="25" fillId="11" borderId="7" xfId="13" applyFont="1" applyFill="1" applyBorder="1" applyAlignment="1">
      <alignment horizontal="center" vertical="center" wrapText="1"/>
    </xf>
    <xf numFmtId="0" fontId="25" fillId="0" borderId="12" xfId="7" applyFont="1" applyFill="1" applyBorder="1" applyAlignment="1">
      <alignment horizontal="center" vertical="center"/>
    </xf>
    <xf numFmtId="0" fontId="25" fillId="0" borderId="13" xfId="7" applyFont="1" applyFill="1" applyBorder="1" applyAlignment="1">
      <alignment horizontal="center" vertical="center"/>
    </xf>
    <xf numFmtId="2" fontId="12" fillId="0" borderId="7" xfId="0" applyNumberFormat="1" applyFont="1" applyFill="1" applyBorder="1" applyAlignment="1">
      <alignment horizontal="center" vertical="center" wrapText="1"/>
    </xf>
    <xf numFmtId="0" fontId="25" fillId="0" borderId="97" xfId="13" applyFont="1" applyFill="1" applyBorder="1" applyAlignment="1">
      <alignment vertical="center" wrapText="1"/>
    </xf>
    <xf numFmtId="0" fontId="25" fillId="0" borderId="97" xfId="7" applyFont="1" applyFill="1" applyBorder="1" applyAlignment="1">
      <alignment horizontal="center" vertical="center"/>
    </xf>
    <xf numFmtId="0" fontId="25" fillId="18" borderId="97" xfId="13" applyFont="1" applyFill="1" applyBorder="1" applyAlignment="1">
      <alignment vertical="center" wrapText="1"/>
    </xf>
    <xf numFmtId="0" fontId="25" fillId="11" borderId="2" xfId="13" applyFont="1" applyFill="1" applyBorder="1" applyAlignment="1">
      <alignment horizontal="center" vertical="center" wrapText="1"/>
    </xf>
    <xf numFmtId="49" fontId="43" fillId="58" borderId="2" xfId="10" applyNumberFormat="1" applyFont="1" applyFill="1" applyBorder="1" applyAlignment="1">
      <alignment horizontal="left" vertical="center" wrapText="1"/>
    </xf>
    <xf numFmtId="49" fontId="43" fillId="58" borderId="3" xfId="10" applyNumberFormat="1" applyFont="1" applyFill="1" applyBorder="1" applyAlignment="1">
      <alignment horizontal="left" vertical="center" wrapText="1"/>
    </xf>
    <xf numFmtId="49" fontId="43" fillId="58" borderId="4" xfId="10" applyNumberFormat="1" applyFont="1" applyFill="1" applyBorder="1" applyAlignment="1">
      <alignment horizontal="left" vertical="center" wrapText="1"/>
    </xf>
    <xf numFmtId="0" fontId="12" fillId="0" borderId="0" xfId="7" applyFont="1" applyFill="1" applyBorder="1" applyAlignment="1">
      <alignment horizontal="center" vertical="center"/>
    </xf>
    <xf numFmtId="0" fontId="12" fillId="0" borderId="48" xfId="7" applyFont="1" applyFill="1" applyBorder="1" applyAlignment="1">
      <alignment horizontal="center" vertical="center"/>
    </xf>
    <xf numFmtId="0" fontId="12" fillId="0" borderId="53" xfId="7" applyFont="1" applyFill="1" applyBorder="1" applyAlignment="1">
      <alignment horizontal="center" vertical="center"/>
    </xf>
    <xf numFmtId="0" fontId="25" fillId="0" borderId="2" xfId="7" applyFont="1" applyFill="1" applyBorder="1" applyAlignment="1">
      <alignment horizontal="center" vertical="center"/>
    </xf>
    <xf numFmtId="0" fontId="25" fillId="11" borderId="2" xfId="13" applyFont="1" applyFill="1" applyBorder="1" applyAlignment="1">
      <alignment horizontal="left" vertical="center" wrapText="1"/>
    </xf>
    <xf numFmtId="0" fontId="25" fillId="11" borderId="3" xfId="13" applyFont="1" applyFill="1" applyBorder="1" applyAlignment="1">
      <alignment horizontal="left" vertical="center" wrapText="1"/>
    </xf>
    <xf numFmtId="0" fontId="25" fillId="11" borderId="4" xfId="13" applyFont="1" applyFill="1" applyBorder="1" applyAlignment="1">
      <alignment horizontal="left" vertical="center" wrapText="1"/>
    </xf>
    <xf numFmtId="0" fontId="26" fillId="17" borderId="26" xfId="11" applyFont="1" applyFill="1" applyBorder="1" applyAlignment="1">
      <alignment horizontal="left" vertical="center" wrapText="1"/>
    </xf>
    <xf numFmtId="0" fontId="26" fillId="17" borderId="8" xfId="11" applyFont="1" applyFill="1" applyBorder="1" applyAlignment="1">
      <alignment horizontal="left" vertical="center" wrapText="1"/>
    </xf>
    <xf numFmtId="0" fontId="26" fillId="17" borderId="9" xfId="11" applyFont="1" applyFill="1" applyBorder="1" applyAlignment="1">
      <alignment horizontal="left" vertical="center" wrapText="1"/>
    </xf>
    <xf numFmtId="2" fontId="25" fillId="18" borderId="7" xfId="0" applyNumberFormat="1" applyFont="1" applyFill="1" applyBorder="1" applyAlignment="1">
      <alignment horizontal="center" vertical="center" wrapText="1"/>
    </xf>
    <xf numFmtId="2" fontId="12" fillId="0" borderId="97" xfId="0" applyNumberFormat="1" applyFont="1" applyFill="1" applyBorder="1" applyAlignment="1">
      <alignment horizontal="center" vertical="center" wrapText="1"/>
    </xf>
    <xf numFmtId="0" fontId="25" fillId="18" borderId="27" xfId="0" applyFont="1" applyFill="1" applyBorder="1" applyAlignment="1">
      <alignment horizontal="left" vertical="center" wrapText="1"/>
    </xf>
    <xf numFmtId="0" fontId="12" fillId="0" borderId="80" xfId="7" applyFont="1" applyFill="1" applyBorder="1" applyAlignment="1">
      <alignment horizontal="center" vertical="center"/>
    </xf>
    <xf numFmtId="0" fontId="12" fillId="0" borderId="49" xfId="7" applyFont="1" applyFill="1" applyBorder="1" applyAlignment="1">
      <alignment horizontal="center" vertical="center"/>
    </xf>
    <xf numFmtId="0" fontId="25" fillId="18" borderId="2" xfId="13" applyFont="1" applyFill="1" applyBorder="1" applyAlignment="1">
      <alignment horizontal="left" vertical="center" wrapText="1"/>
    </xf>
    <xf numFmtId="0" fontId="25" fillId="18" borderId="3" xfId="13" applyFont="1" applyFill="1" applyBorder="1" applyAlignment="1">
      <alignment horizontal="left" vertical="center" wrapText="1"/>
    </xf>
    <xf numFmtId="0" fontId="25" fillId="18" borderId="4" xfId="13" applyFont="1" applyFill="1" applyBorder="1" applyAlignment="1">
      <alignment horizontal="left" vertical="center" wrapText="1"/>
    </xf>
    <xf numFmtId="0" fontId="25" fillId="0" borderId="48"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39" fillId="58" borderId="2" xfId="10" applyNumberFormat="1" applyFont="1" applyFill="1" applyBorder="1" applyAlignment="1">
      <alignment horizontal="left" vertical="center" wrapText="1"/>
    </xf>
    <xf numFmtId="49" fontId="39" fillId="58" borderId="3" xfId="10" applyNumberFormat="1" applyFont="1" applyFill="1" applyBorder="1" applyAlignment="1">
      <alignment horizontal="left" vertical="center" wrapText="1"/>
    </xf>
    <xf numFmtId="49" fontId="39" fillId="58" borderId="4" xfId="10" applyNumberFormat="1" applyFont="1" applyFill="1" applyBorder="1" applyAlignment="1">
      <alignment horizontal="left" vertical="center" wrapText="1"/>
    </xf>
    <xf numFmtId="0" fontId="25" fillId="20" borderId="10" xfId="10" applyNumberFormat="1" applyFont="1" applyFill="1" applyBorder="1" applyAlignment="1">
      <alignment horizontal="center" vertical="center" wrapText="1"/>
    </xf>
    <xf numFmtId="0" fontId="39" fillId="18" borderId="7" xfId="13" applyFont="1" applyFill="1" applyBorder="1" applyAlignment="1">
      <alignment vertical="center" wrapText="1"/>
    </xf>
    <xf numFmtId="0" fontId="25" fillId="0" borderId="97" xfId="13" applyFont="1" applyBorder="1" applyAlignment="1">
      <alignment horizontal="left" vertical="center" wrapText="1"/>
    </xf>
    <xf numFmtId="0" fontId="25" fillId="0" borderId="27" xfId="13" applyFont="1" applyBorder="1" applyAlignment="1">
      <alignment horizontal="left" vertical="center" wrapText="1"/>
    </xf>
    <xf numFmtId="0" fontId="25" fillId="0" borderId="7" xfId="13" applyFont="1" applyBorder="1" applyAlignment="1">
      <alignment horizontal="left" vertical="center" wrapText="1"/>
    </xf>
    <xf numFmtId="0" fontId="12" fillId="18" borderId="0" xfId="7" applyFont="1" applyFill="1" applyBorder="1" applyAlignment="1">
      <alignment horizontal="center" vertical="center"/>
    </xf>
    <xf numFmtId="0" fontId="25" fillId="18" borderId="2" xfId="7" applyFont="1" applyFill="1" applyBorder="1" applyAlignment="1">
      <alignment horizontal="center" vertical="center"/>
    </xf>
    <xf numFmtId="0" fontId="25" fillId="0" borderId="3" xfId="0" applyFont="1" applyBorder="1" applyAlignment="1">
      <alignment horizontal="left" vertical="center" wrapText="1"/>
    </xf>
    <xf numFmtId="0" fontId="25" fillId="0" borderId="97" xfId="0" applyFont="1" applyBorder="1" applyAlignment="1">
      <alignment horizontal="left" vertical="center" wrapText="1"/>
    </xf>
    <xf numFmtId="0" fontId="25" fillId="59" borderId="3" xfId="13" applyFont="1" applyFill="1" applyBorder="1" applyAlignment="1">
      <alignment horizontal="left" vertical="center" wrapText="1"/>
    </xf>
    <xf numFmtId="0" fontId="25" fillId="59" borderId="27" xfId="13" applyFont="1" applyFill="1" applyBorder="1" applyAlignment="1">
      <alignment horizontal="left" vertical="center" wrapText="1"/>
    </xf>
    <xf numFmtId="0" fontId="25" fillId="59" borderId="7" xfId="13" applyFont="1" applyFill="1" applyBorder="1" applyAlignment="1">
      <alignment horizontal="left" vertical="center" wrapText="1"/>
    </xf>
    <xf numFmtId="0" fontId="25" fillId="0" borderId="7" xfId="0" applyFont="1" applyBorder="1" applyAlignment="1">
      <alignment horizontal="left" vertical="center" wrapText="1"/>
    </xf>
    <xf numFmtId="0" fontId="39" fillId="0" borderId="27" xfId="0" applyFont="1" applyBorder="1" applyAlignment="1">
      <alignment horizontal="left" vertical="center" wrapText="1"/>
    </xf>
    <xf numFmtId="0" fontId="39" fillId="0" borderId="3" xfId="0" applyFont="1" applyBorder="1" applyAlignment="1">
      <alignment horizontal="left" vertical="center" wrapText="1"/>
    </xf>
    <xf numFmtId="0" fontId="39" fillId="0" borderId="7" xfId="0" applyFont="1" applyBorder="1" applyAlignment="1">
      <alignment horizontal="left" vertical="center" wrapText="1"/>
    </xf>
    <xf numFmtId="0" fontId="25" fillId="11" borderId="48" xfId="0" applyFont="1" applyFill="1" applyBorder="1" applyAlignment="1">
      <alignment horizontal="left" vertical="center" wrapText="1"/>
    </xf>
    <xf numFmtId="0" fontId="25" fillId="11" borderId="17" xfId="0" applyFont="1" applyFill="1" applyBorder="1" applyAlignment="1">
      <alignment horizontal="left" vertical="center" wrapText="1"/>
    </xf>
    <xf numFmtId="0" fontId="25" fillId="11" borderId="53" xfId="0" applyFont="1" applyFill="1" applyBorder="1" applyAlignment="1">
      <alignment horizontal="left" vertical="center" wrapText="1"/>
    </xf>
    <xf numFmtId="0" fontId="25" fillId="18" borderId="2" xfId="0" applyFont="1" applyFill="1" applyBorder="1" applyAlignment="1">
      <alignment horizontal="left" vertical="center" wrapText="1"/>
    </xf>
    <xf numFmtId="0" fontId="39" fillId="0" borderId="2" xfId="0" applyFont="1" applyBorder="1" applyAlignment="1">
      <alignment horizontal="left" vertical="center" wrapText="1"/>
    </xf>
    <xf numFmtId="49" fontId="39" fillId="58" borderId="97" xfId="10" applyNumberFormat="1" applyFont="1" applyFill="1" applyBorder="1" applyAlignment="1">
      <alignment horizontal="left" vertical="center" wrapText="1"/>
    </xf>
    <xf numFmtId="49" fontId="39" fillId="0" borderId="2" xfId="13" applyNumberFormat="1" applyFont="1" applyBorder="1" applyAlignment="1">
      <alignment vertical="center" wrapText="1"/>
    </xf>
    <xf numFmtId="49" fontId="39" fillId="0" borderId="3" xfId="13" applyNumberFormat="1" applyFont="1" applyBorder="1" applyAlignment="1">
      <alignment vertical="center" wrapText="1"/>
    </xf>
    <xf numFmtId="49" fontId="39" fillId="0" borderId="4" xfId="13" applyNumberFormat="1" applyFont="1" applyBorder="1" applyAlignment="1">
      <alignment vertical="center" wrapText="1"/>
    </xf>
    <xf numFmtId="0" fontId="25" fillId="59" borderId="13" xfId="13" applyFont="1" applyFill="1" applyBorder="1" applyAlignment="1">
      <alignment horizontal="left" vertical="center" wrapText="1"/>
    </xf>
    <xf numFmtId="0" fontId="25" fillId="59" borderId="17" xfId="13" applyFont="1" applyFill="1" applyBorder="1" applyAlignment="1">
      <alignment horizontal="left" vertical="center" wrapText="1"/>
    </xf>
    <xf numFmtId="0" fontId="25" fillId="59" borderId="16" xfId="13" applyFont="1" applyFill="1" applyBorder="1" applyAlignment="1">
      <alignment horizontal="left" vertical="center" wrapText="1"/>
    </xf>
    <xf numFmtId="0" fontId="25" fillId="18" borderId="13" xfId="13" applyFont="1" applyFill="1" applyBorder="1" applyAlignment="1">
      <alignment horizontal="left" vertical="center" wrapText="1"/>
    </xf>
    <xf numFmtId="0" fontId="25" fillId="18" borderId="17" xfId="13" applyFont="1" applyFill="1" applyBorder="1" applyAlignment="1">
      <alignment horizontal="left" vertical="center" wrapText="1"/>
    </xf>
    <xf numFmtId="0" fontId="25" fillId="18" borderId="16" xfId="13" applyFont="1" applyFill="1" applyBorder="1" applyAlignment="1">
      <alignment horizontal="left" vertical="center" wrapText="1"/>
    </xf>
    <xf numFmtId="49" fontId="43" fillId="0" borderId="5" xfId="10" applyNumberFormat="1" applyFont="1" applyFill="1" applyBorder="1" applyAlignment="1">
      <alignment horizontal="left" vertical="center" wrapText="1"/>
    </xf>
    <xf numFmtId="0" fontId="12" fillId="0" borderId="2" xfId="13" applyFont="1" applyFill="1" applyBorder="1" applyAlignment="1">
      <alignment vertical="center" wrapText="1"/>
    </xf>
    <xf numFmtId="0" fontId="12" fillId="0" borderId="4" xfId="13" applyFont="1" applyFill="1" applyBorder="1" applyAlignment="1">
      <alignment vertical="center" wrapText="1"/>
    </xf>
    <xf numFmtId="2" fontId="25" fillId="16" borderId="5" xfId="10" applyNumberFormat="1" applyFont="1" applyFill="1" applyBorder="1" applyAlignment="1">
      <alignment horizontal="center" vertical="center" wrapText="1"/>
    </xf>
    <xf numFmtId="3" fontId="26" fillId="17" borderId="12" xfId="5" applyNumberFormat="1" applyFont="1" applyFill="1" applyBorder="1" applyAlignment="1">
      <alignment horizontal="left" vertical="center" wrapText="1"/>
    </xf>
    <xf numFmtId="3" fontId="26" fillId="17" borderId="14" xfId="5" applyNumberFormat="1" applyFont="1" applyFill="1" applyBorder="1" applyAlignment="1">
      <alignment horizontal="left" vertical="center" wrapText="1"/>
    </xf>
    <xf numFmtId="3" fontId="26" fillId="17" borderId="15" xfId="5" applyNumberFormat="1" applyFont="1" applyFill="1" applyBorder="1" applyAlignment="1">
      <alignment horizontal="left" vertical="center" wrapText="1"/>
    </xf>
    <xf numFmtId="49" fontId="39" fillId="16" borderId="98" xfId="10" applyNumberFormat="1" applyFont="1" applyFill="1" applyBorder="1" applyAlignment="1">
      <alignment horizontal="left" vertical="center" wrapText="1"/>
    </xf>
    <xf numFmtId="0" fontId="39" fillId="16" borderId="5" xfId="10" applyNumberFormat="1" applyFont="1" applyFill="1" applyBorder="1" applyAlignment="1">
      <alignment horizontal="center" vertical="center" wrapText="1"/>
    </xf>
    <xf numFmtId="0" fontId="39" fillId="0" borderId="5" xfId="10" applyNumberFormat="1" applyFont="1" applyFill="1" applyBorder="1" applyAlignment="1">
      <alignment horizontal="center" vertical="center" wrapText="1"/>
    </xf>
    <xf numFmtId="0" fontId="39" fillId="16" borderId="29" xfId="10" applyNumberFormat="1" applyFont="1" applyFill="1" applyBorder="1" applyAlignment="1">
      <alignment horizontal="left" vertical="center" wrapText="1"/>
    </xf>
    <xf numFmtId="0" fontId="39" fillId="16" borderId="6" xfId="10" applyNumberFormat="1" applyFont="1" applyFill="1" applyBorder="1" applyAlignment="1">
      <alignment horizontal="left" vertical="center" wrapText="1"/>
    </xf>
    <xf numFmtId="2" fontId="12" fillId="16" borderId="2" xfId="10" applyNumberFormat="1" applyFont="1" applyFill="1" applyBorder="1" applyAlignment="1">
      <alignment horizontal="center" vertical="center" wrapText="1"/>
    </xf>
    <xf numFmtId="2" fontId="12" fillId="16" borderId="3" xfId="10" applyNumberFormat="1" applyFont="1" applyFill="1" applyBorder="1" applyAlignment="1">
      <alignment horizontal="center" vertical="center" wrapText="1"/>
    </xf>
    <xf numFmtId="2" fontId="12" fillId="16" borderId="7" xfId="10" applyNumberFormat="1" applyFont="1" applyFill="1" applyBorder="1" applyAlignment="1">
      <alignment horizontal="center" vertical="center" wrapText="1"/>
    </xf>
    <xf numFmtId="0" fontId="12" fillId="11" borderId="13" xfId="13" applyFont="1" applyFill="1" applyBorder="1" applyAlignment="1">
      <alignment horizontal="left" vertical="center" wrapText="1"/>
    </xf>
    <xf numFmtId="0" fontId="12" fillId="11" borderId="17" xfId="13" applyFont="1" applyFill="1" applyBorder="1" applyAlignment="1">
      <alignment horizontal="left" vertical="center" wrapText="1"/>
    </xf>
    <xf numFmtId="0" fontId="12" fillId="11" borderId="16" xfId="13" applyFont="1" applyFill="1" applyBorder="1" applyAlignment="1">
      <alignment horizontal="left" vertical="center" wrapText="1"/>
    </xf>
    <xf numFmtId="0" fontId="25" fillId="0" borderId="28" xfId="7" applyFont="1" applyFill="1" applyBorder="1" applyAlignment="1">
      <alignment horizontal="center" vertical="center"/>
    </xf>
    <xf numFmtId="0" fontId="25" fillId="0" borderId="31" xfId="7" applyFont="1" applyFill="1" applyBorder="1" applyAlignment="1">
      <alignment horizontal="center" vertical="center"/>
    </xf>
    <xf numFmtId="0" fontId="25" fillId="0" borderId="33" xfId="7" applyFont="1" applyFill="1" applyBorder="1" applyAlignment="1">
      <alignment horizontal="center" vertical="center"/>
    </xf>
    <xf numFmtId="0" fontId="12" fillId="16" borderId="4" xfId="10" applyNumberFormat="1" applyFont="1" applyFill="1" applyBorder="1" applyAlignment="1">
      <alignment horizontal="center" vertical="center" wrapText="1"/>
    </xf>
    <xf numFmtId="0" fontId="25" fillId="18" borderId="19" xfId="13" applyFont="1" applyFill="1" applyBorder="1" applyAlignment="1">
      <alignment horizontal="left" vertical="center" wrapText="1"/>
    </xf>
    <xf numFmtId="0" fontId="25" fillId="18" borderId="20" xfId="13" applyFont="1" applyFill="1" applyBorder="1" applyAlignment="1">
      <alignment horizontal="left" vertical="center" wrapText="1"/>
    </xf>
    <xf numFmtId="0" fontId="25" fillId="18" borderId="21" xfId="13" applyFont="1" applyFill="1" applyBorder="1" applyAlignment="1">
      <alignment horizontal="left" vertical="center" wrapText="1"/>
    </xf>
    <xf numFmtId="0" fontId="25" fillId="57" borderId="19" xfId="10" applyNumberFormat="1" applyFont="1" applyFill="1" applyBorder="1" applyAlignment="1">
      <alignment horizontal="left" vertical="center" wrapText="1"/>
    </xf>
    <xf numFmtId="0" fontId="25" fillId="57" borderId="20" xfId="10" applyNumberFormat="1" applyFont="1" applyFill="1" applyBorder="1" applyAlignment="1">
      <alignment horizontal="left" vertical="center" wrapText="1"/>
    </xf>
    <xf numFmtId="0" fontId="25" fillId="57" borderId="6" xfId="10" applyNumberFormat="1" applyFont="1" applyFill="1" applyBorder="1" applyAlignment="1">
      <alignment horizontal="left" vertical="center" wrapText="1"/>
    </xf>
    <xf numFmtId="0" fontId="25" fillId="18" borderId="2" xfId="6" applyNumberFormat="1" applyFont="1" applyFill="1" applyBorder="1" applyAlignment="1">
      <alignment vertical="center" wrapText="1"/>
    </xf>
    <xf numFmtId="0" fontId="25" fillId="18" borderId="3" xfId="6" applyNumberFormat="1" applyFont="1" applyFill="1" applyBorder="1" applyAlignment="1">
      <alignment vertical="center" wrapText="1"/>
    </xf>
    <xf numFmtId="0" fontId="25" fillId="18" borderId="4" xfId="6" applyNumberFormat="1" applyFont="1" applyFill="1" applyBorder="1" applyAlignment="1">
      <alignment vertical="center" wrapText="1"/>
    </xf>
    <xf numFmtId="0" fontId="157" fillId="18" borderId="2" xfId="13" applyFont="1" applyFill="1" applyBorder="1" applyAlignment="1">
      <alignment vertical="center" wrapText="1"/>
    </xf>
    <xf numFmtId="0" fontId="157" fillId="18" borderId="3" xfId="13" applyFont="1" applyFill="1" applyBorder="1" applyAlignment="1">
      <alignment vertical="center" wrapText="1"/>
    </xf>
    <xf numFmtId="0" fontId="157" fillId="18" borderId="4" xfId="13" applyFont="1" applyFill="1" applyBorder="1" applyAlignment="1">
      <alignment vertical="center" wrapText="1"/>
    </xf>
    <xf numFmtId="2" fontId="25" fillId="18" borderId="97" xfId="0" applyNumberFormat="1" applyFont="1" applyFill="1" applyBorder="1" applyAlignment="1">
      <alignment horizontal="center" vertical="center" wrapText="1"/>
    </xf>
    <xf numFmtId="49" fontId="39" fillId="57" borderId="98" xfId="10" applyNumberFormat="1" applyFont="1" applyFill="1" applyBorder="1" applyAlignment="1">
      <alignment horizontal="left" vertical="center" wrapText="1"/>
    </xf>
    <xf numFmtId="0" fontId="12" fillId="18" borderId="10" xfId="7" applyFont="1" applyFill="1" applyBorder="1" applyAlignment="1">
      <alignment horizontal="center" vertical="center"/>
    </xf>
    <xf numFmtId="0" fontId="12" fillId="18" borderId="5" xfId="7" applyFont="1" applyFill="1" applyBorder="1" applyAlignment="1">
      <alignment horizontal="center" vertical="center"/>
    </xf>
    <xf numFmtId="0" fontId="12" fillId="18" borderId="11" xfId="7" applyFont="1" applyFill="1" applyBorder="1" applyAlignment="1">
      <alignment horizontal="center" vertical="center"/>
    </xf>
    <xf numFmtId="0" fontId="12" fillId="0" borderId="20" xfId="7" applyFont="1" applyFill="1" applyBorder="1" applyAlignment="1">
      <alignment horizontal="center" vertical="center"/>
    </xf>
    <xf numFmtId="0" fontId="25" fillId="20" borderId="97" xfId="10" applyNumberFormat="1" applyFont="1" applyFill="1" applyBorder="1" applyAlignment="1">
      <alignment horizontal="center" vertical="center" wrapText="1"/>
    </xf>
    <xf numFmtId="3" fontId="39" fillId="0" borderId="2" xfId="13" applyNumberFormat="1" applyFont="1" applyBorder="1" applyAlignment="1">
      <alignment vertical="center" wrapText="1"/>
    </xf>
    <xf numFmtId="0" fontId="12" fillId="0" borderId="5" xfId="7" applyFont="1" applyFill="1" applyBorder="1" applyAlignment="1">
      <alignment horizontal="center" vertical="center"/>
    </xf>
    <xf numFmtId="0" fontId="12" fillId="0" borderId="79" xfId="7" applyFont="1" applyFill="1" applyBorder="1" applyAlignment="1">
      <alignment horizontal="center" vertical="center"/>
    </xf>
    <xf numFmtId="0" fontId="12" fillId="0" borderId="78" xfId="7" applyFont="1" applyFill="1" applyBorder="1" applyAlignment="1">
      <alignment horizontal="center" vertical="center"/>
    </xf>
    <xf numFmtId="0" fontId="12" fillId="0" borderId="83" xfId="7" applyFont="1" applyFill="1" applyBorder="1" applyAlignment="1">
      <alignment horizontal="center" vertical="center"/>
    </xf>
    <xf numFmtId="0" fontId="28" fillId="0" borderId="0" xfId="0" applyFont="1" applyFill="1" applyBorder="1" applyAlignment="1">
      <alignment horizontal="center" vertical="center"/>
    </xf>
    <xf numFmtId="0" fontId="12" fillId="0" borderId="3" xfId="7" applyFont="1" applyFill="1" applyBorder="1" applyAlignment="1">
      <alignment horizontal="center" vertical="center"/>
    </xf>
    <xf numFmtId="0" fontId="12" fillId="0" borderId="27" xfId="7" applyFont="1" applyFill="1" applyBorder="1" applyAlignment="1">
      <alignment horizontal="center" vertical="center"/>
    </xf>
    <xf numFmtId="0" fontId="12" fillId="0" borderId="7" xfId="7" applyFont="1" applyFill="1" applyBorder="1" applyAlignment="1">
      <alignment horizontal="center" vertical="center"/>
    </xf>
    <xf numFmtId="0" fontId="25" fillId="0" borderId="3" xfId="7" applyFont="1" applyFill="1" applyBorder="1" applyAlignment="1">
      <alignment horizontal="center" vertical="center"/>
    </xf>
    <xf numFmtId="0" fontId="12" fillId="18" borderId="17" xfId="7" applyFont="1" applyFill="1" applyBorder="1" applyAlignment="1">
      <alignment horizontal="center" vertical="center"/>
    </xf>
    <xf numFmtId="0" fontId="26" fillId="13" borderId="24" xfId="7" applyFont="1" applyFill="1" applyBorder="1" applyAlignment="1">
      <alignment horizontal="left" vertical="center" wrapText="1"/>
    </xf>
    <xf numFmtId="0" fontId="26" fillId="13" borderId="25" xfId="7" applyFont="1" applyFill="1" applyBorder="1" applyAlignment="1">
      <alignment horizontal="left" vertical="center" wrapText="1"/>
    </xf>
    <xf numFmtId="0" fontId="26" fillId="14" borderId="26" xfId="1" applyFont="1" applyFill="1" applyBorder="1" applyAlignment="1">
      <alignment horizontal="left" vertical="center" wrapText="1"/>
    </xf>
    <xf numFmtId="0" fontId="26" fillId="14" borderId="8" xfId="1" applyFont="1" applyFill="1" applyBorder="1" applyAlignment="1">
      <alignment horizontal="left" vertical="center" wrapText="1"/>
    </xf>
    <xf numFmtId="49" fontId="12" fillId="16" borderId="2" xfId="10" applyNumberFormat="1" applyFont="1" applyFill="1" applyBorder="1" applyAlignment="1">
      <alignment horizontal="left" vertical="center" wrapText="1"/>
    </xf>
    <xf numFmtId="49" fontId="12" fillId="16" borderId="3" xfId="10" applyNumberFormat="1" applyFont="1" applyFill="1" applyBorder="1" applyAlignment="1">
      <alignment horizontal="left" vertical="center" wrapText="1"/>
    </xf>
    <xf numFmtId="49" fontId="12" fillId="16" borderId="97" xfId="10" applyNumberFormat="1" applyFont="1" applyFill="1" applyBorder="1" applyAlignment="1">
      <alignment horizontal="left" vertical="center" wrapText="1"/>
    </xf>
    <xf numFmtId="2" fontId="12" fillId="16" borderId="97" xfId="10" applyNumberFormat="1" applyFont="1" applyFill="1" applyBorder="1" applyAlignment="1">
      <alignment horizontal="center" vertical="center" wrapText="1"/>
    </xf>
    <xf numFmtId="0" fontId="25" fillId="20" borderId="2" xfId="10" applyNumberFormat="1" applyFont="1" applyFill="1" applyBorder="1" applyAlignment="1">
      <alignment horizontal="center" vertical="center" wrapText="1"/>
    </xf>
    <xf numFmtId="0" fontId="25" fillId="20" borderId="3" xfId="10" applyNumberFormat="1" applyFont="1" applyFill="1" applyBorder="1" applyAlignment="1">
      <alignment horizontal="center" vertical="center" wrapText="1"/>
    </xf>
    <xf numFmtId="49" fontId="25" fillId="0" borderId="2" xfId="10" applyNumberFormat="1" applyFont="1" applyFill="1" applyBorder="1" applyAlignment="1">
      <alignment horizontal="left" vertical="center" wrapText="1"/>
    </xf>
    <xf numFmtId="49" fontId="25" fillId="0" borderId="3" xfId="10" applyNumberFormat="1" applyFont="1" applyFill="1" applyBorder="1" applyAlignment="1">
      <alignment horizontal="left" vertical="center" wrapText="1"/>
    </xf>
    <xf numFmtId="49" fontId="25" fillId="0" borderId="4" xfId="10" applyNumberFormat="1" applyFont="1" applyFill="1" applyBorder="1" applyAlignment="1">
      <alignment horizontal="left" vertical="center" wrapText="1"/>
    </xf>
    <xf numFmtId="49" fontId="25" fillId="16" borderId="19" xfId="10" applyNumberFormat="1" applyFont="1" applyFill="1" applyBorder="1" applyAlignment="1">
      <alignment horizontal="left" vertical="center" wrapText="1"/>
    </xf>
    <xf numFmtId="49" fontId="25" fillId="16" borderId="20" xfId="10" applyNumberFormat="1" applyFont="1" applyFill="1" applyBorder="1" applyAlignment="1">
      <alignment horizontal="left" vertical="center" wrapText="1"/>
    </xf>
    <xf numFmtId="49" fontId="25" fillId="16" borderId="21" xfId="10" applyNumberFormat="1"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13" applyFont="1" applyFill="1" applyBorder="1" applyAlignment="1">
      <alignment horizontal="center" vertical="center" wrapText="1"/>
    </xf>
    <xf numFmtId="0" fontId="25" fillId="0" borderId="4" xfId="13" applyFont="1" applyFill="1" applyBorder="1" applyAlignment="1">
      <alignment horizontal="center" vertical="center" wrapText="1"/>
    </xf>
    <xf numFmtId="0" fontId="25" fillId="20" borderId="97" xfId="10" applyFont="1" applyFill="1" applyBorder="1" applyAlignment="1">
      <alignment horizontal="center" vertical="center" wrapText="1"/>
    </xf>
    <xf numFmtId="0" fontId="25" fillId="20" borderId="5" xfId="10" applyFont="1" applyFill="1" applyBorder="1" applyAlignment="1">
      <alignment horizontal="center" vertical="center" wrapText="1"/>
    </xf>
    <xf numFmtId="0" fontId="12" fillId="0" borderId="2" xfId="7" applyFont="1" applyFill="1" applyBorder="1" applyAlignment="1">
      <alignment horizontal="center" vertical="center"/>
    </xf>
    <xf numFmtId="0" fontId="12" fillId="0" borderId="97" xfId="7" applyFont="1" applyFill="1" applyBorder="1" applyAlignment="1">
      <alignment horizontal="center" vertical="center"/>
    </xf>
    <xf numFmtId="0" fontId="39" fillId="0" borderId="2" xfId="13" applyFont="1" applyBorder="1" applyAlignment="1">
      <alignment horizontal="center" vertical="center" wrapText="1"/>
    </xf>
    <xf numFmtId="0" fontId="39" fillId="0" borderId="3" xfId="13" applyFont="1" applyBorder="1" applyAlignment="1">
      <alignment horizontal="center" vertical="center" wrapText="1"/>
    </xf>
    <xf numFmtId="0" fontId="39" fillId="0" borderId="4" xfId="13" applyFont="1" applyBorder="1" applyAlignment="1">
      <alignment horizontal="center" vertical="center" wrapText="1"/>
    </xf>
    <xf numFmtId="0" fontId="25" fillId="18" borderId="4" xfId="7" applyFont="1" applyFill="1" applyBorder="1" applyAlignment="1">
      <alignment horizontal="center" vertical="center"/>
    </xf>
    <xf numFmtId="0" fontId="65" fillId="0" borderId="57" xfId="0" applyFont="1" applyBorder="1" applyAlignment="1">
      <alignment horizontal="center" vertical="center" wrapText="1"/>
    </xf>
    <xf numFmtId="0" fontId="153" fillId="0" borderId="59" xfId="0" applyFont="1" applyBorder="1"/>
    <xf numFmtId="0" fontId="25" fillId="22" borderId="7" xfId="0" applyFont="1" applyFill="1" applyBorder="1" applyAlignment="1">
      <alignment horizontal="left" vertical="center" wrapText="1"/>
    </xf>
    <xf numFmtId="0" fontId="25" fillId="0" borderId="3" xfId="13" applyFont="1" applyBorder="1" applyAlignment="1">
      <alignment horizontal="center" vertical="center" wrapText="1"/>
    </xf>
    <xf numFmtId="0" fontId="25" fillId="0" borderId="7" xfId="13" applyFont="1" applyBorder="1" applyAlignment="1">
      <alignment horizontal="center" vertical="center" wrapText="1"/>
    </xf>
    <xf numFmtId="0" fontId="153" fillId="0" borderId="108" xfId="0" applyFont="1" applyBorder="1"/>
    <xf numFmtId="0" fontId="65" fillId="33" borderId="58" xfId="0" applyFont="1" applyFill="1" applyBorder="1" applyAlignment="1">
      <alignment horizontal="center" vertical="center" wrapText="1"/>
    </xf>
    <xf numFmtId="0" fontId="25" fillId="0" borderId="2" xfId="13" applyFont="1" applyBorder="1" applyAlignment="1">
      <alignment horizontal="center" vertical="center" wrapText="1"/>
    </xf>
    <xf numFmtId="0" fontId="25" fillId="0" borderId="97" xfId="13" applyFont="1" applyBorder="1" applyAlignment="1">
      <alignment horizontal="center" vertical="center" wrapText="1"/>
    </xf>
    <xf numFmtId="49" fontId="39" fillId="16" borderId="29" xfId="10" applyNumberFormat="1" applyFont="1" applyFill="1" applyBorder="1" applyAlignment="1">
      <alignment horizontal="left" vertical="center" wrapText="1"/>
    </xf>
    <xf numFmtId="0" fontId="39" fillId="18" borderId="97" xfId="13" applyFont="1" applyFill="1" applyBorder="1" applyAlignment="1">
      <alignment vertical="center" wrapText="1"/>
    </xf>
    <xf numFmtId="0" fontId="25" fillId="18" borderId="19" xfId="6" applyNumberFormat="1" applyFont="1" applyFill="1" applyBorder="1" applyAlignment="1">
      <alignment horizontal="left" vertical="center" wrapText="1"/>
    </xf>
    <xf numFmtId="0" fontId="25" fillId="18" borderId="20" xfId="6" applyNumberFormat="1" applyFont="1" applyFill="1" applyBorder="1" applyAlignment="1">
      <alignment horizontal="left" vertical="center" wrapText="1"/>
    </xf>
    <xf numFmtId="0" fontId="25" fillId="18" borderId="21" xfId="6" applyNumberFormat="1" applyFont="1" applyFill="1" applyBorder="1" applyAlignment="1">
      <alignment horizontal="left" vertical="center" wrapText="1"/>
    </xf>
    <xf numFmtId="0" fontId="26" fillId="0" borderId="97" xfId="10" applyNumberFormat="1" applyFont="1" applyFill="1" applyBorder="1" applyAlignment="1">
      <alignment horizontal="center" vertical="center" wrapText="1"/>
    </xf>
    <xf numFmtId="0" fontId="25" fillId="0" borderId="4" xfId="7" applyFont="1" applyFill="1" applyBorder="1" applyAlignment="1">
      <alignment horizontal="center" vertical="center"/>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12" fillId="0" borderId="27"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12" fillId="0" borderId="7" xfId="13" applyFont="1" applyFill="1" applyBorder="1" applyAlignment="1">
      <alignment horizontal="center" vertical="center" wrapText="1"/>
    </xf>
    <xf numFmtId="2" fontId="12" fillId="16" borderId="2" xfId="0" applyNumberFormat="1" applyFont="1" applyFill="1" applyBorder="1" applyAlignment="1">
      <alignment horizontal="center" vertical="center" wrapText="1"/>
    </xf>
    <xf numFmtId="2" fontId="12" fillId="16" borderId="3" xfId="0" applyNumberFormat="1" applyFont="1" applyFill="1" applyBorder="1" applyAlignment="1">
      <alignment horizontal="center" vertical="center" wrapText="1"/>
    </xf>
    <xf numFmtId="2" fontId="12" fillId="16" borderId="50" xfId="0" applyNumberFormat="1" applyFont="1" applyFill="1" applyBorder="1" applyAlignment="1">
      <alignment horizontal="center" vertical="center" wrapText="1"/>
    </xf>
    <xf numFmtId="0" fontId="116" fillId="0" borderId="78" xfId="0" applyFont="1" applyFill="1" applyBorder="1" applyAlignment="1">
      <alignment horizontal="left" vertical="center" wrapText="1"/>
    </xf>
    <xf numFmtId="0" fontId="116" fillId="0" borderId="83" xfId="0" applyFont="1" applyFill="1" applyBorder="1" applyAlignment="1">
      <alignment horizontal="left" vertical="center" wrapText="1"/>
    </xf>
    <xf numFmtId="0" fontId="113" fillId="0" borderId="79" xfId="0" applyFont="1" applyBorder="1" applyAlignment="1">
      <alignment horizontal="left" vertical="center"/>
    </xf>
    <xf numFmtId="0" fontId="113" fillId="0" borderId="78" xfId="0" applyFont="1" applyBorder="1" applyAlignment="1">
      <alignment horizontal="left" vertical="center"/>
    </xf>
    <xf numFmtId="0" fontId="113" fillId="0" borderId="102" xfId="0" applyFont="1" applyBorder="1" applyAlignment="1">
      <alignment horizontal="left" vertical="center"/>
    </xf>
    <xf numFmtId="9" fontId="89" fillId="0" borderId="80" xfId="0" applyNumberFormat="1" applyFont="1" applyBorder="1" applyAlignment="1">
      <alignment horizontal="left" vertical="center"/>
    </xf>
    <xf numFmtId="9" fontId="89" fillId="0" borderId="75" xfId="0" applyNumberFormat="1" applyFont="1" applyBorder="1" applyAlignment="1">
      <alignment horizontal="left" vertical="center"/>
    </xf>
    <xf numFmtId="0" fontId="116" fillId="0" borderId="86" xfId="0" applyFont="1" applyFill="1" applyBorder="1" applyAlignment="1">
      <alignment horizontal="left" vertical="center"/>
    </xf>
    <xf numFmtId="0" fontId="116" fillId="0" borderId="78" xfId="0" applyFont="1" applyFill="1" applyBorder="1" applyAlignment="1">
      <alignment horizontal="left" vertical="center"/>
    </xf>
    <xf numFmtId="0" fontId="116" fillId="0" borderId="83" xfId="0" applyFont="1" applyFill="1" applyBorder="1" applyAlignment="1">
      <alignment horizontal="left" vertical="center"/>
    </xf>
    <xf numFmtId="0" fontId="113" fillId="0" borderId="79" xfId="0" applyFont="1" applyBorder="1" applyAlignment="1">
      <alignment horizontal="left" vertical="center" wrapText="1"/>
    </xf>
    <xf numFmtId="0" fontId="113" fillId="0" borderId="78" xfId="0" applyFont="1" applyBorder="1" applyAlignment="1">
      <alignment horizontal="left" vertical="center" wrapText="1"/>
    </xf>
    <xf numFmtId="0" fontId="140" fillId="0" borderId="73" xfId="0" applyFont="1" applyBorder="1" applyAlignment="1">
      <alignment horizontal="center" vertical="center"/>
    </xf>
    <xf numFmtId="0" fontId="140" fillId="0" borderId="8" xfId="0" applyFont="1" applyBorder="1" applyAlignment="1">
      <alignment horizontal="center" vertical="center"/>
    </xf>
    <xf numFmtId="0" fontId="140" fillId="0" borderId="55" xfId="0" applyFont="1" applyBorder="1" applyAlignment="1">
      <alignment horizontal="center" vertical="center"/>
    </xf>
    <xf numFmtId="0" fontId="60" fillId="46" borderId="79" xfId="2" applyFont="1" applyFill="1" applyBorder="1" applyAlignment="1">
      <alignment horizontal="left" vertical="center" wrapText="1"/>
    </xf>
    <xf numFmtId="0" fontId="60" fillId="46" borderId="80" xfId="2" applyFont="1" applyFill="1" applyBorder="1" applyAlignment="1">
      <alignment horizontal="left" vertical="center" wrapText="1"/>
    </xf>
    <xf numFmtId="0" fontId="60" fillId="46" borderId="83" xfId="2" applyFont="1" applyFill="1" applyBorder="1" applyAlignment="1">
      <alignment horizontal="left" vertical="center" wrapText="1"/>
    </xf>
    <xf numFmtId="0" fontId="60" fillId="46" borderId="0" xfId="2" applyFont="1" applyFill="1" applyBorder="1" applyAlignment="1">
      <alignment horizontal="left" vertical="center" wrapText="1"/>
    </xf>
    <xf numFmtId="0" fontId="66" fillId="6" borderId="79" xfId="6" applyFont="1" applyBorder="1" applyAlignment="1">
      <alignment horizontal="left" vertical="center" textRotation="90"/>
    </xf>
    <xf numFmtId="0" fontId="66" fillId="6" borderId="78" xfId="6" applyFont="1" applyBorder="1" applyAlignment="1">
      <alignment horizontal="left" vertical="center" textRotation="90"/>
    </xf>
    <xf numFmtId="0" fontId="66" fillId="6" borderId="83" xfId="6" applyFont="1" applyBorder="1" applyAlignment="1">
      <alignment horizontal="left" vertical="center" textRotation="90"/>
    </xf>
    <xf numFmtId="0" fontId="112" fillId="0" borderId="31" xfId="11" applyFont="1" applyFill="1" applyBorder="1" applyAlignment="1">
      <alignment horizontal="left" vertical="center"/>
    </xf>
    <xf numFmtId="0" fontId="112" fillId="0" borderId="33" xfId="11" applyFont="1" applyFill="1" applyBorder="1" applyAlignment="1">
      <alignment horizontal="left" vertical="center"/>
    </xf>
    <xf numFmtId="0" fontId="116" fillId="0" borderId="86" xfId="0" applyFont="1" applyBorder="1" applyAlignment="1">
      <alignment horizontal="left" vertical="center" wrapText="1"/>
    </xf>
    <xf numFmtId="0" fontId="116" fillId="0" borderId="78" xfId="0" applyFont="1" applyBorder="1" applyAlignment="1">
      <alignment horizontal="left" vertical="center" wrapText="1"/>
    </xf>
    <xf numFmtId="0" fontId="116" fillId="0" borderId="102" xfId="0" applyFont="1" applyBorder="1" applyAlignment="1">
      <alignment horizontal="left" vertical="center" wrapText="1"/>
    </xf>
    <xf numFmtId="0" fontId="116" fillId="0" borderId="78" xfId="0" applyFont="1" applyBorder="1" applyAlignment="1">
      <alignment horizontal="left" vertical="center"/>
    </xf>
    <xf numFmtId="0" fontId="116" fillId="0" borderId="83" xfId="0" applyFont="1" applyBorder="1" applyAlignment="1">
      <alignment horizontal="left" vertical="center"/>
    </xf>
    <xf numFmtId="9" fontId="89" fillId="0" borderId="0" xfId="0" applyNumberFormat="1" applyFont="1" applyBorder="1" applyAlignment="1">
      <alignment horizontal="left" vertical="center"/>
    </xf>
    <xf numFmtId="9" fontId="89" fillId="0" borderId="79" xfId="0" applyNumberFormat="1" applyFont="1" applyBorder="1" applyAlignment="1">
      <alignment horizontal="left" vertical="center"/>
    </xf>
    <xf numFmtId="9" fontId="89" fillId="0" borderId="102" xfId="0" applyNumberFormat="1" applyFont="1" applyBorder="1" applyAlignment="1">
      <alignment horizontal="left" vertical="center"/>
    </xf>
    <xf numFmtId="9" fontId="89" fillId="0" borderId="78" xfId="0" applyNumberFormat="1" applyFont="1" applyBorder="1" applyAlignment="1">
      <alignment horizontal="left" vertical="center"/>
    </xf>
    <xf numFmtId="0" fontId="60" fillId="46" borderId="49" xfId="2" applyFont="1" applyFill="1" applyBorder="1" applyAlignment="1">
      <alignment horizontal="left" vertical="center" wrapText="1"/>
    </xf>
    <xf numFmtId="0" fontId="163" fillId="36" borderId="74" xfId="5" applyFont="1" applyFill="1" applyBorder="1" applyAlignment="1">
      <alignment horizontal="center" vertical="center" textRotation="90"/>
    </xf>
    <xf numFmtId="0" fontId="112" fillId="0" borderId="66" xfId="11" applyFont="1" applyFill="1" applyBorder="1" applyAlignment="1">
      <alignment horizontal="left" vertical="center"/>
    </xf>
    <xf numFmtId="0" fontId="112" fillId="0" borderId="28" xfId="11" applyFont="1" applyFill="1" applyBorder="1" applyAlignment="1">
      <alignment horizontal="left" vertical="center"/>
    </xf>
    <xf numFmtId="0" fontId="117" fillId="0" borderId="73" xfId="0" applyFont="1" applyBorder="1" applyAlignment="1">
      <alignment horizontal="center" vertical="center"/>
    </xf>
    <xf numFmtId="0" fontId="117" fillId="0" borderId="8" xfId="0" applyFont="1" applyBorder="1" applyAlignment="1">
      <alignment horizontal="center" vertical="center"/>
    </xf>
    <xf numFmtId="0" fontId="117" fillId="0" borderId="55" xfId="0" applyFont="1" applyBorder="1" applyAlignment="1">
      <alignment horizontal="center" vertical="center"/>
    </xf>
    <xf numFmtId="0" fontId="117" fillId="0" borderId="79" xfId="0" applyFont="1" applyBorder="1" applyAlignment="1">
      <alignment horizontal="center" vertical="center"/>
    </xf>
    <xf numFmtId="0" fontId="117" fillId="0" borderId="80" xfId="0" applyFont="1" applyBorder="1" applyAlignment="1">
      <alignment horizontal="center" vertical="center"/>
    </xf>
    <xf numFmtId="0" fontId="62" fillId="49" borderId="85" xfId="0" applyFont="1" applyFill="1" applyBorder="1" applyAlignment="1">
      <alignment horizontal="left" vertical="center" textRotation="90"/>
    </xf>
    <xf numFmtId="0" fontId="62" fillId="49" borderId="74" xfId="0" applyFont="1" applyFill="1" applyBorder="1" applyAlignment="1">
      <alignment horizontal="left" vertical="center" textRotation="90"/>
    </xf>
    <xf numFmtId="0" fontId="62" fillId="49" borderId="87" xfId="0" applyFont="1" applyFill="1" applyBorder="1" applyAlignment="1">
      <alignment horizontal="left" vertical="center" textRotation="90"/>
    </xf>
    <xf numFmtId="0" fontId="118" fillId="0" borderId="80" xfId="0" applyFont="1" applyBorder="1" applyAlignment="1">
      <alignment horizontal="left" vertical="center"/>
    </xf>
    <xf numFmtId="0" fontId="118" fillId="0" borderId="0" xfId="0" applyFont="1" applyBorder="1" applyAlignment="1">
      <alignment horizontal="left" vertical="center"/>
    </xf>
    <xf numFmtId="0" fontId="125" fillId="0" borderId="71" xfId="0" applyFont="1" applyBorder="1" applyAlignment="1">
      <alignment horizontal="left" vertical="center"/>
    </xf>
    <xf numFmtId="0" fontId="125" fillId="0" borderId="74" xfId="0" applyFont="1" applyBorder="1" applyAlignment="1">
      <alignment horizontal="left" vertical="center"/>
    </xf>
    <xf numFmtId="0" fontId="125" fillId="0" borderId="87" xfId="0" applyFont="1" applyBorder="1" applyAlignment="1">
      <alignment horizontal="left" vertical="center"/>
    </xf>
    <xf numFmtId="0" fontId="66" fillId="6" borderId="80" xfId="6" applyFont="1" applyBorder="1" applyAlignment="1">
      <alignment horizontal="left" vertical="center"/>
    </xf>
    <xf numFmtId="0" fontId="66" fillId="6" borderId="0" xfId="6" applyFont="1" applyBorder="1" applyAlignment="1">
      <alignment horizontal="left" vertical="center"/>
    </xf>
    <xf numFmtId="0" fontId="66" fillId="6" borderId="80" xfId="6" applyNumberFormat="1" applyFont="1" applyBorder="1" applyAlignment="1">
      <alignment horizontal="left" vertical="center"/>
    </xf>
    <xf numFmtId="0" fontId="66" fillId="6" borderId="49" xfId="6" applyNumberFormat="1" applyFont="1" applyBorder="1" applyAlignment="1">
      <alignment horizontal="left" vertical="center"/>
    </xf>
    <xf numFmtId="0" fontId="66" fillId="6" borderId="81" xfId="6" applyNumberFormat="1" applyFont="1" applyBorder="1" applyAlignment="1">
      <alignment horizontal="left" vertical="center"/>
    </xf>
    <xf numFmtId="0" fontId="66" fillId="6" borderId="84" xfId="6" applyNumberFormat="1" applyFont="1" applyBorder="1" applyAlignment="1">
      <alignment horizontal="left" vertical="center"/>
    </xf>
    <xf numFmtId="0" fontId="120" fillId="3" borderId="79" xfId="2" applyFont="1" applyBorder="1" applyAlignment="1">
      <alignment horizontal="left" vertical="center" wrapText="1"/>
    </xf>
    <xf numFmtId="0" fontId="120" fillId="3" borderId="81" xfId="2" applyFont="1" applyBorder="1" applyAlignment="1">
      <alignment horizontal="left" vertical="center" wrapText="1"/>
    </xf>
    <xf numFmtId="0" fontId="66" fillId="6" borderId="85" xfId="6" applyFont="1" applyBorder="1" applyAlignment="1">
      <alignment horizontal="left" vertical="center" textRotation="90" wrapText="1"/>
    </xf>
    <xf numFmtId="0" fontId="66" fillId="6" borderId="74" xfId="6" applyFont="1" applyBorder="1" applyAlignment="1">
      <alignment horizontal="left" vertical="center" textRotation="90" wrapText="1"/>
    </xf>
    <xf numFmtId="0" fontId="66" fillId="6" borderId="87" xfId="6" applyFont="1" applyBorder="1" applyAlignment="1">
      <alignment horizontal="left" vertical="center" textRotation="90" wrapText="1"/>
    </xf>
    <xf numFmtId="0" fontId="118" fillId="0" borderId="71" xfId="0" applyFont="1" applyBorder="1" applyAlignment="1">
      <alignment horizontal="left" vertical="center"/>
    </xf>
    <xf numFmtId="0" fontId="118" fillId="0" borderId="74" xfId="0" applyFont="1" applyBorder="1" applyAlignment="1">
      <alignment horizontal="left" vertical="center"/>
    </xf>
    <xf numFmtId="0" fontId="118" fillId="0" borderId="76" xfId="0" applyFont="1" applyBorder="1" applyAlignment="1">
      <alignment horizontal="left" vertical="center"/>
    </xf>
    <xf numFmtId="0" fontId="120" fillId="47" borderId="99" xfId="0" applyFont="1" applyFill="1" applyBorder="1" applyAlignment="1">
      <alignment horizontal="left" vertical="center"/>
    </xf>
    <xf numFmtId="0" fontId="120" fillId="47" borderId="101" xfId="0" applyFont="1" applyFill="1" applyBorder="1" applyAlignment="1">
      <alignment horizontal="left" vertical="center"/>
    </xf>
    <xf numFmtId="0" fontId="66" fillId="6" borderId="77" xfId="6" applyFont="1" applyBorder="1" applyAlignment="1">
      <alignment horizontal="left" vertical="center" textRotation="90" wrapText="1"/>
    </xf>
    <xf numFmtId="0" fontId="121" fillId="0" borderId="71" xfId="0" applyFont="1" applyBorder="1" applyAlignment="1">
      <alignment horizontal="left" vertical="center"/>
    </xf>
    <xf numFmtId="0" fontId="121" fillId="0" borderId="76" xfId="0" applyFont="1" applyBorder="1" applyAlignment="1">
      <alignment horizontal="left" vertical="center"/>
    </xf>
    <xf numFmtId="0" fontId="120" fillId="3" borderId="73" xfId="2" applyFont="1" applyBorder="1" applyAlignment="1">
      <alignment horizontal="left" vertical="center" wrapText="1"/>
    </xf>
    <xf numFmtId="0" fontId="120" fillId="3" borderId="55" xfId="2" applyFont="1" applyBorder="1" applyAlignment="1">
      <alignment horizontal="left" vertical="center" wrapText="1"/>
    </xf>
    <xf numFmtId="0" fontId="121" fillId="0" borderId="85" xfId="0" applyFont="1" applyBorder="1" applyAlignment="1">
      <alignment horizontal="left" vertical="center"/>
    </xf>
    <xf numFmtId="0" fontId="121" fillId="0" borderId="74" xfId="0" applyFont="1" applyBorder="1" applyAlignment="1">
      <alignment horizontal="left" vertical="center"/>
    </xf>
    <xf numFmtId="0" fontId="117" fillId="49" borderId="74" xfId="0" applyFont="1" applyFill="1" applyBorder="1" applyAlignment="1">
      <alignment horizontal="left" vertical="center" textRotation="90"/>
    </xf>
    <xf numFmtId="0" fontId="112" fillId="0" borderId="73" xfId="0" applyFont="1" applyBorder="1" applyAlignment="1">
      <alignment horizontal="left" vertical="center"/>
    </xf>
    <xf numFmtId="0" fontId="112" fillId="0" borderId="8" xfId="0" applyFont="1" applyBorder="1" applyAlignment="1">
      <alignment horizontal="left" vertical="center"/>
    </xf>
    <xf numFmtId="0" fontId="112" fillId="0" borderId="55" xfId="0" applyFont="1" applyBorder="1" applyAlignment="1">
      <alignment horizontal="left" vertical="center"/>
    </xf>
    <xf numFmtId="0" fontId="117" fillId="0" borderId="81" xfId="0" applyFont="1" applyBorder="1" applyAlignment="1">
      <alignment horizontal="center" vertical="center"/>
    </xf>
    <xf numFmtId="0" fontId="66" fillId="6" borderId="71" xfId="6" applyFont="1" applyBorder="1" applyAlignment="1">
      <alignment horizontal="left" vertical="center" textRotation="90" wrapText="1"/>
    </xf>
    <xf numFmtId="0" fontId="121" fillId="0" borderId="74" xfId="0" applyFont="1" applyBorder="1" applyAlignment="1">
      <alignment horizontal="left" vertical="center" wrapText="1"/>
    </xf>
    <xf numFmtId="0" fontId="121" fillId="0" borderId="76" xfId="0" applyFont="1" applyBorder="1" applyAlignment="1">
      <alignment horizontal="left" vertical="center" wrapText="1"/>
    </xf>
    <xf numFmtId="0" fontId="121" fillId="0" borderId="71" xfId="0" applyFont="1" applyBorder="1" applyAlignment="1">
      <alignment horizontal="left" vertical="center" wrapText="1"/>
    </xf>
    <xf numFmtId="0" fontId="121" fillId="0" borderId="87" xfId="0" applyFont="1" applyBorder="1" applyAlignment="1">
      <alignment horizontal="left" vertical="center" wrapText="1"/>
    </xf>
    <xf numFmtId="0" fontId="66" fillId="6" borderId="79" xfId="6" applyFont="1" applyBorder="1" applyAlignment="1">
      <alignment horizontal="left" vertical="center" textRotation="90" wrapText="1"/>
    </xf>
    <xf numFmtId="0" fontId="66" fillId="6" borderId="78" xfId="6" applyFont="1" applyBorder="1" applyAlignment="1">
      <alignment horizontal="left" vertical="center" textRotation="90" wrapText="1"/>
    </xf>
    <xf numFmtId="0" fontId="66" fillId="6" borderId="83" xfId="6" applyFont="1" applyBorder="1" applyAlignment="1">
      <alignment horizontal="left" vertical="center" textRotation="90" wrapText="1"/>
    </xf>
    <xf numFmtId="0" fontId="117" fillId="49" borderId="85" xfId="0" applyFont="1" applyFill="1" applyBorder="1" applyAlignment="1">
      <alignment horizontal="left" vertical="center" textRotation="90"/>
    </xf>
    <xf numFmtId="0" fontId="117" fillId="49" borderId="87" xfId="0" applyFont="1" applyFill="1" applyBorder="1" applyAlignment="1">
      <alignment horizontal="left" vertical="center" textRotation="90"/>
    </xf>
    <xf numFmtId="0" fontId="66" fillId="6" borderId="28" xfId="6" applyFont="1" applyBorder="1" applyAlignment="1">
      <alignment horizontal="left" vertical="center" textRotation="90"/>
    </xf>
    <xf numFmtId="0" fontId="66" fillId="6" borderId="31" xfId="6" applyFont="1" applyBorder="1" applyAlignment="1">
      <alignment horizontal="left" vertical="center" textRotation="90"/>
    </xf>
    <xf numFmtId="0" fontId="66" fillId="6" borderId="33" xfId="6" applyFont="1" applyBorder="1" applyAlignment="1">
      <alignment horizontal="left" vertical="center" textRotation="90"/>
    </xf>
    <xf numFmtId="0" fontId="117" fillId="0" borderId="83" xfId="0" applyFont="1" applyBorder="1" applyAlignment="1">
      <alignment horizontal="center" vertical="center"/>
    </xf>
    <xf numFmtId="0" fontId="117" fillId="0" borderId="49" xfId="0" applyFont="1" applyBorder="1" applyAlignment="1">
      <alignment horizontal="center" vertical="center"/>
    </xf>
    <xf numFmtId="0" fontId="66" fillId="6" borderId="85" xfId="6" applyFont="1" applyBorder="1" applyAlignment="1">
      <alignment horizontal="left" vertical="center" textRotation="90"/>
    </xf>
    <xf numFmtId="0" fontId="66" fillId="6" borderId="74" xfId="6" applyFont="1" applyBorder="1" applyAlignment="1">
      <alignment horizontal="left" vertical="center" textRotation="90"/>
    </xf>
    <xf numFmtId="0" fontId="66" fillId="6" borderId="87" xfId="6" applyFont="1" applyBorder="1" applyAlignment="1">
      <alignment horizontal="left" vertical="center" textRotation="90"/>
    </xf>
    <xf numFmtId="0" fontId="66" fillId="46" borderId="79" xfId="2" applyFont="1" applyFill="1" applyBorder="1" applyAlignment="1">
      <alignment horizontal="left" vertical="center" wrapText="1"/>
    </xf>
    <xf numFmtId="0" fontId="66" fillId="46" borderId="83" xfId="2" applyFont="1" applyFill="1" applyBorder="1" applyAlignment="1">
      <alignment horizontal="left" vertical="center" wrapText="1"/>
    </xf>
    <xf numFmtId="0" fontId="66" fillId="48" borderId="85" xfId="6" applyFont="1" applyFill="1" applyBorder="1" applyAlignment="1">
      <alignment horizontal="left" vertical="center" textRotation="90"/>
    </xf>
    <xf numFmtId="0" fontId="66" fillId="48" borderId="74" xfId="6" applyFont="1" applyFill="1" applyBorder="1" applyAlignment="1">
      <alignment horizontal="left" vertical="center" textRotation="90"/>
    </xf>
    <xf numFmtId="0" fontId="66" fillId="48" borderId="87" xfId="6" applyFont="1" applyFill="1" applyBorder="1" applyAlignment="1">
      <alignment horizontal="left" vertical="center" textRotation="90"/>
    </xf>
    <xf numFmtId="0" fontId="78" fillId="35" borderId="112" xfId="0" applyFont="1" applyFill="1" applyBorder="1" applyAlignment="1">
      <alignment horizontal="center" vertical="center" wrapText="1"/>
    </xf>
    <xf numFmtId="0" fontId="78" fillId="35" borderId="113" xfId="0" applyFont="1" applyFill="1" applyBorder="1" applyAlignment="1">
      <alignment horizontal="center" vertical="center" wrapText="1"/>
    </xf>
    <xf numFmtId="0" fontId="78" fillId="35" borderId="114" xfId="0" applyFont="1" applyFill="1" applyBorder="1" applyAlignment="1">
      <alignment horizontal="center" vertical="center" wrapText="1"/>
    </xf>
    <xf numFmtId="0" fontId="78" fillId="35" borderId="119" xfId="0" applyFont="1" applyFill="1" applyBorder="1" applyAlignment="1">
      <alignment horizontal="center" vertical="center" wrapText="1"/>
    </xf>
    <xf numFmtId="0" fontId="39" fillId="0" borderId="73"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5" xfId="0" applyFont="1" applyBorder="1" applyAlignment="1">
      <alignment horizontal="center" vertical="center" wrapText="1"/>
    </xf>
    <xf numFmtId="0" fontId="78" fillId="35" borderId="109" xfId="0" applyFont="1" applyFill="1" applyBorder="1" applyAlignment="1">
      <alignment horizontal="left" vertical="center" wrapText="1"/>
    </xf>
    <xf numFmtId="0" fontId="78" fillId="35" borderId="110" xfId="0" applyFont="1" applyFill="1" applyBorder="1" applyAlignment="1">
      <alignment horizontal="left" vertical="center" wrapText="1"/>
    </xf>
    <xf numFmtId="0" fontId="78" fillId="35" borderId="115" xfId="0" applyFont="1" applyFill="1" applyBorder="1" applyAlignment="1">
      <alignment horizontal="left" vertical="center" wrapText="1"/>
    </xf>
    <xf numFmtId="0" fontId="78" fillId="35" borderId="116" xfId="0" applyFont="1" applyFill="1" applyBorder="1" applyAlignment="1">
      <alignment horizontal="left" vertical="center" wrapText="1"/>
    </xf>
    <xf numFmtId="0" fontId="78" fillId="35" borderId="111" xfId="0" applyFont="1" applyFill="1" applyBorder="1" applyAlignment="1">
      <alignment horizontal="left" vertical="center" wrapText="1"/>
    </xf>
    <xf numFmtId="0" fontId="78" fillId="35" borderId="117" xfId="0" applyFont="1" applyFill="1" applyBorder="1" applyAlignment="1">
      <alignment horizontal="left" vertical="center" wrapText="1"/>
    </xf>
    <xf numFmtId="0" fontId="139" fillId="0" borderId="120" xfId="0" applyFont="1" applyFill="1" applyBorder="1" applyAlignment="1">
      <alignment horizontal="left" vertical="center"/>
    </xf>
    <xf numFmtId="0" fontId="139" fillId="0" borderId="123" xfId="0" applyFont="1" applyFill="1" applyBorder="1" applyAlignment="1">
      <alignment horizontal="left" vertical="center"/>
    </xf>
    <xf numFmtId="0" fontId="139" fillId="0" borderId="115" xfId="0" applyFont="1" applyFill="1" applyBorder="1" applyAlignment="1">
      <alignment horizontal="left" vertical="center"/>
    </xf>
    <xf numFmtId="0" fontId="78" fillId="0" borderId="121" xfId="0" applyFont="1" applyFill="1" applyBorder="1" applyAlignment="1">
      <alignment horizontal="left" vertical="center" wrapText="1"/>
    </xf>
    <xf numFmtId="0" fontId="78" fillId="0" borderId="124" xfId="0" applyFont="1" applyFill="1" applyBorder="1" applyAlignment="1">
      <alignment horizontal="left" vertical="center" wrapText="1"/>
    </xf>
    <xf numFmtId="0" fontId="78" fillId="0" borderId="116" xfId="0" applyFont="1" applyFill="1" applyBorder="1" applyAlignment="1">
      <alignment horizontal="left" vertical="center" wrapText="1"/>
    </xf>
    <xf numFmtId="0" fontId="80" fillId="0" borderId="110" xfId="0" applyFont="1" applyFill="1" applyBorder="1" applyAlignment="1">
      <alignment horizontal="left" vertical="center" wrapText="1"/>
    </xf>
    <xf numFmtId="0" fontId="80" fillId="0" borderId="125" xfId="0" applyFont="1" applyFill="1" applyBorder="1" applyAlignment="1">
      <alignment horizontal="left" vertical="center" wrapText="1"/>
    </xf>
    <xf numFmtId="0" fontId="76" fillId="0" borderId="111" xfId="0" applyFont="1" applyFill="1" applyBorder="1" applyAlignment="1">
      <alignment horizontal="left" vertical="center" wrapText="1"/>
    </xf>
    <xf numFmtId="0" fontId="76" fillId="0" borderId="126" xfId="0" applyFont="1" applyFill="1" applyBorder="1" applyAlignment="1">
      <alignment horizontal="left" vertical="center" wrapText="1"/>
    </xf>
    <xf numFmtId="0" fontId="76" fillId="0" borderId="122" xfId="0" applyFont="1" applyFill="1" applyBorder="1" applyAlignment="1">
      <alignment horizontal="center" vertical="center" wrapText="1"/>
    </xf>
    <xf numFmtId="0" fontId="76" fillId="0" borderId="128" xfId="0" applyFont="1" applyFill="1" applyBorder="1" applyAlignment="1">
      <alignment horizontal="center" vertical="center" wrapText="1"/>
    </xf>
    <xf numFmtId="0" fontId="80" fillId="0" borderId="130" xfId="0" applyFont="1" applyFill="1" applyBorder="1" applyAlignment="1">
      <alignment horizontal="left" vertical="center" wrapText="1"/>
    </xf>
    <xf numFmtId="0" fontId="76" fillId="0" borderId="133" xfId="0" applyFont="1" applyFill="1" applyBorder="1" applyAlignment="1">
      <alignment horizontal="left" vertical="center" wrapText="1"/>
    </xf>
    <xf numFmtId="0" fontId="76" fillId="0" borderId="128" xfId="0" applyFont="1" applyFill="1" applyBorder="1" applyAlignment="1">
      <alignment horizontal="left" vertical="center" wrapText="1"/>
    </xf>
    <xf numFmtId="0" fontId="76" fillId="0" borderId="133" xfId="0" applyFont="1" applyFill="1" applyBorder="1" applyAlignment="1">
      <alignment horizontal="center" vertical="center" wrapText="1"/>
    </xf>
    <xf numFmtId="0" fontId="78" fillId="35" borderId="129" xfId="0" applyFont="1" applyFill="1" applyBorder="1" applyAlignment="1">
      <alignment horizontal="center" vertical="center" wrapText="1"/>
    </xf>
    <xf numFmtId="0" fontId="76" fillId="0" borderId="131" xfId="0" applyFont="1" applyFill="1" applyBorder="1" applyAlignment="1">
      <alignment horizontal="left" vertical="center" wrapText="1"/>
    </xf>
    <xf numFmtId="0" fontId="78" fillId="35" borderId="134" xfId="0" applyFont="1" applyFill="1" applyBorder="1" applyAlignment="1">
      <alignment horizontal="center" vertical="center" wrapText="1"/>
    </xf>
    <xf numFmtId="0" fontId="76" fillId="0" borderId="122" xfId="0" applyFont="1" applyFill="1" applyBorder="1" applyAlignment="1">
      <alignment horizontal="left" vertical="center" wrapText="1"/>
    </xf>
    <xf numFmtId="0" fontId="78" fillId="35" borderId="114" xfId="0" applyFont="1" applyFill="1" applyBorder="1" applyAlignment="1">
      <alignment horizontal="left" vertical="center" wrapText="1"/>
    </xf>
    <xf numFmtId="0" fontId="78" fillId="35" borderId="129" xfId="0" applyFont="1" applyFill="1" applyBorder="1" applyAlignment="1">
      <alignment horizontal="left" vertical="center" wrapText="1"/>
    </xf>
    <xf numFmtId="0" fontId="78" fillId="35" borderId="134" xfId="0" applyFont="1" applyFill="1" applyBorder="1" applyAlignment="1">
      <alignment horizontal="left" vertical="center" wrapText="1"/>
    </xf>
    <xf numFmtId="0" fontId="80" fillId="0" borderId="145" xfId="0" applyFont="1" applyFill="1" applyBorder="1" applyAlignment="1">
      <alignment horizontal="left" vertical="center" wrapText="1"/>
    </xf>
    <xf numFmtId="0" fontId="80" fillId="0" borderId="148" xfId="0" applyFont="1" applyFill="1" applyBorder="1" applyAlignment="1">
      <alignment horizontal="left" vertical="center" wrapText="1"/>
    </xf>
    <xf numFmtId="0" fontId="108" fillId="15" borderId="80" xfId="0" applyFont="1" applyFill="1" applyBorder="1" applyAlignment="1">
      <alignment vertical="top" wrapText="1"/>
    </xf>
    <xf numFmtId="0" fontId="108" fillId="15" borderId="49" xfId="0" applyFont="1" applyFill="1" applyBorder="1" applyAlignment="1">
      <alignment vertical="top" wrapText="1"/>
    </xf>
    <xf numFmtId="0" fontId="108" fillId="15" borderId="81" xfId="0" applyFont="1" applyFill="1" applyBorder="1" applyAlignment="1">
      <alignment horizontal="center" vertical="top" wrapText="1"/>
    </xf>
    <xf numFmtId="0" fontId="108" fillId="15" borderId="84" xfId="0" applyFont="1" applyFill="1" applyBorder="1" applyAlignment="1">
      <alignment horizontal="center" vertical="top" wrapText="1"/>
    </xf>
    <xf numFmtId="0" fontId="108" fillId="15" borderId="79" xfId="0" applyFont="1" applyFill="1" applyBorder="1" applyAlignment="1">
      <alignment vertical="top"/>
    </xf>
    <xf numFmtId="0" fontId="108" fillId="15" borderId="83" xfId="0" applyFont="1" applyFill="1" applyBorder="1" applyAlignment="1">
      <alignment vertical="top"/>
    </xf>
    <xf numFmtId="0" fontId="108" fillId="15" borderId="80" xfId="0" applyFont="1" applyFill="1" applyBorder="1" applyAlignment="1">
      <alignment vertical="top"/>
    </xf>
    <xf numFmtId="0" fontId="108" fillId="15" borderId="49" xfId="0" applyFont="1" applyFill="1" applyBorder="1" applyAlignment="1">
      <alignment vertical="top"/>
    </xf>
    <xf numFmtId="0" fontId="80" fillId="0" borderId="13" xfId="0" applyFont="1" applyFill="1" applyBorder="1" applyAlignment="1">
      <alignment horizontal="left" vertical="center" wrapText="1"/>
    </xf>
    <xf numFmtId="0" fontId="80" fillId="0" borderId="107" xfId="0" applyFont="1" applyFill="1" applyBorder="1" applyAlignment="1">
      <alignment horizontal="left" vertical="center" wrapText="1"/>
    </xf>
    <xf numFmtId="0" fontId="80" fillId="0" borderId="27" xfId="0" applyFont="1" applyFill="1" applyBorder="1" applyAlignment="1">
      <alignment horizontal="left" vertical="center" wrapText="1"/>
    </xf>
    <xf numFmtId="0" fontId="80" fillId="0" borderId="4" xfId="0" applyFont="1" applyFill="1" applyBorder="1" applyAlignment="1">
      <alignment horizontal="left" vertical="center" wrapText="1"/>
    </xf>
    <xf numFmtId="0" fontId="80" fillId="0" borderId="2" xfId="0" applyFont="1" applyFill="1" applyBorder="1" applyAlignment="1">
      <alignment horizontal="left" vertical="center" wrapText="1"/>
    </xf>
    <xf numFmtId="0" fontId="76" fillId="0" borderId="149" xfId="0" applyFont="1" applyFill="1" applyBorder="1" applyAlignment="1">
      <alignment horizontal="left" vertical="center" wrapText="1"/>
    </xf>
    <xf numFmtId="0" fontId="78" fillId="0" borderId="151" xfId="0" applyFont="1" applyFill="1" applyBorder="1" applyAlignment="1">
      <alignment horizontal="left" vertical="center" wrapText="1"/>
    </xf>
    <xf numFmtId="0" fontId="78" fillId="0" borderId="152" xfId="0" applyFont="1" applyFill="1" applyBorder="1" applyAlignment="1">
      <alignment horizontal="left" vertical="center" wrapText="1"/>
    </xf>
    <xf numFmtId="0" fontId="78" fillId="0" borderId="156" xfId="0" applyFont="1" applyFill="1" applyBorder="1" applyAlignment="1">
      <alignment horizontal="left" vertical="center" wrapText="1"/>
    </xf>
    <xf numFmtId="0" fontId="80" fillId="0" borderId="63" xfId="0" applyFont="1" applyFill="1" applyBorder="1" applyAlignment="1">
      <alignment horizontal="left" vertical="center" wrapText="1"/>
    </xf>
    <xf numFmtId="0" fontId="80" fillId="0" borderId="69" xfId="0" applyFont="1" applyFill="1" applyBorder="1" applyAlignment="1">
      <alignment horizontal="left" vertical="center" wrapText="1"/>
    </xf>
    <xf numFmtId="0" fontId="76" fillId="0" borderId="150" xfId="0" applyFont="1" applyFill="1" applyBorder="1" applyAlignment="1">
      <alignment horizontal="left" vertical="center" wrapText="1"/>
    </xf>
    <xf numFmtId="0" fontId="76" fillId="0" borderId="153" xfId="0" applyFont="1" applyFill="1" applyBorder="1" applyAlignment="1">
      <alignment horizontal="left" vertical="center" wrapText="1"/>
    </xf>
    <xf numFmtId="0" fontId="78" fillId="35" borderId="150" xfId="0" applyFont="1" applyFill="1" applyBorder="1" applyAlignment="1">
      <alignment horizontal="left" vertical="center" wrapText="1"/>
    </xf>
    <xf numFmtId="0" fontId="78" fillId="35" borderId="118" xfId="0" applyFont="1" applyFill="1" applyBorder="1" applyAlignment="1">
      <alignment horizontal="left" vertical="center" wrapText="1"/>
    </xf>
    <xf numFmtId="0" fontId="80" fillId="0" borderId="66" xfId="0" applyFont="1" applyFill="1" applyBorder="1" applyAlignment="1">
      <alignment horizontal="left" vertical="center" wrapText="1"/>
    </xf>
    <xf numFmtId="0" fontId="76" fillId="0" borderId="154" xfId="0" applyFont="1" applyFill="1" applyBorder="1" applyAlignment="1">
      <alignment horizontal="left" vertical="center" wrapText="1"/>
    </xf>
    <xf numFmtId="0" fontId="80" fillId="0" borderId="64" xfId="0" applyFont="1" applyFill="1" applyBorder="1" applyAlignment="1">
      <alignment horizontal="left" vertical="center" wrapText="1"/>
    </xf>
    <xf numFmtId="0" fontId="76" fillId="0" borderId="140" xfId="0" applyFont="1" applyFill="1" applyBorder="1" applyAlignment="1">
      <alignment horizontal="left" vertical="center" wrapText="1"/>
    </xf>
    <xf numFmtId="0" fontId="78" fillId="35" borderId="141" xfId="0" applyFont="1" applyFill="1" applyBorder="1" applyAlignment="1">
      <alignment horizontal="left" vertical="center" wrapText="1"/>
    </xf>
    <xf numFmtId="0" fontId="174" fillId="0" borderId="157" xfId="0" applyFont="1" applyFill="1" applyBorder="1" applyAlignment="1">
      <alignment horizontal="left" vertical="center"/>
    </xf>
    <xf numFmtId="0" fontId="174" fillId="0" borderId="162" xfId="0" applyFont="1" applyFill="1" applyBorder="1" applyAlignment="1">
      <alignment horizontal="left" vertical="center"/>
    </xf>
    <xf numFmtId="0" fontId="76" fillId="0" borderId="79" xfId="0" applyFont="1" applyFill="1" applyBorder="1" applyAlignment="1">
      <alignment horizontal="left" vertical="center" wrapText="1"/>
    </xf>
    <xf numFmtId="0" fontId="76" fillId="0" borderId="102" xfId="0" applyFont="1" applyFill="1" applyBorder="1" applyAlignment="1">
      <alignment horizontal="left" vertical="center" wrapText="1"/>
    </xf>
    <xf numFmtId="0" fontId="76" fillId="0" borderId="86" xfId="0" applyFont="1" applyFill="1" applyBorder="1" applyAlignment="1">
      <alignment horizontal="left" vertical="center" wrapText="1"/>
    </xf>
    <xf numFmtId="0" fontId="90" fillId="0" borderId="102" xfId="0" applyFont="1" applyBorder="1" applyAlignment="1">
      <alignment horizontal="left" vertical="center"/>
    </xf>
    <xf numFmtId="0" fontId="188" fillId="0" borderId="152" xfId="0" applyFont="1" applyFill="1" applyBorder="1" applyAlignment="1">
      <alignment horizontal="left" vertical="center" wrapText="1"/>
    </xf>
    <xf numFmtId="0" fontId="188" fillId="0" borderId="156" xfId="0" applyFont="1" applyFill="1" applyBorder="1" applyAlignment="1">
      <alignment horizontal="left" vertical="center" wrapText="1"/>
    </xf>
    <xf numFmtId="0" fontId="78" fillId="35" borderId="119" xfId="0" applyFont="1" applyFill="1" applyBorder="1" applyAlignment="1">
      <alignment horizontal="left" vertical="center" wrapText="1"/>
    </xf>
    <xf numFmtId="0" fontId="78" fillId="35" borderId="164" xfId="0" applyFont="1" applyFill="1" applyBorder="1" applyAlignment="1">
      <alignment horizontal="left" vertical="center" wrapText="1"/>
    </xf>
    <xf numFmtId="0" fontId="78" fillId="35" borderId="165" xfId="0" applyFont="1" applyFill="1" applyBorder="1" applyAlignment="1">
      <alignment horizontal="left" vertical="center" wrapText="1"/>
    </xf>
    <xf numFmtId="0" fontId="177" fillId="35" borderId="114" xfId="0" applyFont="1" applyFill="1" applyBorder="1" applyAlignment="1">
      <alignment horizontal="center" vertical="center" wrapText="1"/>
    </xf>
    <xf numFmtId="0" fontId="177" fillId="35" borderId="119" xfId="0" applyFont="1" applyFill="1" applyBorder="1" applyAlignment="1">
      <alignment horizontal="center" vertical="center" wrapText="1"/>
    </xf>
    <xf numFmtId="0" fontId="178" fillId="0" borderId="166" xfId="0" applyFont="1" applyFill="1" applyBorder="1" applyAlignment="1">
      <alignment horizontal="left" vertical="center"/>
    </xf>
    <xf numFmtId="0" fontId="178" fillId="0" borderId="157" xfId="0" applyFont="1" applyFill="1" applyBorder="1" applyAlignment="1">
      <alignment horizontal="left" vertical="center"/>
    </xf>
    <xf numFmtId="0" fontId="178" fillId="0" borderId="162" xfId="0" applyFont="1" applyFill="1" applyBorder="1" applyAlignment="1">
      <alignment horizontal="left" vertical="center"/>
    </xf>
    <xf numFmtId="0" fontId="177" fillId="0" borderId="122" xfId="0" applyFont="1" applyFill="1" applyBorder="1" applyAlignment="1">
      <alignment horizontal="left" vertical="center" wrapText="1"/>
    </xf>
    <xf numFmtId="0" fontId="177" fillId="0" borderId="149" xfId="0" applyFont="1" applyFill="1" applyBorder="1" applyAlignment="1">
      <alignment horizontal="left" vertical="center" wrapText="1"/>
    </xf>
    <xf numFmtId="0" fontId="177" fillId="0" borderId="173" xfId="0" applyFont="1" applyFill="1" applyBorder="1" applyAlignment="1">
      <alignment horizontal="left" vertical="center" wrapText="1"/>
    </xf>
    <xf numFmtId="4" fontId="178" fillId="0" borderId="85" xfId="22" applyNumberFormat="1" applyFont="1" applyFill="1" applyBorder="1" applyAlignment="1">
      <alignment horizontal="left" vertical="center" wrapText="1"/>
    </xf>
    <xf numFmtId="4" fontId="178" fillId="0" borderId="74" xfId="22" applyNumberFormat="1" applyFont="1" applyFill="1" applyBorder="1" applyAlignment="1">
      <alignment horizontal="left" vertical="center" wrapText="1"/>
    </xf>
    <xf numFmtId="4" fontId="178" fillId="0" borderId="76" xfId="22" applyNumberFormat="1" applyFont="1" applyFill="1" applyBorder="1" applyAlignment="1">
      <alignment horizontal="left" vertical="center" wrapText="1"/>
    </xf>
    <xf numFmtId="4" fontId="181" fillId="0" borderId="74" xfId="22" applyNumberFormat="1" applyFont="1" applyFill="1" applyBorder="1" applyAlignment="1">
      <alignment horizontal="left" vertical="center" wrapText="1"/>
    </xf>
    <xf numFmtId="4" fontId="181" fillId="0" borderId="76" xfId="22" applyNumberFormat="1" applyFont="1" applyFill="1" applyBorder="1" applyAlignment="1">
      <alignment horizontal="left" vertical="center" wrapText="1"/>
    </xf>
    <xf numFmtId="0" fontId="177" fillId="35" borderId="109" xfId="0" applyFont="1" applyFill="1" applyBorder="1" applyAlignment="1">
      <alignment horizontal="left" vertical="center" wrapText="1"/>
    </xf>
    <xf numFmtId="0" fontId="177" fillId="35" borderId="111" xfId="0" applyFont="1" applyFill="1" applyBorder="1" applyAlignment="1">
      <alignment horizontal="left" vertical="center" wrapText="1"/>
    </xf>
    <xf numFmtId="0" fontId="177" fillId="35" borderId="115" xfId="0" applyFont="1" applyFill="1" applyBorder="1" applyAlignment="1">
      <alignment horizontal="left" vertical="center" wrapText="1"/>
    </xf>
    <xf numFmtId="0" fontId="177" fillId="35" borderId="117" xfId="0" applyFont="1" applyFill="1" applyBorder="1" applyAlignment="1">
      <alignment horizontal="left" vertical="center" wrapText="1"/>
    </xf>
    <xf numFmtId="0" fontId="177" fillId="35" borderId="114" xfId="0" applyFont="1" applyFill="1" applyBorder="1" applyAlignment="1">
      <alignment horizontal="left" vertical="center" wrapText="1"/>
    </xf>
    <xf numFmtId="0" fontId="177" fillId="35" borderId="119" xfId="0" applyFont="1" applyFill="1" applyBorder="1" applyAlignment="1">
      <alignment horizontal="left" vertical="center" wrapText="1"/>
    </xf>
    <xf numFmtId="0" fontId="177" fillId="35" borderId="164" xfId="0" applyFont="1" applyFill="1" applyBorder="1" applyAlignment="1">
      <alignment horizontal="left" vertical="center" wrapText="1"/>
    </xf>
    <xf numFmtId="0" fontId="177" fillId="35" borderId="165" xfId="0" applyFont="1" applyFill="1" applyBorder="1" applyAlignment="1">
      <alignment horizontal="left" vertical="center" wrapText="1"/>
    </xf>
    <xf numFmtId="0" fontId="177" fillId="35" borderId="150" xfId="0" applyFont="1" applyFill="1" applyBorder="1" applyAlignment="1">
      <alignment horizontal="left" vertical="center" wrapText="1"/>
    </xf>
    <xf numFmtId="0" fontId="177" fillId="35" borderId="118" xfId="0" applyFont="1" applyFill="1" applyBorder="1" applyAlignment="1">
      <alignment horizontal="left" vertical="center" wrapText="1"/>
    </xf>
    <xf numFmtId="0" fontId="177" fillId="35" borderId="112" xfId="0" applyFont="1" applyFill="1" applyBorder="1" applyAlignment="1">
      <alignment horizontal="center" vertical="center" wrapText="1"/>
    </xf>
    <xf numFmtId="0" fontId="177" fillId="35" borderId="113" xfId="0" applyFont="1" applyFill="1" applyBorder="1" applyAlignment="1">
      <alignment horizontal="center" vertical="center" wrapText="1"/>
    </xf>
    <xf numFmtId="0" fontId="78" fillId="35" borderId="114" xfId="0" applyFont="1" applyFill="1" applyBorder="1" applyAlignment="1">
      <alignment vertical="center" wrapText="1"/>
    </xf>
    <xf numFmtId="0" fontId="78" fillId="35" borderId="119" xfId="0" applyFont="1" applyFill="1" applyBorder="1" applyAlignment="1">
      <alignment vertical="center" wrapText="1"/>
    </xf>
    <xf numFmtId="0" fontId="78" fillId="35" borderId="129" xfId="0" applyFont="1" applyFill="1" applyBorder="1" applyAlignment="1">
      <alignment vertical="center" wrapText="1"/>
    </xf>
    <xf numFmtId="0" fontId="78" fillId="35" borderId="134" xfId="0" applyFont="1" applyFill="1" applyBorder="1" applyAlignment="1">
      <alignment vertical="center" wrapText="1"/>
    </xf>
    <xf numFmtId="0" fontId="76" fillId="0" borderId="88" xfId="0" applyFont="1" applyFill="1" applyBorder="1" applyAlignment="1">
      <alignment horizontal="left" vertical="center" wrapText="1"/>
    </xf>
    <xf numFmtId="0" fontId="76" fillId="0" borderId="89" xfId="0" applyFont="1" applyFill="1" applyBorder="1" applyAlignment="1">
      <alignment horizontal="left" vertical="center" wrapText="1"/>
    </xf>
    <xf numFmtId="0" fontId="78" fillId="35" borderId="141" xfId="0" applyFont="1" applyFill="1" applyBorder="1" applyAlignment="1">
      <alignment vertical="center" wrapText="1"/>
    </xf>
    <xf numFmtId="0" fontId="90" fillId="0" borderId="86" xfId="0" applyFont="1" applyFill="1" applyBorder="1" applyAlignment="1">
      <alignment horizontal="left" vertical="center" wrapText="1"/>
    </xf>
    <xf numFmtId="0" fontId="90" fillId="0" borderId="102" xfId="0" applyFont="1" applyFill="1" applyBorder="1" applyAlignment="1">
      <alignment horizontal="left" vertical="center" wrapText="1"/>
    </xf>
    <xf numFmtId="0" fontId="90" fillId="0" borderId="79" xfId="0" applyFont="1" applyFill="1" applyBorder="1" applyAlignment="1">
      <alignment horizontal="left" vertical="center" wrapText="1"/>
    </xf>
    <xf numFmtId="0" fontId="77" fillId="49" borderId="80" xfId="0" applyFont="1" applyFill="1" applyBorder="1" applyAlignment="1">
      <alignment horizontal="center" vertical="center" textRotation="90"/>
    </xf>
    <xf numFmtId="0" fontId="77" fillId="49" borderId="0" xfId="0" applyFont="1" applyFill="1" applyBorder="1" applyAlignment="1">
      <alignment horizontal="center" vertical="center" textRotation="90"/>
    </xf>
    <xf numFmtId="0" fontId="174" fillId="0" borderId="166" xfId="0" applyFont="1" applyFill="1" applyBorder="1" applyAlignment="1">
      <alignment horizontal="left" vertical="center"/>
    </xf>
    <xf numFmtId="0" fontId="159" fillId="10" borderId="85" xfId="11" applyFont="1" applyBorder="1" applyAlignment="1">
      <alignment horizontal="center" vertical="center" textRotation="90"/>
    </xf>
    <xf numFmtId="0" fontId="159" fillId="10" borderId="74" xfId="11" applyFont="1" applyBorder="1" applyAlignment="1">
      <alignment horizontal="center" vertical="center" textRotation="90"/>
    </xf>
    <xf numFmtId="0" fontId="159" fillId="10" borderId="87" xfId="11" applyFont="1" applyBorder="1" applyAlignment="1">
      <alignment horizontal="center" vertical="center" textRotation="90"/>
    </xf>
    <xf numFmtId="0" fontId="0" fillId="0" borderId="63" xfId="0" applyBorder="1" applyAlignment="1">
      <alignment horizontal="center" vertical="top" wrapText="1"/>
    </xf>
    <xf numFmtId="0" fontId="0" fillId="0" borderId="69" xfId="0" applyBorder="1" applyAlignment="1">
      <alignment vertical="top" wrapText="1"/>
    </xf>
    <xf numFmtId="0" fontId="59" fillId="3" borderId="5" xfId="2" applyFont="1" applyBorder="1" applyAlignment="1">
      <alignment horizontal="center" vertical="center" textRotation="90"/>
    </xf>
    <xf numFmtId="0" fontId="59" fillId="6" borderId="5" xfId="5" applyFont="1" applyBorder="1" applyAlignment="1">
      <alignment horizontal="center" vertical="center" textRotation="90"/>
    </xf>
    <xf numFmtId="0" fontId="62" fillId="28" borderId="23" xfId="15" applyFont="1" applyBorder="1" applyAlignment="1">
      <alignment horizontal="center" vertical="center" textRotation="90"/>
    </xf>
    <xf numFmtId="0" fontId="62" fillId="28" borderId="0" xfId="15" applyFont="1" applyBorder="1" applyAlignment="1">
      <alignment horizontal="center" vertical="center" textRotation="90"/>
    </xf>
    <xf numFmtId="0" fontId="0" fillId="0" borderId="0" xfId="0"/>
    <xf numFmtId="0" fontId="64" fillId="15" borderId="5" xfId="0" applyFont="1" applyFill="1" applyBorder="1" applyAlignment="1">
      <alignment horizontal="left"/>
    </xf>
    <xf numFmtId="0" fontId="94" fillId="0" borderId="5" xfId="0" applyFont="1" applyBorder="1" applyAlignment="1">
      <alignment horizontal="left" vertical="top" wrapText="1"/>
    </xf>
    <xf numFmtId="0" fontId="103" fillId="0" borderId="31" xfId="0" applyFont="1" applyBorder="1" applyAlignment="1">
      <alignment vertical="center" wrapText="1"/>
    </xf>
    <xf numFmtId="0" fontId="0" fillId="0" borderId="52" xfId="0" applyBorder="1" applyAlignment="1">
      <alignment horizontal="center" vertical="center"/>
    </xf>
    <xf numFmtId="165" fontId="0" fillId="0" borderId="52" xfId="0" applyNumberFormat="1" applyBorder="1" applyAlignment="1">
      <alignment horizontal="center" vertical="center"/>
    </xf>
    <xf numFmtId="0" fontId="103" fillId="0" borderId="66" xfId="0" applyFont="1" applyBorder="1" applyAlignment="1">
      <alignment horizontal="center" vertical="center" wrapText="1"/>
    </xf>
    <xf numFmtId="0" fontId="103" fillId="0" borderId="72" xfId="0" applyFont="1" applyBorder="1" applyAlignment="1">
      <alignment horizontal="center" vertical="center" wrapText="1"/>
    </xf>
    <xf numFmtId="165" fontId="0" fillId="0" borderId="78" xfId="0" applyNumberFormat="1" applyBorder="1" applyAlignment="1">
      <alignment horizontal="center"/>
    </xf>
    <xf numFmtId="0" fontId="0" fillId="0" borderId="78" xfId="0" applyBorder="1" applyAlignment="1">
      <alignment horizontal="center"/>
    </xf>
    <xf numFmtId="0" fontId="49" fillId="0" borderId="2" xfId="0" applyFont="1" applyBorder="1" applyAlignment="1">
      <alignment horizontal="center"/>
    </xf>
    <xf numFmtId="0" fontId="49" fillId="0" borderId="4" xfId="0" applyFont="1" applyBorder="1" applyAlignment="1">
      <alignment horizontal="center"/>
    </xf>
    <xf numFmtId="0" fontId="46" fillId="27" borderId="5" xfId="0" applyFont="1" applyFill="1" applyBorder="1" applyAlignment="1">
      <alignment horizontal="left"/>
    </xf>
    <xf numFmtId="0" fontId="46" fillId="27" borderId="12" xfId="0" applyFont="1" applyFill="1" applyBorder="1" applyAlignment="1">
      <alignment horizontal="left"/>
    </xf>
    <xf numFmtId="0" fontId="46" fillId="27" borderId="14" xfId="0" applyFont="1" applyFill="1" applyBorder="1" applyAlignment="1">
      <alignment horizontal="left"/>
    </xf>
    <xf numFmtId="0" fontId="46" fillId="27" borderId="15" xfId="0" applyFont="1" applyFill="1" applyBorder="1" applyAlignment="1">
      <alignment horizontal="left"/>
    </xf>
    <xf numFmtId="0" fontId="46" fillId="27" borderId="53" xfId="0" applyFont="1" applyFill="1" applyBorder="1" applyAlignment="1">
      <alignment horizontal="left"/>
    </xf>
    <xf numFmtId="0" fontId="46" fillId="27" borderId="49" xfId="0" applyFont="1" applyFill="1" applyBorder="1" applyAlignment="1">
      <alignment horizontal="left"/>
    </xf>
    <xf numFmtId="0" fontId="46" fillId="27" borderId="17" xfId="0" applyFont="1" applyFill="1" applyBorder="1" applyAlignment="1">
      <alignment horizontal="left"/>
    </xf>
    <xf numFmtId="0" fontId="46" fillId="27" borderId="0" xfId="0" applyFont="1" applyFill="1" applyBorder="1" applyAlignment="1">
      <alignment horizontal="left"/>
    </xf>
    <xf numFmtId="0" fontId="46" fillId="27" borderId="12" xfId="0" applyFont="1" applyFill="1" applyBorder="1" applyAlignment="1">
      <alignment horizontal="left" wrapText="1"/>
    </xf>
    <xf numFmtId="0" fontId="46" fillId="27" borderId="14" xfId="0" applyFont="1" applyFill="1" applyBorder="1" applyAlignment="1">
      <alignment horizontal="left" wrapText="1"/>
    </xf>
    <xf numFmtId="0" fontId="46" fillId="27" borderId="15" xfId="0" applyFont="1" applyFill="1" applyBorder="1" applyAlignment="1">
      <alignment horizontal="left" wrapText="1"/>
    </xf>
    <xf numFmtId="0" fontId="73" fillId="0" borderId="5" xfId="0" applyFont="1" applyBorder="1" applyAlignment="1">
      <alignment horizontal="left" vertical="top" wrapText="1"/>
    </xf>
    <xf numFmtId="0" fontId="0" fillId="0" borderId="5" xfId="0" applyBorder="1" applyAlignment="1">
      <alignment horizontal="left"/>
    </xf>
    <xf numFmtId="0" fontId="46" fillId="27" borderId="2" xfId="0" applyFont="1" applyFill="1" applyBorder="1" applyAlignment="1">
      <alignment horizontal="center" wrapText="1"/>
    </xf>
    <xf numFmtId="0" fontId="46" fillId="27" borderId="4" xfId="0" applyFont="1" applyFill="1" applyBorder="1" applyAlignment="1">
      <alignment horizontal="center" wrapText="1"/>
    </xf>
    <xf numFmtId="0" fontId="66" fillId="13" borderId="12" xfId="18" applyFont="1" applyFill="1" applyBorder="1" applyAlignment="1"/>
    <xf numFmtId="0" fontId="0" fillId="0" borderId="14" xfId="0" applyBorder="1"/>
    <xf numFmtId="0" fontId="0" fillId="0" borderId="15" xfId="0" applyBorder="1"/>
    <xf numFmtId="0" fontId="64" fillId="0" borderId="12" xfId="0" applyFont="1" applyBorder="1" applyAlignment="1">
      <alignment horizontal="right"/>
    </xf>
    <xf numFmtId="0" fontId="64" fillId="0" borderId="14" xfId="0" applyFont="1" applyBorder="1" applyAlignment="1">
      <alignment horizontal="right"/>
    </xf>
    <xf numFmtId="0" fontId="64" fillId="0" borderId="15" xfId="0" applyFont="1" applyBorder="1" applyAlignment="1">
      <alignment horizontal="right"/>
    </xf>
    <xf numFmtId="0" fontId="59" fillId="6" borderId="5" xfId="5" applyFont="1" applyBorder="1" applyAlignment="1">
      <alignment horizontal="left" vertical="center"/>
    </xf>
    <xf numFmtId="0" fontId="59" fillId="6" borderId="5" xfId="6" applyFont="1" applyBorder="1" applyAlignment="1">
      <alignment horizontal="center" vertical="center" textRotation="90"/>
    </xf>
  </cellXfs>
  <cellStyles count="25">
    <cellStyle name="20% - Accent2 2" xfId="2"/>
    <cellStyle name="20% - Accent5 2" xfId="6"/>
    <cellStyle name="20% — акцент1" xfId="1" builtinId="30"/>
    <cellStyle name="20% — акцент3" xfId="3" builtinId="38"/>
    <cellStyle name="20% — акцент4" xfId="4" builtinId="42"/>
    <cellStyle name="20% — акцент5" xfId="5" builtinId="46"/>
    <cellStyle name="40% — акцент1" xfId="16" builtinId="31"/>
    <cellStyle name="40% — акцент3" xfId="18" builtinId="39"/>
    <cellStyle name="40% — акцент5" xfId="19" builtinId="47"/>
    <cellStyle name="60% — акцент5" xfId="20" builtinId="48"/>
    <cellStyle name="Euro" xfId="23"/>
    <cellStyle name="Explanatory Text 2" xfId="10"/>
    <cellStyle name="Normal 10" xfId="22"/>
    <cellStyle name="Normal 2" xfId="12"/>
    <cellStyle name="Normal 3" xfId="13"/>
    <cellStyle name="Normal 6" xfId="24"/>
    <cellStyle name="Акцент1" xfId="7" builtinId="29"/>
    <cellStyle name="Акцент5" xfId="8" builtinId="45"/>
    <cellStyle name="Денежный" xfId="21" builtinId="4"/>
    <cellStyle name="Нейтральный" xfId="15" builtinId="28"/>
    <cellStyle name="Обычный" xfId="0" builtinId="0"/>
    <cellStyle name="Плохой" xfId="9" builtinId="27"/>
    <cellStyle name="Процентный" xfId="14" builtinId="5"/>
    <cellStyle name="Финансовый" xfId="17" builtinId="3"/>
    <cellStyle name="Хороший" xfId="11" builtinId="26"/>
  </cellStyles>
  <dxfs count="9267">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theme="5" tint="0.39994506668294322"/>
        </patternFill>
      </fill>
    </dxf>
    <dxf>
      <fill>
        <patternFill>
          <bgColor theme="9" tint="0.59996337778862885"/>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patternType="solid">
          <fgColor rgb="FF00B050"/>
          <bgColor rgb="FF00B050"/>
        </patternFill>
      </fill>
    </dxf>
    <dxf>
      <fill>
        <patternFill patternType="solid">
          <fgColor rgb="FF92D050"/>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B050"/>
      <rgbColor rgb="00C0C0C0"/>
      <rgbColor rgb="00808080"/>
      <rgbColor rgb="0063AAFE"/>
      <rgbColor rgb="00993366"/>
      <rgbColor rgb="00FFFFCC"/>
      <rgbColor rgb="00CCFFFF"/>
      <rgbColor rgb="004600A5"/>
      <rgbColor rgb="00FEA746"/>
      <rgbColor rgb="000066CC"/>
      <rgbColor rgb="00DDDDDD"/>
      <rgbColor rgb="00000080"/>
      <rgbColor rgb="00FF00FF"/>
      <rgbColor rgb="00FCF305"/>
      <rgbColor rgb="0000FFFF"/>
      <rgbColor rgb="00800080"/>
      <rgbColor rgb="00CC0000"/>
      <rgbColor rgb="00008080"/>
      <rgbColor rgb="000000FF"/>
      <rgbColor rgb="0000ABEA"/>
      <rgbColor rgb="00FFF58C"/>
      <rgbColor rgb="00CCFFCC"/>
      <rgbColor rgb="00FFFF99"/>
      <rgbColor rgb="0099CCFF"/>
      <rgbColor rgb="00FFC7CE"/>
      <rgbColor rgb="00FFCCCC"/>
      <rgbColor rgb="00FFCC99"/>
      <rgbColor rgb="003366FF"/>
      <rgbColor rgb="0033CCCC"/>
      <rgbColor rgb="0092D050"/>
      <rgbColor rgb="00A2BD90"/>
      <rgbColor rgb="00FF9900"/>
      <rgbColor rgb="00FF6600"/>
      <rgbColor rgb="00666699"/>
      <rgbColor rgb="00969696"/>
      <rgbColor rgb="00003366"/>
      <rgbColor rgb="00339966"/>
      <rgbColor rgb="00006411"/>
      <rgbColor rgb="00333300"/>
      <rgbColor rgb="009C6500"/>
      <rgbColor rgb="00993366"/>
      <rgbColor rgb="00333399"/>
      <rgbColor rgb="00333333"/>
      <rgbColor rgb="00003366"/>
      <rgbColor rgb="00339966"/>
      <rgbColor rgb="00003300"/>
      <rgbColor rgb="00333300"/>
      <rgbColor rgb="00993300"/>
      <rgbColor rgb="00993366"/>
      <rgbColor rgb="00333399"/>
      <rgbColor rgb="00333333"/>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19</xdr:col>
      <xdr:colOff>101600</xdr:colOff>
      <xdr:row>126</xdr:row>
      <xdr:rowOff>571500</xdr:rowOff>
    </xdr:to>
    <xdr:sp macro="" textlink="">
      <xdr:nvSpPr>
        <xdr:cNvPr id="25726" name="shapetype_202" hidden="1">
          <a:extLst>
            <a:ext uri="{FF2B5EF4-FFF2-40B4-BE49-F238E27FC236}">
              <a16:creationId xmlns:a16="http://schemas.microsoft.com/office/drawing/2014/main" id="{92FB949D-29E2-614F-AB5A-53BC0584C75D}"/>
            </a:ext>
          </a:extLst>
        </xdr:cNvPr>
        <xdr:cNvSpPr txBox="1">
          <a:spLocks noSelect="1" noChangeArrowheads="1"/>
        </xdr:cNvSpPr>
      </xdr:nvSpPr>
      <xdr:spPr bwMode="auto">
        <a:xfrm>
          <a:off x="0" y="0"/>
          <a:ext cx="20624800" cy="359410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19</xdr:col>
      <xdr:colOff>101600</xdr:colOff>
      <xdr:row>126</xdr:row>
      <xdr:rowOff>571500</xdr:rowOff>
    </xdr:to>
    <xdr:sp macro="" textlink="">
      <xdr:nvSpPr>
        <xdr:cNvPr id="25727" name="shapetype_202" hidden="1">
          <a:extLst>
            <a:ext uri="{FF2B5EF4-FFF2-40B4-BE49-F238E27FC236}">
              <a16:creationId xmlns:a16="http://schemas.microsoft.com/office/drawing/2014/main" id="{2F564021-294F-F94B-BACC-F245EC978C64}"/>
            </a:ext>
          </a:extLst>
        </xdr:cNvPr>
        <xdr:cNvSpPr txBox="1">
          <a:spLocks noSelect="1" noChangeArrowheads="1"/>
        </xdr:cNvSpPr>
      </xdr:nvSpPr>
      <xdr:spPr bwMode="auto">
        <a:xfrm>
          <a:off x="0" y="0"/>
          <a:ext cx="20624800" cy="359410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19</xdr:col>
      <xdr:colOff>101600</xdr:colOff>
      <xdr:row>126</xdr:row>
      <xdr:rowOff>571500</xdr:rowOff>
    </xdr:to>
    <xdr:sp macro="" textlink="">
      <xdr:nvSpPr>
        <xdr:cNvPr id="25728" name="shapetype_202" hidden="1">
          <a:extLst>
            <a:ext uri="{FF2B5EF4-FFF2-40B4-BE49-F238E27FC236}">
              <a16:creationId xmlns:a16="http://schemas.microsoft.com/office/drawing/2014/main" id="{A5A21F95-3199-E04B-AC4B-789E99F57ED4}"/>
            </a:ext>
          </a:extLst>
        </xdr:cNvPr>
        <xdr:cNvSpPr txBox="1">
          <a:spLocks noSelect="1" noChangeArrowheads="1"/>
        </xdr:cNvSpPr>
      </xdr:nvSpPr>
      <xdr:spPr bwMode="auto">
        <a:xfrm>
          <a:off x="0" y="0"/>
          <a:ext cx="20624800" cy="359410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19</xdr:col>
      <xdr:colOff>101600</xdr:colOff>
      <xdr:row>126</xdr:row>
      <xdr:rowOff>571500</xdr:rowOff>
    </xdr:to>
    <xdr:sp macro="" textlink="">
      <xdr:nvSpPr>
        <xdr:cNvPr id="25729" name="shapetype_202" hidden="1">
          <a:extLst>
            <a:ext uri="{FF2B5EF4-FFF2-40B4-BE49-F238E27FC236}">
              <a16:creationId xmlns:a16="http://schemas.microsoft.com/office/drawing/2014/main" id="{39830B2E-4E0D-4749-BBFB-03761FE45FEF}"/>
            </a:ext>
          </a:extLst>
        </xdr:cNvPr>
        <xdr:cNvSpPr txBox="1">
          <a:spLocks noSelect="1" noChangeArrowheads="1"/>
        </xdr:cNvSpPr>
      </xdr:nvSpPr>
      <xdr:spPr bwMode="auto">
        <a:xfrm>
          <a:off x="0" y="0"/>
          <a:ext cx="20624800" cy="359410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19</xdr:col>
      <xdr:colOff>101600</xdr:colOff>
      <xdr:row>126</xdr:row>
      <xdr:rowOff>571500</xdr:rowOff>
    </xdr:to>
    <xdr:sp macro="" textlink="">
      <xdr:nvSpPr>
        <xdr:cNvPr id="25730" name="shapetype_202" hidden="1">
          <a:extLst>
            <a:ext uri="{FF2B5EF4-FFF2-40B4-BE49-F238E27FC236}">
              <a16:creationId xmlns:a16="http://schemas.microsoft.com/office/drawing/2014/main" id="{FF6D9228-F276-864F-91F7-D6D512F403F1}"/>
            </a:ext>
          </a:extLst>
        </xdr:cNvPr>
        <xdr:cNvSpPr txBox="1">
          <a:spLocks noSelect="1" noChangeArrowheads="1"/>
        </xdr:cNvSpPr>
      </xdr:nvSpPr>
      <xdr:spPr bwMode="auto">
        <a:xfrm>
          <a:off x="0" y="0"/>
          <a:ext cx="20624800" cy="359410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19</xdr:col>
      <xdr:colOff>101600</xdr:colOff>
      <xdr:row>126</xdr:row>
      <xdr:rowOff>571500</xdr:rowOff>
    </xdr:to>
    <xdr:sp macro="" textlink="">
      <xdr:nvSpPr>
        <xdr:cNvPr id="25731" name="shapetype_202" hidden="1">
          <a:extLst>
            <a:ext uri="{FF2B5EF4-FFF2-40B4-BE49-F238E27FC236}">
              <a16:creationId xmlns:a16="http://schemas.microsoft.com/office/drawing/2014/main" id="{A27345EE-775A-2F43-A6A6-AD5E4F5E1C3C}"/>
            </a:ext>
          </a:extLst>
        </xdr:cNvPr>
        <xdr:cNvSpPr txBox="1">
          <a:spLocks noSelect="1" noChangeArrowheads="1"/>
        </xdr:cNvSpPr>
      </xdr:nvSpPr>
      <xdr:spPr bwMode="auto">
        <a:xfrm>
          <a:off x="0" y="0"/>
          <a:ext cx="20624800" cy="35941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etlana_Popovici/Downloads/G/C/C/Documents%20and%20Settings/Ingrid/Desktop/Copy%20of%20ASAPHIVAIDSCostingModel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etlana_Popovici/Downloads/G/Users/user-zit/AppData/Roaming/Microsoft/Excel/VP_ver%2007_MDA%20Renewal%20TB%20PCIMU%20Workplan%20and%20Budget_19.01.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vetlana_Popovici/Downloads/G/Users/lilianacaraulan/Desktop/SB_HIV_12Dec_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vetlana_Popovici/Downloads/G/C/C/D/ASAP%20Material/RNM_nasa-sa-ov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vetlana_Popovici/Downloads/G/Documents%20and%20Settings/AMO.GOPA-AMO/Desktop/TKM/PROPOSAL/3.%20Workplan%20and%20Budget/KGZ%20tb_budgeting_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vetlana_Popovici/Downloads/G/Users/lilianacaraulan/Desktop/MDA%20tb%20budgeting%20template%20v3%20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olodymyrkurpita/Library/Containers/com.microsoft.Excel/Data/Documents/C:/Users/CTV_Coordinator/Downloads/FR847-MDA-C_DB_09_06_202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welcome"/>
      <sheetName val="Title"/>
      <sheetName val="Menu"/>
      <sheetName val="Basic Data"/>
      <sheetName val="Targets and Coverage"/>
      <sheetName val="Chart of Accounts"/>
      <sheetName val="Strategic Plan Map"/>
      <sheetName val="Activity Costing"/>
      <sheetName val="Training"/>
      <sheetName val="Financing Gap Analysis"/>
      <sheetName val="Total Cost Summary"/>
      <sheetName val="Reporting"/>
      <sheetName val="Graphs"/>
      <sheetName val="Cost Summary by Priority"/>
      <sheetName val="Cost Summary by Activity"/>
      <sheetName val="Cost Summary by Function"/>
      <sheetName val="Cost Summary by Exp. Type"/>
      <sheetName val="Cost by Govt Classification"/>
      <sheetName val="Financing Gap Report"/>
      <sheetName val="Physical Quantities"/>
      <sheetName val="Unit Costs by Beneficiary"/>
      <sheetName val="Unit Costs Report"/>
      <sheetName val="Global Fund Setup"/>
      <sheetName val="Global Fund Reports"/>
      <sheetName val="Function List"/>
      <sheetName val="CofA Sorted"/>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Costing"/>
      <sheetName val="CofA Sorted"/>
      <sheetName val="Basic Data"/>
      <sheetName val="Financing Gap Analysis"/>
      <sheetName val="Function List"/>
      <sheetName val="Strategic Plan Map"/>
      <sheetName val="Workplan and Budget 2012_2015"/>
      <sheetName val="Workplan and budget Years 1-3"/>
      <sheetName val="PR-PCIMU SSF year 2012"/>
      <sheetName val="PR-PCIMU SSF Grant 2013-15"/>
      <sheetName val="Estimations"/>
      <sheetName val="Estimations 27.01.12"/>
      <sheetName val="Activities"/>
      <sheetName val="Visit_costs"/>
      <sheetName val="Cost of 2nd line drugs"/>
      <sheetName val="PCIMU PM costs 2012"/>
      <sheetName val="PCIMU PM costs 2013_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D4">
            <v>15.31</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Activities"/>
      <sheetName val="Definitions"/>
      <sheetName val="Budget summary GF"/>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plan map"/>
      <sheetName val="basic data"/>
      <sheetName val="Training"/>
      <sheetName val="Title"/>
      <sheetName val="Menu"/>
      <sheetName val="Setup"/>
      <sheetName val="Setupformbu"/>
      <sheetName val="Input costs"/>
      <sheetName val="HIV treatment"/>
      <sheetName val="PMTCT &amp; VCT"/>
      <sheetName val="BB outputs"/>
      <sheetName val="Prevention"/>
      <sheetName val="Care and treatment"/>
      <sheetName val="Mitigation"/>
      <sheetName val="Policy, mgt, etc."/>
      <sheetName val="Advoc"/>
      <sheetName val="AdvocCalc"/>
      <sheetName val="AdvocResults"/>
      <sheetName val="OpRsch"/>
      <sheetName val="ORCalc"/>
      <sheetName val="OpRschResult"/>
      <sheetName val="M&amp;E"/>
      <sheetName val="M&amp;ECalc"/>
      <sheetName val="M&amp;EResult"/>
      <sheetName val="IEC"/>
      <sheetName val="IECCalc"/>
      <sheetName val="IECResult"/>
      <sheetName val="HR"/>
      <sheetName val="HrCalc"/>
      <sheetName val="HrResult"/>
      <sheetName val="Store"/>
      <sheetName val="StoreCalc"/>
      <sheetName val="StoreResult"/>
      <sheetName val="Trans"/>
      <sheetName val="TransCalc"/>
      <sheetName val="TransResult"/>
      <sheetName val="ProgMgmt"/>
      <sheetName val="MgmtCalc"/>
      <sheetName val="ProgMgmtResult"/>
      <sheetName val="TrainCalcu"/>
      <sheetName val="TrainResult"/>
      <sheetName val="Lab"/>
      <sheetName val="LabCalc"/>
      <sheetName val="LabResult"/>
      <sheetName val="Summary"/>
      <sheetName val="Funding chart"/>
      <sheetName val="Prevention Funding Chart"/>
      <sheetName val="Care funding chart"/>
      <sheetName val="Distribution chart"/>
      <sheetName val="Unit costs-reference"/>
      <sheetName val="Coverage targets"/>
      <sheetName val="Key inputs"/>
      <sheetName val="Demography summary"/>
      <sheetName val="Impacts summary"/>
      <sheetName val="Unit costs"/>
      <sheetName val="Default values"/>
      <sheetName val="Socio-demographic data"/>
      <sheetName val="LookupsAdults"/>
      <sheetName val="LookupsChildren"/>
      <sheetName val="Chart data"/>
      <sheetName val="OVC"/>
      <sheetName val="Unit costs-Russian"/>
      <sheetName val="Welcome"/>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put costs"/>
      <sheetName val="_pop"/>
      <sheetName val="Welcome"/>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budget &amp; funding"/>
      <sheetName val="Table CostCategoriesGF"/>
      <sheetName val="Definition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Welcome"/>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costs &amp; funding"/>
      <sheetName val="Table CostCategoriesG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_list"/>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externalLinkPath" Target="/Users/volodymyrkurpita/Documents/2020/03_March/moldova/WP&amp;B%20Moldova%20&#1088;&#1091;&#1089;%2029:05.xlsx" TargetMode="External"/></Relationships>
</file>

<file path=xl/pivotCache/pivotCacheDefinition1.xml><?xml version="1.0" encoding="utf-8"?>
<pivotCacheDefinition xmlns="http://schemas.openxmlformats.org/spreadsheetml/2006/main" xmlns:r="http://schemas.openxmlformats.org/officeDocument/2006/relationships" invalid="1" refreshedBy="vladkurpita@gmail.com" refreshedDate="43968.99479571759" createdVersion="1" refreshedVersion="4" recordCount="179" upgradeOnRefresh="1">
  <cacheSource type="worksheet">
    <worksheetSource ref="E1:W177" sheet="BugetComplet" r:id="rId1"/>
  </cacheSource>
  <cacheFields count="18">
    <cacheField name="Категория" numFmtId="0">
      <sharedItems containsString="0"/>
    </cacheField>
    <cacheField name="№" numFmtId="0">
      <sharedItems containsBlank="1" containsMixedTypes="1" containsNumber="1" minValue="1.1000000000000001" maxValue="1.1000000000000001" count="29">
        <s v="1."/>
        <s v="1.1."/>
        <s v="1.1.1."/>
        <s v="1.1.1.1."/>
        <m/>
        <s v="1.1.1.2."/>
        <s v="1.1.2."/>
        <s v="1.1.2.1."/>
        <s v="1.1.2.2."/>
        <s v="1.1.2.3."/>
        <s v="1.1.2.4"/>
        <s v="1.1.2.5"/>
        <s v="1.1.2.5.1"/>
        <s v="1.1.2.5.2"/>
        <s v="1.1.2.6"/>
        <s v="1.1.2.6.1"/>
        <s v="1.1.2.6.2"/>
        <s v="1.1.2.7"/>
        <s v="1.1.2.7.1"/>
        <s v="1.1.2.7.2"/>
        <s v="1.1.2.7.3"/>
        <s v="1.1.2.7.4"/>
        <s v="1.1.2.7.5"/>
        <s v="1.1.2.7.6"/>
        <s v="1.1.3"/>
        <s v="1.1.3.1"/>
        <s v="1.1.3.2"/>
        <s v="1.1.3.3"/>
        <n v="1.1000000000000001" u="1"/>
      </sharedItems>
    </cacheField>
    <cacheField name="Название" numFmtId="0">
      <sharedItems containsBlank="1" count="26">
        <s v="Активизировать усилия по профилактике ВИЧ в ключевых группах с высоким уровнем риска инфицирования"/>
        <s v="1.1  К 2025 году увеличить охват до 75% комплексным пакетом качественных услуг по профилактике ВИЧ населения с высоким риском инфицирования ВИЧ (ПИН, РКС, МСМ)"/>
        <s v="Предоставление пакета профилактических услуг для МСМ и ТГ"/>
        <s v=" Предоставление основного пакета услуг по снижению вреда для МСМ"/>
        <m/>
        <s v=" Предоставление дополнительного пакета услуг по снижению вреда для МСМ"/>
        <s v="Представление пакета профилактических услуг для ЛУИН"/>
        <s v=" Предоставление основного пакета услуг по снижению вреда"/>
        <s v=" Предоставление дополнительного пакета услуг по снижению вреда"/>
        <s v="Разработка, печать и распространение информационных  материалов о ВИЧ / СПИД / ИППП для потребителей инъекционных наркотиков и их сексуальных партнеров."/>
        <s v="Организация и предоставление / корректировка профилактических услуг с учетом гендерной чувствительности и ориентации"/>
        <s v="Предоставлние профилактических знании и помощьи для клиентов программ снижения вреда при передозировке "/>
        <s v="Обучение о причинах передозировки опиоидов и стратегиях минимизации риска передозировки, использование налоксона;"/>
        <s v="Закупка и распределение налоксона для клиентов программы снижения вреда"/>
        <s v="Предоставление профилактических услуг для потребителей неинъекционных наркотиков."/>
        <s v="Организация качественного исследования поведенческих (потребительских и сексуальных) практик потребителей  неинъекционных наркотиков."/>
        <s v=" Предоставление основного и дополнительного пакета  услуг по снижению вредав соответствии с положениями Стандарта по организации и функционированию услуг по профилактике ВИЧ в ключевых группах населения, включая молодых людей из этих групп."/>
        <s v=" К 2025 году фармакологическое лечение опиатной зависимости будет предоставлено не менее 10% бенефициаров (от предполагаемого количества опиоидных ПИН.)"/>
        <s v="организация службы по предоставлению фармакологического лечения опиатной зависимости в гражданском секторе (открытия дополнительных пунктов лечения опиатной зависимости) и в пенетенциарных учреждениях"/>
        <s v="пересмотр нормативной базы  реглементирующей включение пациентов в программу TSO"/>
        <s v="Закупка метадона для фармакологического лечения опиатной зависимости"/>
        <s v="Закупка бупренорфина для фармакологического лечения опиатной зависимости"/>
        <s v="Закупка одноразовых средств (дозаторы и стаканчики) для фармакологического лечения метадоновой опиатной зависимости"/>
        <s v="Оказание психосоциальной поддержки людям в фармакологическом лечении опиатной зависимости"/>
        <s v="Представление пакета профилактических услуг для РС (в том числе мужчин и ТГ)"/>
        <s v="Разработка, печать и распространение информационных  материалов о ВИЧ / СПИД / ИППП для LS и их сексуальных партнеров."/>
      </sharedItems>
    </cacheField>
    <cacheField name="Единица, цена" numFmtId="0">
      <sharedItems containsString="0" containsNumber="1"/>
    </cacheField>
    <cacheField name="описание единицы" numFmtId="0">
      <sharedItems containsString="0"/>
    </cacheField>
    <cacheField name="источники финансирования" numFmtId="0">
      <sharedItems containsBlank="1" count="10">
        <m/>
        <s v="Общая потребность"/>
        <s v="В программе"/>
        <s v="Министерство здравоохранения, труда и сокциальной защиты"/>
        <s v="Министерство юстиции"/>
        <s v="Национальная Компания Обязательного Медицинского Страхования"/>
        <s v="Глобальный фонд (правый берег)"/>
        <s v="Глобальный фонд (левый берег)"/>
        <s v="другие доноры"/>
        <s v="дефицит"/>
      </sharedItems>
    </cacheField>
    <cacheField name="A0 - baseline" numFmtId="0">
      <sharedItems containsString="0" containsNumber="1"/>
    </cacheField>
    <cacheField name="2021" numFmtId="0">
      <sharedItems containsString="0" containsNumber="1"/>
    </cacheField>
    <cacheField name="2022" numFmtId="0">
      <sharedItems containsString="0" containsNumber="1"/>
    </cacheField>
    <cacheField name="2023" numFmtId="0">
      <sharedItems containsString="0" containsNumber="1"/>
    </cacheField>
    <cacheField name="2024" numFmtId="0">
      <sharedItems containsString="0" containsNumber="1"/>
    </cacheField>
    <cacheField name="2025" numFmtId="0">
      <sharedItems containsString="0" containsNumber="1"/>
    </cacheField>
    <cacheField name="2021 стоимость" numFmtId="0">
      <sharedItems containsSemiMixedTypes="0" containsString="0" containsNumber="1"/>
    </cacheField>
    <cacheField name="2022 стоимость" numFmtId="0">
      <sharedItems containsSemiMixedTypes="0" containsString="0" containsNumber="1"/>
    </cacheField>
    <cacheField name="2023 стоимость" numFmtId="0">
      <sharedItems containsSemiMixedTypes="0" containsString="0" containsNumber="1"/>
    </cacheField>
    <cacheField name="2024 стоимость" numFmtId="0">
      <sharedItems containsSemiMixedTypes="0" containsString="0" containsNumber="1"/>
    </cacheField>
    <cacheField name="2025 стоимость" numFmtId="0">
      <sharedItems containsSemiMixedTypes="0" containsString="0" containsNumber="1"/>
    </cacheField>
    <cacheField name="Total" numFmtId="0">
      <sharedItems containsSemiMixedTypes="0" containsString="0" containsNumber="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Data" updatedVersion="6" showDrill="0" showMemberPropertyTips="0" useAutoFormatting="1" itemPrintTitles="1" createdVersion="1" indent="0" compact="0" compactData="0" gridDropZones="1">
  <location ref="A3:G15" firstHeaderRow="1" firstDataRow="2" firstDataCol="1"/>
  <pivotFields count="18">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axis="axisRow" compact="0" outline="0" showAll="0" includeNewItemsInFilter="1">
      <items count="11">
        <item x="1"/>
        <item n="В программе, в том числе" x="2"/>
        <item n="            Министерство здравоохранения, труда и сокциальной защиты" x="3"/>
        <item n="            Министерство юстиции" x="4"/>
        <item n="            Национальная Компания Обязательного Медицинского Страхования" x="5"/>
        <item n="            Глобальный фонд (правый берег)" x="6"/>
        <item n="            Глобальный фонд (левый берег)" x="7"/>
        <item n="           другие доноры" x="8"/>
        <item x="0"/>
        <item x="9"/>
        <item t="default"/>
      </items>
    </pivotField>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s>
  <rowFields count="1">
    <field x="5"/>
  </rowFields>
  <rowItems count="11">
    <i>
      <x/>
    </i>
    <i>
      <x v="1"/>
    </i>
    <i>
      <x v="2"/>
    </i>
    <i>
      <x v="3"/>
    </i>
    <i>
      <x v="4"/>
    </i>
    <i>
      <x v="5"/>
    </i>
    <i>
      <x v="6"/>
    </i>
    <i>
      <x v="7"/>
    </i>
    <i>
      <x v="8"/>
    </i>
    <i>
      <x v="9"/>
    </i>
    <i t="grand">
      <x/>
    </i>
  </rowItems>
  <colFields count="1">
    <field x="-2"/>
  </colFields>
  <colItems count="6">
    <i>
      <x/>
    </i>
    <i i="1">
      <x v="1"/>
    </i>
    <i i="2">
      <x v="2"/>
    </i>
    <i i="3">
      <x v="3"/>
    </i>
    <i i="4">
      <x v="4"/>
    </i>
    <i i="5">
      <x v="5"/>
    </i>
  </colItems>
  <dataFields count="6">
    <dataField name="Sum of 2021 стоимость" fld="12" baseField="0" baseItem="0"/>
    <dataField name="Sum of 2022 стоимость" fld="13" baseField="0" baseItem="0"/>
    <dataField name="Sum of 2023 стоимость" fld="14" baseField="0" baseItem="0"/>
    <dataField name="Sum of 2024 стоимость" fld="15" baseField="0" baseItem="0"/>
    <dataField name="Sum of 2025 стоимость" fld="16" baseField="0" baseItem="0"/>
    <dataField name="Sum of Total" fld="17"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fieldListSortAscending="1">
  <location ref="A20:H49" firstHeaderRow="1" firstDataRow="2" firstDataCol="2" rowPageCount="1" colPageCount="1"/>
  <pivotFields count="18">
    <pivotField compact="0" outline="0" showAll="0" includeNewItemsInFilter="1"/>
    <pivotField axis="axisRow" compact="0" outline="0" showAll="0" includeNewItemsInFilter="1" sortType="ascending">
      <items count="30">
        <item sd="0" m="1" x="28"/>
        <item sd="0" x="0"/>
        <item sd="0" x="1"/>
        <item sd="0" x="2"/>
        <item sd="0" x="3"/>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4"/>
        <item t="default" sd="0"/>
      </items>
    </pivotField>
    <pivotField axis="axisRow" compact="0" outline="0" showAll="0" includeNewItemsInFilter="1">
      <items count="27">
        <item x="17"/>
        <item x="8"/>
        <item x="5"/>
        <item x="16"/>
        <item x="7"/>
        <item x="3"/>
        <item x="1"/>
        <item x="0"/>
        <item x="21"/>
        <item x="13"/>
        <item x="20"/>
        <item x="22"/>
        <item x="12"/>
        <item x="23"/>
        <item x="10"/>
        <item x="15"/>
        <item x="18"/>
        <item x="19"/>
        <item x="2"/>
        <item x="14"/>
        <item x="11"/>
        <item x="6"/>
        <item x="24"/>
        <item x="25"/>
        <item x="9"/>
        <item h="1" x="4"/>
        <item t="default"/>
      </items>
    </pivotField>
    <pivotField compact="0" outline="0" showAll="0" includeNewItemsInFilter="1"/>
    <pivotField compact="0" outline="0" showAll="0" includeNewItemsInFilter="1"/>
    <pivotField axis="axisPage" compact="0" outline="0" showAll="0" includeNewItemsInFilter="1" defaultSubtotal="0">
      <items count="10">
        <item x="2"/>
        <item x="7"/>
        <item x="6"/>
        <item x="9"/>
        <item x="8"/>
        <item x="3"/>
        <item x="4"/>
        <item x="5"/>
        <item x="1"/>
        <item x="0"/>
      </items>
    </pivotField>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s>
  <rowFields count="2">
    <field x="1"/>
    <field x="2"/>
  </rowFields>
  <rowItems count="28">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
  </colFields>
  <colItems count="6">
    <i>
      <x/>
    </i>
    <i i="1">
      <x v="1"/>
    </i>
    <i i="2">
      <x v="2"/>
    </i>
    <i i="3">
      <x v="3"/>
    </i>
    <i i="4">
      <x v="4"/>
    </i>
    <i i="5">
      <x v="5"/>
    </i>
  </colItems>
  <pageFields count="1">
    <pageField fld="5" hier="0"/>
  </pageFields>
  <dataFields count="6">
    <dataField name="Sum of 2021 стоимость" fld="12" baseField="0" baseItem="0"/>
    <dataField name="Sum of 2022 стоимость" fld="13" baseField="0" baseItem="0"/>
    <dataField name="Sum of 2023 стоимость" fld="14" baseField="0" baseItem="0"/>
    <dataField name="Sum of 2024 стоимость" fld="15" baseField="0" baseItem="0"/>
    <dataField name="Sum of 2025 стоимость" fld="16" baseField="0" baseItem="0"/>
    <dataField name="Sum of Total" fld="17"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2"/>
  <sheetViews>
    <sheetView topLeftCell="A12" zoomScale="80" zoomScaleNormal="80" workbookViewId="0">
      <selection activeCell="D23" sqref="D23:F23"/>
    </sheetView>
  </sheetViews>
  <sheetFormatPr defaultColWidth="11.42578125" defaultRowHeight="15"/>
  <cols>
    <col min="1" max="1" width="6.7109375" customWidth="1"/>
    <col min="2" max="2" width="5.28515625" customWidth="1"/>
    <col min="3" max="3" width="71.28515625" customWidth="1"/>
    <col min="4" max="9" width="24.7109375" customWidth="1"/>
    <col min="10" max="10" width="18.28515625" bestFit="1" customWidth="1"/>
    <col min="11" max="11" width="18.7109375" customWidth="1"/>
    <col min="12" max="12" width="15" bestFit="1" customWidth="1"/>
    <col min="13" max="13" width="14.85546875" bestFit="1" customWidth="1"/>
  </cols>
  <sheetData>
    <row r="3" spans="1:11">
      <c r="C3" s="21"/>
      <c r="D3" s="21"/>
      <c r="E3" s="21"/>
    </row>
    <row r="4" spans="1:11" s="146" customFormat="1" ht="35.1" customHeight="1">
      <c r="A4" s="1553" t="s">
        <v>99</v>
      </c>
      <c r="B4" s="1554"/>
      <c r="C4" s="143" t="s">
        <v>148</v>
      </c>
      <c r="D4" s="143">
        <v>2021</v>
      </c>
      <c r="E4" s="144">
        <v>2022</v>
      </c>
      <c r="F4" s="143">
        <v>2023</v>
      </c>
      <c r="G4" s="144">
        <v>2024</v>
      </c>
      <c r="H4" s="143">
        <v>2025</v>
      </c>
      <c r="I4" s="145" t="s">
        <v>149</v>
      </c>
    </row>
    <row r="5" spans="1:11" ht="40.35" customHeight="1">
      <c r="A5" s="1555" t="str">
        <f>BugetComplet!$F$2</f>
        <v>1.</v>
      </c>
      <c r="B5" s="1556"/>
      <c r="C5" s="93" t="str">
        <f>BugetComplet!$G$2</f>
        <v xml:space="preserve">Снижение новых случаев ВИЧ-инфекции </v>
      </c>
      <c r="D5" s="94">
        <f>BugetComplet!$Q$2</f>
        <v>42435517.280000001</v>
      </c>
      <c r="E5" s="94">
        <f>BugetComplet!$R$2</f>
        <v>47680399.608000003</v>
      </c>
      <c r="F5" s="94">
        <f>BugetComplet!$S$2</f>
        <v>53394573.695999995</v>
      </c>
      <c r="G5" s="94">
        <f>BugetComplet!$T$2</f>
        <v>25476063.7236</v>
      </c>
      <c r="H5" s="94">
        <f>BugetComplet!$U$2</f>
        <v>32046359.099999998</v>
      </c>
      <c r="I5" s="94">
        <f>BugetComplet!$V$2</f>
        <v>201032913.40759999</v>
      </c>
    </row>
    <row r="6" spans="1:11" ht="54" customHeight="1">
      <c r="A6" s="1555">
        <v>2</v>
      </c>
      <c r="B6" s="1556"/>
      <c r="C6" s="93" t="str">
        <f>BugetComplet!G509</f>
        <v xml:space="preserve">90/90/90 Повышение доступа к медицинской помощи и улучшение показателей здоровья людей, живущих с ВИЧ </v>
      </c>
      <c r="D6" s="94">
        <f>BugetComplet!$Q$509</f>
        <v>119002628.66496883</v>
      </c>
      <c r="E6" s="94">
        <f>BugetComplet!$R$509</f>
        <v>124908454.85818654</v>
      </c>
      <c r="F6" s="94">
        <f>BugetComplet!$S$509</f>
        <v>127945262.48652601</v>
      </c>
      <c r="G6" s="94">
        <f>BugetComplet!$T$509</f>
        <v>123652361.22213948</v>
      </c>
      <c r="H6" s="94">
        <f>BugetComplet!$U$509</f>
        <v>128524745.04538926</v>
      </c>
      <c r="I6" s="94">
        <f>BugetComplet!$V$509</f>
        <v>624033452.27721012</v>
      </c>
    </row>
    <row r="7" spans="1:11" ht="60" customHeight="1">
      <c r="A7" s="1555">
        <v>3</v>
      </c>
      <c r="B7" s="1556"/>
      <c r="C7" s="93" t="str">
        <f>BugetComplet!G1432</f>
        <v>Обеспечение эффективного управления Программой, в том числе путем укрепления системы здравоохранения (стратегической информации)</v>
      </c>
      <c r="D7" s="94">
        <f ca="1">BugetComplet!$Q$1432</f>
        <v>13829785.498699997</v>
      </c>
      <c r="E7" s="94">
        <f ca="1">BugetComplet!$R$1432</f>
        <v>11416097.556000002</v>
      </c>
      <c r="F7" s="94">
        <f ca="1">BugetComplet!$S$1432</f>
        <v>10217978.104600001</v>
      </c>
      <c r="G7" s="94">
        <f ca="1">BugetComplet!$T$1432</f>
        <v>2898254.5505599999</v>
      </c>
      <c r="H7" s="94">
        <f ca="1">BugetComplet!$U$1432</f>
        <v>2963123.515416</v>
      </c>
      <c r="I7" s="94">
        <f ca="1">BugetComplet!$V$1432</f>
        <v>41325239.225276001</v>
      </c>
    </row>
    <row r="8" spans="1:11" ht="41.1" customHeight="1">
      <c r="C8" s="95" t="s">
        <v>239</v>
      </c>
      <c r="D8" s="94">
        <f ca="1">SUM(D5:D7)</f>
        <v>175267931.44366881</v>
      </c>
      <c r="E8" s="94">
        <f t="shared" ref="E8:H8" ca="1" si="0">SUM(E5:E7)</f>
        <v>184004952.02218655</v>
      </c>
      <c r="F8" s="94">
        <f t="shared" ca="1" si="0"/>
        <v>191557814.287126</v>
      </c>
      <c r="G8" s="94">
        <f t="shared" ca="1" si="0"/>
        <v>152026679.49629948</v>
      </c>
      <c r="H8" s="94">
        <f t="shared" ca="1" si="0"/>
        <v>163534227.66080526</v>
      </c>
      <c r="I8" s="94">
        <f ca="1">SUM(I5:I7)</f>
        <v>866391604.91008615</v>
      </c>
      <c r="J8" s="23">
        <f ca="1">SUM(D8:H8)</f>
        <v>866391604.91008615</v>
      </c>
    </row>
    <row r="9" spans="1:11">
      <c r="C9" s="16"/>
      <c r="D9" s="22"/>
      <c r="E9" s="22"/>
      <c r="F9" s="22"/>
      <c r="G9" s="22"/>
      <c r="H9" s="22"/>
      <c r="I9" s="22"/>
    </row>
    <row r="10" spans="1:11" s="850" customFormat="1">
      <c r="C10" s="159"/>
      <c r="D10" s="957"/>
      <c r="E10" s="957"/>
      <c r="F10" s="957"/>
      <c r="G10" s="957"/>
      <c r="H10" s="957"/>
      <c r="I10" s="957"/>
    </row>
    <row r="11" spans="1:11" s="850" customFormat="1">
      <c r="C11" s="159"/>
      <c r="D11" s="957"/>
      <c r="E11" s="957"/>
      <c r="F11" s="957"/>
      <c r="G11" s="957"/>
      <c r="H11" s="957"/>
      <c r="I11" s="957"/>
    </row>
    <row r="13" spans="1:11" s="146" customFormat="1" ht="28.35" customHeight="1">
      <c r="A13" s="141" t="s">
        <v>427</v>
      </c>
      <c r="B13" s="212" t="s">
        <v>428</v>
      </c>
      <c r="C13" s="213"/>
      <c r="D13" s="143">
        <v>2021</v>
      </c>
      <c r="E13" s="144">
        <v>2022</v>
      </c>
      <c r="F13" s="143">
        <v>2023</v>
      </c>
      <c r="G13" s="144">
        <v>2024</v>
      </c>
      <c r="H13" s="143">
        <v>2025</v>
      </c>
      <c r="I13" s="145" t="s">
        <v>149</v>
      </c>
    </row>
    <row r="14" spans="1:11" ht="33" customHeight="1">
      <c r="A14" s="92">
        <v>1</v>
      </c>
      <c r="B14" s="1551" t="s">
        <v>79</v>
      </c>
      <c r="C14" s="1552"/>
      <c r="D14" s="170">
        <f ca="1">'бюджет разбивка по источникам'!C5+'бюджет разбивка по источникам'!C192+'бюджет разбивка по источникам'!C445</f>
        <v>189185947.44366881</v>
      </c>
      <c r="E14" s="170">
        <f ca="1">'бюджет разбивка по источникам'!D5+'бюджет разбивка по источникам'!D192+'бюджет разбивка по источникам'!D445</f>
        <v>210565885.82218653</v>
      </c>
      <c r="F14" s="170">
        <f ca="1">'бюджет разбивка по источникам'!E5+'бюджет разбивка по источникам'!E192+'бюджет разбивка по источникам'!E445</f>
        <v>207887796.86712605</v>
      </c>
      <c r="G14" s="170">
        <f ca="1">'бюджет разбивка по источникам'!F5+'бюджет разбивка по источникам'!F192+'бюджет разбивка по источникам'!F445</f>
        <v>223924082.92224792</v>
      </c>
      <c r="H14" s="170">
        <f ca="1">'бюджет разбивка по источникам'!G5+'бюджет разбивка по источникам'!G192+'бюджет разбивка по источникам'!G445</f>
        <v>239107627.83920646</v>
      </c>
      <c r="I14" s="170">
        <f ca="1">'бюджет разбивка по источникам'!H5+'бюджет разбивка по источникам'!H192+'бюджет разбивка по источникам'!H445</f>
        <v>1070671340.8944359</v>
      </c>
      <c r="J14" s="23"/>
      <c r="K14" s="23"/>
    </row>
    <row r="15" spans="1:11" ht="33" customHeight="1">
      <c r="A15" s="92">
        <v>2</v>
      </c>
      <c r="B15" s="1551" t="s">
        <v>116</v>
      </c>
      <c r="C15" s="1552"/>
      <c r="D15" s="170">
        <f ca="1">'бюджет разбивка по источникам'!C6+'бюджет разбивка по источникам'!C193+'бюджет разбивка по источникам'!C446</f>
        <v>175267931.44366881</v>
      </c>
      <c r="E15" s="170">
        <f ca="1">'бюджет разбивка по источникам'!D6+'бюджет разбивка по источникам'!D193+'бюджет разбивка по источникам'!D446</f>
        <v>184004952.02218655</v>
      </c>
      <c r="F15" s="170">
        <f ca="1">'бюджет разбивка по источникам'!E6+'бюджет разбивка по источникам'!E193+'бюджет разбивка по источникам'!E446</f>
        <v>191557412.287126</v>
      </c>
      <c r="G15" s="170">
        <f ca="1">'бюджет разбивка по источникам'!F6+'бюджет разбивка по источникам'!F193+'бюджет разбивка по источникам'!F446</f>
        <v>152026679.49629948</v>
      </c>
      <c r="H15" s="170">
        <f ca="1">'бюджет разбивка по источникам'!G6+'бюджет разбивка по источникам'!G193+'бюджет разбивка по источникам'!G446</f>
        <v>163534227.66080526</v>
      </c>
      <c r="I15" s="170">
        <f ca="1">'бюджет разбивка по источникам'!H6+'бюджет разбивка по источникам'!H193+'бюджет разбивка по источникам'!H446</f>
        <v>866391202.91008615</v>
      </c>
      <c r="J15" s="23"/>
      <c r="K15" s="23"/>
    </row>
    <row r="16" spans="1:11" ht="33" customHeight="1">
      <c r="A16" s="92">
        <v>3</v>
      </c>
      <c r="B16" s="171"/>
      <c r="C16" s="172" t="s">
        <v>429</v>
      </c>
      <c r="D16" s="94">
        <f ca="1">'бюджет разбивка по источникам'!C7+'бюджет разбивка по источникам'!C194+'бюджет разбивка по источникам'!C447</f>
        <v>32426121.120761801</v>
      </c>
      <c r="E16" s="94">
        <f ca="1">'бюджет разбивка по источникам'!D7+'бюджет разбивка по источникам'!D194+'бюджет разбивка по источникам'!D447</f>
        <v>35011409.770027235</v>
      </c>
      <c r="F16" s="94">
        <f ca="1">'бюджет разбивка по источникам'!E7+'бюджет разбивка по источникам'!E194+'бюджет разбивка по источникам'!E447</f>
        <v>38711035.1728542</v>
      </c>
      <c r="G16" s="94">
        <f ca="1">'бюджет разбивка по источникам'!F7+'бюджет разбивка по источникам'!F194+'бюджет разбивка по источникам'!F447</f>
        <v>43540883.911980875</v>
      </c>
      <c r="H16" s="94">
        <f ca="1">'бюджет разбивка по источникам'!G7+'бюджет разбивка по источникам'!G194+'бюджет разбивка по источникам'!G447</f>
        <v>48413209.03938321</v>
      </c>
      <c r="I16" s="94">
        <f ca="1">'бюджет разбивка по источникам'!H7+'бюджет разбивка по источникам'!H194+'бюджет разбивка по источникам'!H447</f>
        <v>198102659.01500735</v>
      </c>
      <c r="J16" s="23"/>
      <c r="K16" s="23"/>
    </row>
    <row r="17" spans="1:13" ht="33" customHeight="1">
      <c r="A17" s="92">
        <v>4</v>
      </c>
      <c r="B17" s="171"/>
      <c r="C17" s="172" t="s">
        <v>133</v>
      </c>
      <c r="D17" s="94">
        <f ca="1">'бюджет разбивка по источникам'!C8+'бюджет разбивка по источникам'!C195+'бюджет разбивка по источникам'!C448</f>
        <v>21738959.025040366</v>
      </c>
      <c r="E17" s="94">
        <f ca="1">'бюджет разбивка по источникам'!D8+'бюджет разбивка по источникам'!D195+'бюджет разбивка по источникам'!D448</f>
        <v>22825139.95599265</v>
      </c>
      <c r="F17" s="94">
        <f ca="1">'бюджет разбивка по источникам'!E8+'бюджет разбивка по источникам'!E195+'бюджет разбивка по источникам'!E448</f>
        <v>24019202.604005162</v>
      </c>
      <c r="G17" s="94">
        <f ca="1">'бюджет разбивка по источникам'!F8+'бюджет разбивка по источникам'!F195+'бюджет разбивка по источникам'!F448</f>
        <v>27470858.346851934</v>
      </c>
      <c r="H17" s="94">
        <f ca="1">'бюджет разбивка по источникам'!G8+'бюджет разбивка по источникам'!G195+'бюджет разбивка по источникам'!G448</f>
        <v>28838233.511155378</v>
      </c>
      <c r="I17" s="94">
        <f ca="1">'бюджет разбивка по источникам'!H8+'бюджет разбивка по источникам'!H195+'бюджет разбивка по источникам'!H448</f>
        <v>124892393.44304547</v>
      </c>
      <c r="J17" s="23"/>
      <c r="K17" s="23"/>
    </row>
    <row r="18" spans="1:13" ht="33" customHeight="1">
      <c r="A18" s="92">
        <v>5</v>
      </c>
      <c r="B18" s="171"/>
      <c r="C18" s="172" t="s">
        <v>81</v>
      </c>
      <c r="D18" s="94">
        <f ca="1">'бюджет разбивка по источникам'!C9+'бюджет разбивка по источникам'!C196+'бюджет разбивка по источникам'!C449</f>
        <v>946221.59999999986</v>
      </c>
      <c r="E18" s="94">
        <f ca="1">'бюджет разбивка по источникам'!D9+'бюджет разбивка по источникам'!D196+'бюджет разбивка по источникам'!D449</f>
        <v>1358264.5836</v>
      </c>
      <c r="F18" s="94">
        <f ca="1">'бюджет разбивка по источникам'!E9+'бюджет разбивка по источникам'!E196+'бюджет разбивка по источникам'!E449</f>
        <v>1770437.0447999998</v>
      </c>
      <c r="G18" s="94">
        <f ca="1">'бюджет разбивка по источникам'!F9+'бюджет разбивка по источникам'!F196+'бюджет разбивка по источникам'!F449</f>
        <v>2259650.0640000002</v>
      </c>
      <c r="H18" s="94">
        <f ca="1">'бюджет разбивка по источникам'!G9+'бюджет разбивка по источникам'!G196+'бюджет разбивка по источникам'!G449</f>
        <v>2798246.06</v>
      </c>
      <c r="I18" s="94">
        <f ca="1">'бюджет разбивка по источникам'!H9+'бюджет разбивка по источникам'!H196+'бюджет разбивка по источникам'!H449</f>
        <v>9132819.3524000011</v>
      </c>
      <c r="J18" s="23"/>
      <c r="K18" s="23"/>
    </row>
    <row r="19" spans="1:13" ht="33" customHeight="1">
      <c r="A19" s="92">
        <v>6</v>
      </c>
      <c r="B19" s="171"/>
      <c r="C19" s="172" t="s">
        <v>134</v>
      </c>
      <c r="D19" s="94">
        <f ca="1">'бюджет разбивка по источникам'!C10+'бюджет разбивка по источникам'!C197+'бюджет разбивка по источникам'!C450</f>
        <v>67876635.842666656</v>
      </c>
      <c r="E19" s="94">
        <f ca="1">'бюджет разбивка по источникам'!D10+'бюджет разбивка по источникам'!D197+'бюджет разбивка по источникам'!D450</f>
        <v>69931740.621066675</v>
      </c>
      <c r="F19" s="94">
        <f ca="1">'бюджет разбивка по источникам'!E10+'бюджет разбивка по источникам'!E197+'бюджет разбивка по источникам'!E450</f>
        <v>72269146.735466674</v>
      </c>
      <c r="G19" s="94">
        <f ca="1">'бюджет разбивка по источникам'!F10+'бюджет разбивка по источникам'!F197+'бюджет разбивка по источникам'!F450</f>
        <v>78755287.173466668</v>
      </c>
      <c r="H19" s="94">
        <f ca="1">'бюджет разбивка по источникам'!G10+'бюджет разбивка по источникам'!G197+'бюджет разбивка по источникам'!G450</f>
        <v>83484539.050266668</v>
      </c>
      <c r="I19" s="94">
        <f ca="1">'бюджет разбивка по источникам'!H10+'бюджет разбивка по источникам'!H197+'бюджет разбивка по источникам'!H450</f>
        <v>372317349.42293334</v>
      </c>
      <c r="J19" s="23"/>
      <c r="K19" s="23"/>
    </row>
    <row r="20" spans="1:13" ht="33" customHeight="1">
      <c r="A20" s="92">
        <v>7</v>
      </c>
      <c r="B20" s="171"/>
      <c r="C20" s="172" t="s">
        <v>82</v>
      </c>
      <c r="D20" s="94">
        <f ca="1">'бюджет разбивка по источникам'!C11+'бюджет разбивка по источникам'!C198+'бюджет разбивка по источникам'!C451</f>
        <v>37628387.21069999</v>
      </c>
      <c r="E20" s="94">
        <f ca="1">'бюджет разбивка по источникам'!D11+'бюджет разбивка по источникам'!D198+'бюджет разбивка по источникам'!D451</f>
        <v>38865338.1734</v>
      </c>
      <c r="F20" s="94">
        <f ca="1">'бюджет разбивка по источникам'!E11+'бюджет разбивка по источникам'!E198+'бюджет разбивка по источникам'!E451</f>
        <v>37432737.499699995</v>
      </c>
      <c r="G20" s="94">
        <f ca="1">'бюджет разбивка по источникам'!F11+'бюджет разбивка по источникам'!F198+'бюджет разбивка по источникам'!F451</f>
        <v>0</v>
      </c>
      <c r="H20" s="94">
        <f ca="1">'бюджет разбивка по источникам'!G11+'бюджет разбивка по источникам'!G198+'бюджет разбивка по источникам'!G451</f>
        <v>0</v>
      </c>
      <c r="I20" s="94">
        <f ca="1">'бюджет разбивка по источникам'!H11+'бюджет разбивка по источникам'!H198+'бюджет разбивка по источникам'!H451</f>
        <v>113736648.88379999</v>
      </c>
      <c r="J20" s="23"/>
      <c r="K20" s="23"/>
    </row>
    <row r="21" spans="1:13" ht="33" customHeight="1">
      <c r="A21" s="92">
        <v>8</v>
      </c>
      <c r="B21" s="171"/>
      <c r="C21" s="172" t="s">
        <v>90</v>
      </c>
      <c r="D21" s="94">
        <f ca="1">'бюджет разбивка по источникам'!C12+'бюджет разбивка по источникам'!C199+'бюджет разбивка по источникам'!C452</f>
        <v>13303786.6445</v>
      </c>
      <c r="E21" s="94">
        <f ca="1">'бюджет разбивка по источникам'!D12+'бюджет разбивка по источникам'!D199+'бюджет разбивка по источникам'!D452</f>
        <v>15202870.918100003</v>
      </c>
      <c r="F21" s="94">
        <f ca="1">'бюджет разбивка по источникам'!E12+'бюджет разбивка по источникам'!E199+'бюджет разбивка по источникам'!E452</f>
        <v>16265461.230300002</v>
      </c>
      <c r="G21" s="94">
        <f ca="1">'бюджет разбивка по источникам'!F12+'бюджет разбивка по источникам'!F199+'бюджет разбивка по источникам'!F452</f>
        <v>0</v>
      </c>
      <c r="H21" s="94">
        <f ca="1">'бюджет разбивка по источникам'!G12+'бюджет разбивка по источникам'!G199+'бюджет разбивка по источникам'!G452</f>
        <v>0</v>
      </c>
      <c r="I21" s="94">
        <f ca="1">'бюджет разбивка по источникам'!H12+'бюджет разбивка по источникам'!H199+'бюджет разбивка по источникам'!H452</f>
        <v>44772118.792899996</v>
      </c>
      <c r="J21" s="23"/>
      <c r="K21" s="23"/>
      <c r="M21" s="23"/>
    </row>
    <row r="22" spans="1:13" ht="33" customHeight="1">
      <c r="A22" s="92">
        <v>9</v>
      </c>
      <c r="B22" s="173"/>
      <c r="C22" s="174" t="s">
        <v>83</v>
      </c>
      <c r="D22" s="94">
        <f ca="1">'бюджет разбивка по источникам'!C13+'бюджет разбивка по источникам'!C200+'бюджет разбивка по источникам'!C453</f>
        <v>623300</v>
      </c>
      <c r="E22" s="94">
        <f ca="1">'бюджет разбивка по источникам'!D13+'бюджет разбивка по источникам'!D200+'бюджет разбивка по источникам'!D453</f>
        <v>0</v>
      </c>
      <c r="F22" s="94">
        <f ca="1">'бюджет разбивка по источникам'!E13+'бюджет разбивка по источникам'!E200+'бюджет разбивка по источникам'!E453</f>
        <v>193300</v>
      </c>
      <c r="G22" s="94">
        <f ca="1">'бюджет разбивка по источникам'!F13+'бюджет разбивка по источникам'!F200+'бюджет разбивка по источникам'!F453</f>
        <v>0</v>
      </c>
      <c r="H22" s="94">
        <f ca="1">'бюджет разбивка по источникам'!G13+'бюджет разбивка по источникам'!G200+'бюджет разбивка по источникам'!G453</f>
        <v>0</v>
      </c>
      <c r="I22" s="94">
        <f ca="1">'бюджет разбивка по источникам'!H13+'бюджет разбивка по источникам'!H200+'бюджет разбивка по источникам'!H453</f>
        <v>816600</v>
      </c>
      <c r="J22" s="23"/>
      <c r="K22" s="23"/>
    </row>
    <row r="23" spans="1:13" ht="33" customHeight="1">
      <c r="A23" s="92">
        <v>10</v>
      </c>
      <c r="B23" s="1551" t="s">
        <v>430</v>
      </c>
      <c r="C23" s="1552"/>
      <c r="D23" s="170">
        <f ca="1">'бюджет разбивка по источникам'!C14+'бюджет разбивка по источникам'!C201+'бюджет разбивка по источникам'!C454</f>
        <v>13918016</v>
      </c>
      <c r="E23" s="170">
        <f ca="1">'бюджет разбивка по источникам'!D14+'бюджет разбивка по источникам'!D201+'бюджет разбивка по источникам'!D454</f>
        <v>26560933.800000001</v>
      </c>
      <c r="F23" s="170">
        <f ca="1">'бюджет разбивка по источникам'!E14+'бюджет разбивка по источникам'!E201+'бюджет разбивка по источникам'!E454</f>
        <v>16330384.579999998</v>
      </c>
      <c r="G23" s="170">
        <f ca="1">'бюджет разбивка по источникам'!F14+'бюджет разбивка по источникам'!F201+'бюджет разбивка по источникам'!F454</f>
        <v>71897403.425948441</v>
      </c>
      <c r="H23" s="170">
        <f ca="1">'бюджет разбивка по источникам'!G14+'бюджет разбивка по источникам'!G201+'бюджет разбивка по источникам'!G454</f>
        <v>75573400.178401217</v>
      </c>
      <c r="I23" s="170">
        <f ca="1">'бюджет разбивка по источникам'!H14+'бюджет разбивка по источникам'!H201+'бюджет разбивка по источникам'!H454</f>
        <v>204280137.98434967</v>
      </c>
      <c r="J23" s="23"/>
      <c r="M23" s="23"/>
    </row>
    <row r="24" spans="1:13">
      <c r="D24" s="23">
        <f ca="1">D14-D15</f>
        <v>13918016</v>
      </c>
      <c r="E24" s="23">
        <f t="shared" ref="E24:H24" ca="1" si="1">E14-E15</f>
        <v>26560933.799999982</v>
      </c>
      <c r="F24" s="23">
        <f t="shared" ca="1" si="1"/>
        <v>16330384.580000043</v>
      </c>
      <c r="G24" s="23">
        <f t="shared" ca="1" si="1"/>
        <v>71897403.425948441</v>
      </c>
      <c r="H24" s="23">
        <f t="shared" ca="1" si="1"/>
        <v>75573400.178401202</v>
      </c>
      <c r="I24" s="23">
        <f ca="1">I14-I15</f>
        <v>204280137.98434973</v>
      </c>
      <c r="M24" s="23"/>
    </row>
    <row r="25" spans="1:13">
      <c r="D25" s="23">
        <f ca="1">D23-D24</f>
        <v>0</v>
      </c>
      <c r="E25" s="23">
        <f t="shared" ref="E25:H25" ca="1" si="2">E23-E24</f>
        <v>0</v>
      </c>
      <c r="F25" s="23">
        <f t="shared" ca="1" si="2"/>
        <v>-4.4703483581542969E-8</v>
      </c>
      <c r="G25" s="23">
        <f t="shared" ca="1" si="2"/>
        <v>0</v>
      </c>
      <c r="H25" s="23">
        <f t="shared" ca="1" si="2"/>
        <v>0</v>
      </c>
      <c r="I25" s="23"/>
    </row>
    <row r="26" spans="1:13" s="113" customFormat="1" ht="18.75">
      <c r="C26" s="113" t="s">
        <v>476</v>
      </c>
      <c r="D26" s="210">
        <f ca="1">D20+D21</f>
        <v>50932173.855199993</v>
      </c>
      <c r="E26" s="210">
        <f t="shared" ref="E26:H26" ca="1" si="3">E20+E21</f>
        <v>54068209.091499999</v>
      </c>
      <c r="F26" s="210">
        <f t="shared" ca="1" si="3"/>
        <v>53698198.729999997</v>
      </c>
      <c r="G26" s="210">
        <f t="shared" ca="1" si="3"/>
        <v>0</v>
      </c>
      <c r="H26" s="210">
        <f t="shared" ca="1" si="3"/>
        <v>0</v>
      </c>
      <c r="I26" s="210">
        <f ca="1">I20+I21</f>
        <v>158508767.6767</v>
      </c>
    </row>
    <row r="27" spans="1:13" s="113" customFormat="1" ht="18.75">
      <c r="C27" s="113" t="s">
        <v>726</v>
      </c>
      <c r="D27" s="993">
        <f ca="1">D26/(D19+D18+D17+D16)*100</f>
        <v>41.412332667634985</v>
      </c>
      <c r="E27" s="993">
        <f t="shared" ref="E27:F27" ca="1" si="4">E26/(E19+E18+E17+E16)*100</f>
        <v>41.872261767165632</v>
      </c>
      <c r="F27" s="993">
        <f t="shared" ca="1" si="4"/>
        <v>39.261730488967054</v>
      </c>
      <c r="G27" s="211"/>
      <c r="I27" s="211">
        <f ca="1">I26/20</f>
        <v>7925438.383835</v>
      </c>
      <c r="J27" s="961">
        <f>I31-J31</f>
        <v>7883192.5899999999</v>
      </c>
      <c r="K27" s="961"/>
    </row>
    <row r="28" spans="1:13">
      <c r="C28" t="s">
        <v>1184</v>
      </c>
      <c r="D28" s="23">
        <f ca="1">D19+D18+D17+D16</f>
        <v>122987937.5884688</v>
      </c>
      <c r="E28" s="23">
        <f t="shared" ref="E28:F28" ca="1" si="5">E19+E18+E17+E16</f>
        <v>129126554.93068656</v>
      </c>
      <c r="F28" s="23">
        <f t="shared" ca="1" si="5"/>
        <v>136769821.55712605</v>
      </c>
      <c r="I28" s="298">
        <f ca="1">I27-K31</f>
        <v>42245.793835000135</v>
      </c>
    </row>
    <row r="29" spans="1:13">
      <c r="C29" t="s">
        <v>726</v>
      </c>
      <c r="D29" s="996">
        <f ca="1">100-D27</f>
        <v>58.587667332365015</v>
      </c>
      <c r="E29" s="996">
        <f t="shared" ref="E29:F29" ca="1" si="6">100-E27</f>
        <v>58.127738232834368</v>
      </c>
      <c r="F29" s="996">
        <f t="shared" ca="1" si="6"/>
        <v>60.738269511032946</v>
      </c>
    </row>
    <row r="30" spans="1:13">
      <c r="I30" t="s">
        <v>1038</v>
      </c>
      <c r="J30" t="s">
        <v>1426</v>
      </c>
    </row>
    <row r="31" spans="1:13">
      <c r="I31" s="958">
        <v>8662849</v>
      </c>
      <c r="J31" s="962">
        <f>I31*0.09</f>
        <v>779656.40999999992</v>
      </c>
      <c r="K31">
        <f>I31-J31</f>
        <v>7883192.5899999999</v>
      </c>
    </row>
    <row r="32" spans="1:13">
      <c r="I32" s="958">
        <v>9398343</v>
      </c>
    </row>
    <row r="33" spans="3:12">
      <c r="I33" s="958">
        <f>I31+I32</f>
        <v>18061192</v>
      </c>
    </row>
    <row r="34" spans="3:12" ht="18">
      <c r="C34" s="172"/>
      <c r="L34" s="962"/>
    </row>
    <row r="35" spans="3:12" ht="18">
      <c r="C35" s="172"/>
    </row>
    <row r="36" spans="3:12" ht="18">
      <c r="C36" s="172"/>
      <c r="D36" s="958"/>
      <c r="E36" s="958"/>
      <c r="F36" s="958"/>
      <c r="G36" s="850"/>
      <c r="H36" s="850"/>
      <c r="I36" s="959"/>
      <c r="J36" s="959"/>
    </row>
    <row r="37" spans="3:12" ht="18">
      <c r="C37" s="172"/>
      <c r="D37" s="958"/>
      <c r="E37" s="958"/>
      <c r="F37" s="958"/>
      <c r="G37" s="850"/>
      <c r="H37" s="850"/>
      <c r="I37" s="959"/>
      <c r="J37" s="959"/>
    </row>
    <row r="38" spans="3:12" ht="18">
      <c r="C38" s="172"/>
      <c r="D38" s="958"/>
      <c r="E38" s="958"/>
      <c r="F38" s="958"/>
      <c r="G38" s="850"/>
      <c r="H38" s="850"/>
      <c r="I38" s="959"/>
      <c r="J38" s="959"/>
    </row>
    <row r="39" spans="3:12">
      <c r="D39" s="958"/>
      <c r="E39" s="958"/>
      <c r="F39" s="958"/>
      <c r="I39" s="959"/>
      <c r="J39" s="959"/>
    </row>
    <row r="40" spans="3:12" ht="18">
      <c r="C40" s="172"/>
      <c r="D40" s="958"/>
      <c r="E40" s="958"/>
      <c r="F40" s="958"/>
      <c r="G40" s="850"/>
      <c r="H40" s="850"/>
      <c r="I40" s="959"/>
      <c r="J40" s="959"/>
    </row>
    <row r="41" spans="3:12" ht="18">
      <c r="C41" s="172"/>
      <c r="D41" s="958"/>
      <c r="E41" s="958"/>
      <c r="F41" s="958"/>
      <c r="G41" s="850"/>
      <c r="H41" s="850"/>
      <c r="I41" s="959"/>
      <c r="J41" s="959"/>
    </row>
    <row r="42" spans="3:12" ht="18">
      <c r="C42" s="172"/>
      <c r="D42" s="958"/>
      <c r="E42" s="958"/>
      <c r="F42" s="958"/>
      <c r="G42" s="850"/>
      <c r="H42" s="850"/>
      <c r="I42" s="959"/>
      <c r="J42" s="959"/>
    </row>
    <row r="43" spans="3:12" ht="18">
      <c r="C43" s="172"/>
      <c r="D43" s="958"/>
      <c r="E43" s="958"/>
      <c r="F43" s="958"/>
      <c r="I43" s="959"/>
      <c r="J43" s="959"/>
    </row>
    <row r="44" spans="3:12" ht="18">
      <c r="C44" s="172"/>
      <c r="D44" s="958"/>
      <c r="E44" s="958"/>
      <c r="F44" s="958"/>
      <c r="G44" s="958"/>
      <c r="H44" s="958"/>
      <c r="I44" s="959"/>
      <c r="J44" s="959"/>
    </row>
    <row r="45" spans="3:12" ht="18">
      <c r="C45" s="172"/>
      <c r="D45" s="958"/>
      <c r="E45" s="958"/>
      <c r="F45" s="958"/>
      <c r="G45" s="958"/>
      <c r="H45" s="958"/>
      <c r="I45" s="959"/>
      <c r="J45" s="959"/>
    </row>
    <row r="46" spans="3:12" ht="18">
      <c r="C46" s="172"/>
      <c r="D46" s="958"/>
      <c r="E46" s="958"/>
      <c r="F46" s="958"/>
      <c r="G46" s="958"/>
      <c r="H46" s="958"/>
      <c r="I46" s="959"/>
      <c r="J46" s="959"/>
    </row>
    <row r="47" spans="3:12" ht="18">
      <c r="C47" s="960"/>
      <c r="I47" s="958"/>
      <c r="J47" s="958"/>
    </row>
    <row r="48" spans="3:12" ht="18">
      <c r="C48" s="960"/>
      <c r="E48" s="850"/>
      <c r="F48" s="850"/>
      <c r="G48" s="850"/>
      <c r="H48" s="850"/>
      <c r="I48" s="959"/>
      <c r="J48" s="959"/>
    </row>
    <row r="49" spans="3:10" ht="18">
      <c r="C49" s="960"/>
      <c r="E49" s="850"/>
      <c r="F49" s="850"/>
      <c r="G49" s="850"/>
      <c r="H49" s="850"/>
      <c r="I49" s="959"/>
      <c r="J49" s="959"/>
    </row>
    <row r="50" spans="3:10">
      <c r="I50" s="958"/>
      <c r="J50" s="958"/>
    </row>
    <row r="51" spans="3:10">
      <c r="J51" s="298">
        <f>J50-J48</f>
        <v>0</v>
      </c>
    </row>
    <row r="52" spans="3:10">
      <c r="J52" s="298">
        <f>J51-J49</f>
        <v>0</v>
      </c>
    </row>
  </sheetData>
  <mergeCells count="7">
    <mergeCell ref="B23:C23"/>
    <mergeCell ref="A4:B4"/>
    <mergeCell ref="A5:B5"/>
    <mergeCell ref="A6:B6"/>
    <mergeCell ref="A7:B7"/>
    <mergeCell ref="B14:C14"/>
    <mergeCell ref="B15:C15"/>
  </mergeCell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4"/>
  <sheetViews>
    <sheetView topLeftCell="A9" zoomScale="90" zoomScaleNormal="90" workbookViewId="0">
      <selection activeCell="C15" sqref="C15"/>
    </sheetView>
  </sheetViews>
  <sheetFormatPr defaultColWidth="11.42578125" defaultRowHeight="15"/>
  <cols>
    <col min="2" max="2" width="88.42578125" customWidth="1"/>
    <col min="3" max="4" width="19.7109375" customWidth="1"/>
    <col min="5" max="5" width="20.42578125" customWidth="1"/>
    <col min="6" max="7" width="19.7109375" customWidth="1"/>
    <col min="8" max="8" width="20.7109375" customWidth="1"/>
    <col min="9" max="9" width="12.7109375" bestFit="1" customWidth="1"/>
  </cols>
  <sheetData>
    <row r="1" spans="1:13">
      <c r="B1" s="16"/>
      <c r="C1" s="22"/>
      <c r="D1" s="23"/>
      <c r="E1" s="23"/>
      <c r="F1" s="23"/>
      <c r="G1" s="23"/>
      <c r="H1" s="24"/>
    </row>
    <row r="2" spans="1:13">
      <c r="B2" s="16"/>
      <c r="C2" s="22"/>
      <c r="D2" s="23"/>
      <c r="E2" s="23"/>
      <c r="F2" s="23"/>
      <c r="G2" s="23"/>
      <c r="H2" s="24"/>
    </row>
    <row r="3" spans="1:13">
      <c r="B3" s="16"/>
      <c r="C3" s="22"/>
      <c r="D3" s="23"/>
      <c r="E3" s="23"/>
      <c r="F3" s="23"/>
      <c r="G3" s="23"/>
      <c r="H3" s="24"/>
    </row>
    <row r="4" spans="1:13">
      <c r="B4" s="16"/>
      <c r="C4" s="22"/>
      <c r="D4" s="23"/>
      <c r="E4" s="23"/>
      <c r="F4" s="23"/>
      <c r="G4" s="23"/>
      <c r="H4" s="24"/>
    </row>
    <row r="5" spans="1:13" s="146" customFormat="1" ht="36">
      <c r="A5" s="141" t="s">
        <v>99</v>
      </c>
      <c r="B5" s="142" t="s">
        <v>339</v>
      </c>
      <c r="C5" s="143">
        <v>2021</v>
      </c>
      <c r="D5" s="144">
        <v>2022</v>
      </c>
      <c r="E5" s="143">
        <v>2023</v>
      </c>
      <c r="F5" s="144">
        <v>2024</v>
      </c>
      <c r="G5" s="143">
        <v>2025</v>
      </c>
      <c r="H5" s="145" t="s">
        <v>149</v>
      </c>
    </row>
    <row r="6" spans="1:13" ht="39" customHeight="1">
      <c r="A6" s="134" t="str">
        <f>BugetComplet!$F$2</f>
        <v>1.</v>
      </c>
      <c r="B6" s="136" t="str">
        <f>BugetComplet!$G$2</f>
        <v xml:space="preserve">Снижение новых случаев ВИЧ-инфекции </v>
      </c>
      <c r="C6" s="135">
        <f>BugetComplet!$Q$2</f>
        <v>42435517.280000001</v>
      </c>
      <c r="D6" s="135">
        <f>BugetComplet!$R$2</f>
        <v>47680399.608000003</v>
      </c>
      <c r="E6" s="135">
        <f>BugetComplet!$S$2</f>
        <v>53394573.695999995</v>
      </c>
      <c r="F6" s="135">
        <f>BugetComplet!$T$2</f>
        <v>25476063.7236</v>
      </c>
      <c r="G6" s="135">
        <f>BugetComplet!$U$2</f>
        <v>32046359.099999998</v>
      </c>
      <c r="H6" s="135">
        <f>BugetComplet!$V$2</f>
        <v>201032913.40759999</v>
      </c>
      <c r="I6" s="23"/>
      <c r="J6" s="23"/>
      <c r="K6" s="23"/>
      <c r="L6" s="23"/>
      <c r="M6" s="23"/>
    </row>
    <row r="7" spans="1:13" ht="30">
      <c r="A7" s="129" t="str">
        <f>BugetComplet!F$3</f>
        <v>1.1</v>
      </c>
      <c r="B7" s="128" t="str">
        <f>BugetComplet!G$3</f>
        <v>Активизировать усилия по профилактике ВИЧ в ключевых группах с высоким уровнем риска инфицирования</v>
      </c>
      <c r="C7" s="130">
        <f>BugetComplet!Q$3</f>
        <v>35545280.18</v>
      </c>
      <c r="D7" s="130">
        <f>BugetComplet!R$3</f>
        <v>40737098.408</v>
      </c>
      <c r="E7" s="130">
        <f>BugetComplet!S$3</f>
        <v>45830231.795999996</v>
      </c>
      <c r="F7" s="130">
        <f>BugetComplet!T$3</f>
        <v>19274037.073600002</v>
      </c>
      <c r="G7" s="130">
        <f>BugetComplet!U$3</f>
        <v>25124909.259999998</v>
      </c>
      <c r="H7" s="130">
        <f>BugetComplet!V$3</f>
        <v>166511556.71759999</v>
      </c>
      <c r="I7" s="23"/>
      <c r="J7" s="23"/>
      <c r="K7" s="23"/>
      <c r="L7" s="23"/>
      <c r="M7" s="23"/>
    </row>
    <row r="8" spans="1:13" ht="36" customHeight="1">
      <c r="A8" s="131" t="str">
        <f>BugetComplet!F$4</f>
        <v>1.1.1</v>
      </c>
      <c r="B8" s="133" t="str">
        <f>BugetComplet!G$4</f>
        <v>Предоставление пакета профилактических услуг для МСМ и ТГ</v>
      </c>
      <c r="C8" s="132">
        <f>BugetComplet!Q$4</f>
        <v>5349090</v>
      </c>
      <c r="D8" s="132">
        <f>BugetComplet!R$4</f>
        <v>6243547.5</v>
      </c>
      <c r="E8" s="132">
        <f>BugetComplet!S$4</f>
        <v>7138005</v>
      </c>
      <c r="F8" s="132">
        <f>BugetComplet!T$4</f>
        <v>3494625.0000000005</v>
      </c>
      <c r="G8" s="132">
        <f>BugetComplet!U$4</f>
        <v>5006655</v>
      </c>
      <c r="H8" s="132">
        <f>BugetComplet!V$4</f>
        <v>27231922.5</v>
      </c>
    </row>
    <row r="9" spans="1:13" ht="36" customHeight="1">
      <c r="A9" s="131" t="str">
        <f>BugetComplet!F$45</f>
        <v>1.1.2</v>
      </c>
      <c r="B9" s="133" t="str">
        <f>BugetComplet!G$45</f>
        <v>Представление пакета профилактических услуг для ЛУИН</v>
      </c>
      <c r="C9" s="132">
        <f>BugetComplet!Q$45</f>
        <v>16687521.879999999</v>
      </c>
      <c r="D9" s="132">
        <f>BugetComplet!R$45</f>
        <v>18346859.368000001</v>
      </c>
      <c r="E9" s="132">
        <f>BugetComplet!S$45</f>
        <v>20006196.855999999</v>
      </c>
      <c r="F9" s="132">
        <f>BugetComplet!T$45</f>
        <v>6373502.8096000003</v>
      </c>
      <c r="G9" s="132">
        <f>BugetComplet!U$45</f>
        <v>8006312.6799999997</v>
      </c>
      <c r="H9" s="132">
        <f>BugetComplet!V$45</f>
        <v>69420393.593600005</v>
      </c>
    </row>
    <row r="10" spans="1:13" ht="36" customHeight="1">
      <c r="A10" s="137" t="str">
        <f>BugetComplet!F$86</f>
        <v>1.1.3</v>
      </c>
      <c r="B10" s="139" t="str">
        <f>BugetComplet!G$86</f>
        <v>Расширение фармакологического лечения опиатной зависимости в гражданском и пенитенциарном секторе</v>
      </c>
      <c r="C10" s="132">
        <f>BugetComplet!Q$86</f>
        <v>1576471.8399999999</v>
      </c>
      <c r="D10" s="132">
        <f>BugetComplet!R$86</f>
        <v>2677745.08</v>
      </c>
      <c r="E10" s="132">
        <f>BugetComplet!S$86</f>
        <v>3680333.4800000004</v>
      </c>
      <c r="F10" s="132">
        <f>BugetComplet!T$86</f>
        <v>3173505.5999999996</v>
      </c>
      <c r="G10" s="132">
        <f>BugetComplet!U$86</f>
        <v>3966882</v>
      </c>
      <c r="H10" s="132">
        <f>BugetComplet!V$86</f>
        <v>15074938</v>
      </c>
    </row>
    <row r="11" spans="1:13" ht="36" customHeight="1">
      <c r="A11" s="137" t="str">
        <f>BugetComplet!F$157</f>
        <v>1.1.4</v>
      </c>
      <c r="B11" s="139" t="str">
        <f>BugetComplet!G$157</f>
        <v>Представление пакета профилактических услуг для РС (в том числе мужчин и ТГ)</v>
      </c>
      <c r="C11" s="132">
        <f>BugetComplet!Q$157</f>
        <v>9048240</v>
      </c>
      <c r="D11" s="132">
        <f>BugetComplet!R$157</f>
        <v>10179270</v>
      </c>
      <c r="E11" s="132">
        <f>BugetComplet!S$157</f>
        <v>11310300</v>
      </c>
      <c r="F11" s="132">
        <f>BugetComplet!T$157</f>
        <v>4536864</v>
      </c>
      <c r="G11" s="132">
        <f>BugetComplet!U$157</f>
        <v>5954634</v>
      </c>
      <c r="H11" s="132">
        <f>BugetComplet!V$157</f>
        <v>41029308</v>
      </c>
    </row>
    <row r="12" spans="1:13" ht="36" customHeight="1">
      <c r="A12" s="137" t="str">
        <f>BugetComplet!F$188</f>
        <v>1.1.5</v>
      </c>
      <c r="B12" s="139" t="str">
        <f>BugetComplet!G$188</f>
        <v>Предоставление профилактических услуг для заключенных</v>
      </c>
      <c r="C12" s="132">
        <f>BugetComplet!Q$188</f>
        <v>2883956.46</v>
      </c>
      <c r="D12" s="132">
        <f>BugetComplet!R$188</f>
        <v>3289676.46</v>
      </c>
      <c r="E12" s="132">
        <f>BugetComplet!S$188</f>
        <v>3695396.46</v>
      </c>
      <c r="F12" s="132">
        <f>BugetComplet!T$188</f>
        <v>1695539.6640000001</v>
      </c>
      <c r="G12" s="132">
        <f>BugetComplet!U$188</f>
        <v>2190425.58</v>
      </c>
      <c r="H12" s="132">
        <f>BugetComplet!V$188</f>
        <v>13754994.624</v>
      </c>
    </row>
    <row r="13" spans="1:13" ht="30">
      <c r="A13" s="129" t="str">
        <f>BugetComplet!F$219</f>
        <v>1.2</v>
      </c>
      <c r="B13" s="128" t="str">
        <f>BugetComplet!G$219</f>
        <v>Внедрить и расширить усилия по профилактике ВИЧ-инфекции с помощью комбинированных эффективных доказательных подходов</v>
      </c>
      <c r="C13" s="130">
        <f>BugetComplet!Q$219</f>
        <v>2752441.0999999996</v>
      </c>
      <c r="D13" s="130">
        <f>BugetComplet!R$219</f>
        <v>3029191.2</v>
      </c>
      <c r="E13" s="130">
        <f>BugetComplet!S$219</f>
        <v>3486435.9</v>
      </c>
      <c r="F13" s="130">
        <f>BugetComplet!T$219</f>
        <v>2233786.65</v>
      </c>
      <c r="G13" s="130">
        <f>BugetComplet!U$219</f>
        <v>2919439.84</v>
      </c>
      <c r="H13" s="130">
        <f>BugetComplet!V$219</f>
        <v>14421294.689999999</v>
      </c>
    </row>
    <row r="14" spans="1:13" ht="36" customHeight="1">
      <c r="A14" s="137" t="str">
        <f>BugetComplet!F$220</f>
        <v>1.2.1</v>
      </c>
      <c r="B14" s="139" t="str">
        <f>BugetComplet!G$220</f>
        <v>Обеспечить всеобщий доступ к ДКП</v>
      </c>
      <c r="C14" s="132">
        <f>BugetComplet!Q$220</f>
        <v>662067</v>
      </c>
      <c r="D14" s="132">
        <f>BugetComplet!R$220</f>
        <v>836377</v>
      </c>
      <c r="E14" s="132">
        <f>BugetComplet!S$220</f>
        <v>1242092</v>
      </c>
      <c r="F14" s="132">
        <f>BugetComplet!T$220</f>
        <v>946895</v>
      </c>
      <c r="G14" s="132">
        <f>BugetComplet!U$220</f>
        <v>1423520</v>
      </c>
      <c r="H14" s="132">
        <f>BugetComplet!V$220</f>
        <v>5110951</v>
      </c>
    </row>
    <row r="15" spans="1:13" ht="36" customHeight="1">
      <c r="A15" s="137" t="str">
        <f>BugetComplet!F$281</f>
        <v>1.2.2</v>
      </c>
      <c r="B15" s="139" t="str">
        <f>BugetComplet!G$281</f>
        <v>Обеспечение ПКП всех случаев рисков инфицирования с ВИЧ, обратившихся за ПКП</v>
      </c>
      <c r="C15" s="132">
        <f>BugetComplet!Q$281</f>
        <v>39500</v>
      </c>
      <c r="D15" s="132">
        <f>BugetComplet!R$281</f>
        <v>69500</v>
      </c>
      <c r="E15" s="132">
        <f>BugetComplet!S$281</f>
        <v>19500</v>
      </c>
      <c r="F15" s="132">
        <f>BugetComplet!T$281</f>
        <v>19500</v>
      </c>
      <c r="G15" s="132">
        <f>BugetComplet!U$281</f>
        <v>19500</v>
      </c>
      <c r="H15" s="132">
        <f>BugetComplet!V$281</f>
        <v>167500</v>
      </c>
    </row>
    <row r="16" spans="1:13" ht="36" customHeight="1">
      <c r="A16" s="137" t="str">
        <f>BugetComplet!F$312</f>
        <v>1.2.3</v>
      </c>
      <c r="B16" s="139" t="str">
        <f>BugetComplet!G$312</f>
        <v>Предоставление мобильных услуг по профилактике и тестированию  среди всех групп</v>
      </c>
      <c r="C16" s="132">
        <f>BugetComplet!Q$312</f>
        <v>592200</v>
      </c>
      <c r="D16" s="132">
        <f>BugetComplet!R$312</f>
        <v>592200</v>
      </c>
      <c r="E16" s="132">
        <f>BugetComplet!S$312</f>
        <v>592200</v>
      </c>
      <c r="F16" s="132">
        <f>BugetComplet!T$312</f>
        <v>0</v>
      </c>
      <c r="G16" s="132">
        <f>BugetComplet!U$312</f>
        <v>0</v>
      </c>
      <c r="H16" s="132">
        <f>BugetComplet!V$312</f>
        <v>1776600</v>
      </c>
    </row>
    <row r="17" spans="1:8" ht="36" customHeight="1">
      <c r="A17" s="137" t="str">
        <f>BugetComplet!F$323</f>
        <v>1.2.4</v>
      </c>
      <c r="B17" s="139" t="str">
        <f>BugetComplet!G$323</f>
        <v>Предоставление профилактических услуг посредством других альтернативных источников</v>
      </c>
      <c r="C17" s="132">
        <f>BugetComplet!Q$323</f>
        <v>1234234.8999999999</v>
      </c>
      <c r="D17" s="132">
        <f>BugetComplet!R$323</f>
        <v>1380124.5999999999</v>
      </c>
      <c r="E17" s="132">
        <f>BugetComplet!S$323</f>
        <v>1526014.2999999998</v>
      </c>
      <c r="F17" s="132">
        <f>BugetComplet!T$323</f>
        <v>1267391.6499999999</v>
      </c>
      <c r="G17" s="132">
        <f>BugetComplet!U$323</f>
        <v>1476419.8399999999</v>
      </c>
      <c r="H17" s="132">
        <f>BugetComplet!V$323</f>
        <v>6884185.2899999991</v>
      </c>
    </row>
    <row r="18" spans="1:8" ht="36" customHeight="1">
      <c r="A18" s="137" t="str">
        <f>BugetComplet!F$334</f>
        <v>1.2.5</v>
      </c>
      <c r="B18" s="139" t="str">
        <f>BugetComplet!G$334</f>
        <v>Поддержка и развитие инновационных профилактических проектов</v>
      </c>
      <c r="C18" s="132">
        <f>BugetComplet!Q$334</f>
        <v>224439.2</v>
      </c>
      <c r="D18" s="132">
        <f>BugetComplet!R$334</f>
        <v>150989.6</v>
      </c>
      <c r="E18" s="132">
        <f>BugetComplet!S$334</f>
        <v>106629.6</v>
      </c>
      <c r="F18" s="132">
        <f>BugetComplet!T$334</f>
        <v>0</v>
      </c>
      <c r="G18" s="132">
        <f>BugetComplet!U$334</f>
        <v>0</v>
      </c>
      <c r="H18" s="132">
        <f>BugetComplet!V$334</f>
        <v>482058.4</v>
      </c>
    </row>
    <row r="19" spans="1:8">
      <c r="A19" s="129" t="str">
        <f>BugetComplet!F$395</f>
        <v>1.3</v>
      </c>
      <c r="B19" s="128" t="str">
        <f>BugetComplet!G$395</f>
        <v>Обеспечение мероприятий для ликвидации передачи ВИЧ от матери ребенку</v>
      </c>
      <c r="C19" s="130">
        <f>BugetComplet!Q$395</f>
        <v>4137796</v>
      </c>
      <c r="D19" s="130">
        <f>BugetComplet!R$395</f>
        <v>3914110</v>
      </c>
      <c r="E19" s="130">
        <f>BugetComplet!S$395</f>
        <v>4077906</v>
      </c>
      <c r="F19" s="130">
        <f>BugetComplet!T$395</f>
        <v>3968240</v>
      </c>
      <c r="G19" s="130">
        <f>BugetComplet!U$395</f>
        <v>4002010</v>
      </c>
      <c r="H19" s="130">
        <f>BugetComplet!V$395</f>
        <v>20100062</v>
      </c>
    </row>
    <row r="20" spans="1:8" ht="36" customHeight="1">
      <c r="A20" s="137" t="str">
        <f>BugetComplet!F$396</f>
        <v>1.3.1</v>
      </c>
      <c r="B20" s="139" t="str">
        <f>BugetComplet!G$396</f>
        <v>Укрепление систем здравохранения для ликвидации передачи ВИЧ от матери ребенку</v>
      </c>
      <c r="C20" s="132">
        <f>BugetComplet!Q$396</f>
        <v>2074506</v>
      </c>
      <c r="D20" s="132">
        <f>BugetComplet!R$396</f>
        <v>1866950</v>
      </c>
      <c r="E20" s="132">
        <f>BugetComplet!S$396</f>
        <v>2042726</v>
      </c>
      <c r="F20" s="132">
        <f>BugetComplet!T$396</f>
        <v>1947350</v>
      </c>
      <c r="G20" s="132">
        <f>BugetComplet!U$396</f>
        <v>1987550</v>
      </c>
      <c r="H20" s="132">
        <f>BugetComplet!V$396</f>
        <v>9919082</v>
      </c>
    </row>
    <row r="21" spans="1:8" ht="36" customHeight="1">
      <c r="A21" s="137" t="str">
        <f>BugetComplet!F$457</f>
        <v>1.3.2</v>
      </c>
      <c r="B21" s="139" t="str">
        <f>BugetComplet!G$457</f>
        <v>Обеспечение универсального доступа к тестирования на ВИЧ и ИППП для беременных женщин</v>
      </c>
      <c r="C21" s="132">
        <f>BugetComplet!Q$457</f>
        <v>1767040</v>
      </c>
      <c r="D21" s="132">
        <f>BugetComplet!R$457</f>
        <v>1747160</v>
      </c>
      <c r="E21" s="132">
        <f>BugetComplet!S$457</f>
        <v>1727680</v>
      </c>
      <c r="F21" s="132">
        <f>BugetComplet!T$457</f>
        <v>1709640</v>
      </c>
      <c r="G21" s="132">
        <f>BugetComplet!U$457</f>
        <v>1691960</v>
      </c>
      <c r="H21" s="132">
        <f>BugetComplet!V$457</f>
        <v>8643480</v>
      </c>
    </row>
    <row r="22" spans="1:8" ht="36" customHeight="1">
      <c r="A22" s="137" t="str">
        <f>BugetComplet!F$478</f>
        <v>1.3.3</v>
      </c>
      <c r="B22" s="139" t="str">
        <f>BugetComplet!G$478</f>
        <v>Обеспечение  универсального доступа к тестированию новорожденных</v>
      </c>
      <c r="C22" s="132">
        <f>BugetComplet!Q$478</f>
        <v>296250</v>
      </c>
      <c r="D22" s="132">
        <f>BugetComplet!R$478</f>
        <v>300000</v>
      </c>
      <c r="E22" s="132">
        <f>BugetComplet!S$478</f>
        <v>307500</v>
      </c>
      <c r="F22" s="132">
        <f>BugetComplet!T$478</f>
        <v>311250</v>
      </c>
      <c r="G22" s="132">
        <f>BugetComplet!U$478</f>
        <v>322500</v>
      </c>
      <c r="H22" s="132">
        <f>BugetComplet!V$478</f>
        <v>1537500</v>
      </c>
    </row>
    <row r="23" spans="1:8" ht="36">
      <c r="A23" s="134" t="str">
        <f>BugetComplet!F$509</f>
        <v>2.</v>
      </c>
      <c r="B23" s="136" t="str">
        <f>BugetComplet!G$509</f>
        <v xml:space="preserve">90/90/90 Повышение доступа к медицинской помощи и улучшение показателей здоровья людей, живущих с ВИЧ </v>
      </c>
      <c r="C23" s="135">
        <f>BugetComplet!Q$509</f>
        <v>119002628.66496883</v>
      </c>
      <c r="D23" s="135">
        <f>BugetComplet!R$509</f>
        <v>124908454.85818654</v>
      </c>
      <c r="E23" s="135">
        <f>BugetComplet!S$509</f>
        <v>127945262.48652601</v>
      </c>
      <c r="F23" s="135">
        <f>BugetComplet!T$509</f>
        <v>123652361.22213948</v>
      </c>
      <c r="G23" s="135">
        <f>BugetComplet!U$509</f>
        <v>128524745.04538926</v>
      </c>
      <c r="H23" s="135">
        <f>BugetComplet!V$509</f>
        <v>624033452.27721012</v>
      </c>
    </row>
    <row r="24" spans="1:8" ht="30">
      <c r="A24" s="129" t="str">
        <f>BugetComplet!F$510</f>
        <v>2.1</v>
      </c>
      <c r="B24" s="128" t="str">
        <f>BugetComplet!G$510</f>
        <v xml:space="preserve">Развивать и поддерживать современные подходы тестирования на ВИЧ для раннего выявления ВИЧ-инфекции (finding the positives) </v>
      </c>
      <c r="C24" s="130">
        <f>BugetComplet!Q510</f>
        <v>34828584.6624</v>
      </c>
      <c r="D24" s="130">
        <f>BugetComplet!R510</f>
        <v>35188291.281400003</v>
      </c>
      <c r="E24" s="130">
        <f>BugetComplet!S510</f>
        <v>35689320.335299999</v>
      </c>
      <c r="F24" s="130">
        <f>BugetComplet!T510</f>
        <v>35204279.215750001</v>
      </c>
      <c r="G24" s="130">
        <f>BugetComplet!U510</f>
        <v>35825166.384000003</v>
      </c>
      <c r="H24" s="130">
        <f>BugetComplet!V510</f>
        <v>176735641.87884998</v>
      </c>
    </row>
    <row r="25" spans="1:8" ht="36" customHeight="1">
      <c r="A25" s="137" t="str">
        <f>BugetComplet!F$511</f>
        <v>2.1.1</v>
      </c>
      <c r="B25" s="139" t="str">
        <f>BugetComplet!G$511</f>
        <v>Обеспечение всеобщего доступа к услугам по тестированию на ВИЧ и ИППП для групп риска</v>
      </c>
      <c r="C25" s="132">
        <f>BugetComplet!Q$511</f>
        <v>1117934.8463999999</v>
      </c>
      <c r="D25" s="132">
        <f>BugetComplet!R$511</f>
        <v>1254556.8269999998</v>
      </c>
      <c r="E25" s="132">
        <f>BugetComplet!S$511</f>
        <v>1514402.8616999998</v>
      </c>
      <c r="F25" s="132">
        <f>BugetComplet!T$511</f>
        <v>1336506.0773499999</v>
      </c>
      <c r="G25" s="132">
        <f>BugetComplet!U$511</f>
        <v>1680379.4239999999</v>
      </c>
      <c r="H25" s="132">
        <f>BugetComplet!V$511</f>
        <v>6903780.0364499995</v>
      </c>
    </row>
    <row r="26" spans="1:8" ht="36" customHeight="1">
      <c r="A26" s="137" t="str">
        <f>BugetComplet!F$562</f>
        <v>2.1.2</v>
      </c>
      <c r="B26" s="139" t="str">
        <f>BugetComplet!G$562</f>
        <v>Обеспечение всеобщего доступа к  тестированию на ВИЧ и ИППП образцов крови, собранных в Службе переливания крови</v>
      </c>
      <c r="C26" s="132">
        <f>BugetComplet!Q$562</f>
        <v>0</v>
      </c>
      <c r="D26" s="132">
        <f>BugetComplet!R$562</f>
        <v>0</v>
      </c>
      <c r="E26" s="132">
        <f>BugetComplet!S$562</f>
        <v>0</v>
      </c>
      <c r="F26" s="132">
        <f>BugetComplet!T$562</f>
        <v>0</v>
      </c>
      <c r="G26" s="132">
        <f>BugetComplet!U$562</f>
        <v>0</v>
      </c>
      <c r="H26" s="132">
        <f>BugetComplet!V$562</f>
        <v>0</v>
      </c>
    </row>
    <row r="27" spans="1:8" ht="36" customHeight="1">
      <c r="A27" s="137" t="str">
        <f>BugetComplet!F573</f>
        <v>2.1.3</v>
      </c>
      <c r="B27" s="139" t="str">
        <f>BugetComplet!G573</f>
        <v>Обеспечение всеобщего доступа к услугам по тестированию на ВИЧ и ИППП по инициативе медицинского работника  (клинические показания, бюрократия и т. Д.)</v>
      </c>
      <c r="C27" s="132">
        <f>BugetComplet!Q573</f>
        <v>31764585</v>
      </c>
      <c r="D27" s="132">
        <f>BugetComplet!R573</f>
        <v>31826860</v>
      </c>
      <c r="E27" s="132">
        <f>BugetComplet!S573</f>
        <v>31890435</v>
      </c>
      <c r="F27" s="132">
        <f>BugetComplet!T573</f>
        <v>31954835</v>
      </c>
      <c r="G27" s="132">
        <f>BugetComplet!U573</f>
        <v>32020520</v>
      </c>
      <c r="H27" s="132">
        <f>BugetComplet!V573</f>
        <v>159457235</v>
      </c>
    </row>
    <row r="28" spans="1:8" ht="36" customHeight="1">
      <c r="A28" s="137" t="str">
        <f>BugetComplet!F$624</f>
        <v>2.1.4</v>
      </c>
      <c r="B28" s="139" t="str">
        <f>BugetComplet!G$624</f>
        <v>Развитие и продвижение возможностей самотестирования на ВИЧ</v>
      </c>
      <c r="C28" s="132">
        <f>BugetComplet!Q$624</f>
        <v>646064.81599999999</v>
      </c>
      <c r="D28" s="132">
        <f>BugetComplet!R$624</f>
        <v>706874.45440000005</v>
      </c>
      <c r="E28" s="132">
        <f>BugetComplet!S$624</f>
        <v>784482.47360000003</v>
      </c>
      <c r="F28" s="132">
        <f>BugetComplet!T$624</f>
        <v>792938.13840000005</v>
      </c>
      <c r="G28" s="132">
        <f>BugetComplet!U$624</f>
        <v>934266.95999999985</v>
      </c>
      <c r="H28" s="132">
        <f>BugetComplet!V$624</f>
        <v>3864626.8423999995</v>
      </c>
    </row>
    <row r="29" spans="1:8" s="386" customFormat="1" ht="36" customHeight="1">
      <c r="A29" s="137" t="str">
        <f>BugetComplet!F645</f>
        <v>2.1.5</v>
      </c>
      <c r="B29" s="139" t="str">
        <f>BugetComplet!G645</f>
        <v>Развитие и стимулирование индексного тестирования для выявления новых случаев ВИЧ  и Сифилиса</v>
      </c>
      <c r="C29" s="132">
        <f>BugetComplet!Q645</f>
        <v>1300000</v>
      </c>
      <c r="D29" s="132">
        <f>BugetComplet!R645</f>
        <v>1400000</v>
      </c>
      <c r="E29" s="132">
        <f>BugetComplet!S645</f>
        <v>1500000</v>
      </c>
      <c r="F29" s="132">
        <f>BugetComplet!T645</f>
        <v>1120000</v>
      </c>
      <c r="G29" s="132">
        <f>BugetComplet!U645</f>
        <v>1190000</v>
      </c>
      <c r="H29" s="132">
        <f>BugetComplet!V645</f>
        <v>6510000</v>
      </c>
    </row>
    <row r="30" spans="1:8" ht="30">
      <c r="A30" s="129" t="str">
        <f>BugetComplet!F$666</f>
        <v>2.2</v>
      </c>
      <c r="B30" s="128" t="str">
        <f>BugetComplet!G$666</f>
        <v xml:space="preserve">Сформировать устойчивые системы, способствующие раннему назначению АРТ </v>
      </c>
      <c r="C30" s="130">
        <f>BugetComplet!Q$666</f>
        <v>42140182.459177136</v>
      </c>
      <c r="D30" s="130">
        <f>BugetComplet!R$666</f>
        <v>46155519.261394851</v>
      </c>
      <c r="E30" s="130">
        <f>BugetComplet!S$666</f>
        <v>50191307.063834339</v>
      </c>
      <c r="F30" s="130">
        <f>BugetComplet!T$666</f>
        <v>54138923.746997774</v>
      </c>
      <c r="G30" s="130">
        <f>BugetComplet!U$666</f>
        <v>58270936.029997565</v>
      </c>
      <c r="H30" s="130">
        <f>BugetComplet!V$666</f>
        <v>250896868.56140167</v>
      </c>
    </row>
    <row r="31" spans="1:8" ht="36" customHeight="1">
      <c r="A31" s="137" t="str">
        <f>BugetComplet!F$667</f>
        <v>2.2.1</v>
      </c>
      <c r="B31" s="139" t="str">
        <f>BugetComplet!G$667</f>
        <v>Обеспечение универсального доступа для подтверждения ВИЧ-инфекции и сифилиса с помощью лабораторных методов для своевременного назначения АРТ</v>
      </c>
      <c r="C31" s="138">
        <f>BugetComplet!Q$667</f>
        <v>2064810.999177143</v>
      </c>
      <c r="D31" s="138">
        <f>BugetComplet!R$667</f>
        <v>2269321.0013948577</v>
      </c>
      <c r="E31" s="138">
        <f>BugetComplet!S$667</f>
        <v>2494282.0038343435</v>
      </c>
      <c r="F31" s="138">
        <f>BugetComplet!T$667</f>
        <v>2631071.886997778</v>
      </c>
      <c r="G31" s="138">
        <f>BugetComplet!U$667</f>
        <v>2892207.9779975559</v>
      </c>
      <c r="H31" s="138">
        <f>BugetComplet!V$667</f>
        <v>12351693.869401677</v>
      </c>
    </row>
    <row r="32" spans="1:8" ht="36" customHeight="1">
      <c r="A32" s="137" t="str">
        <f>BugetComplet!F$758</f>
        <v>2.2.2</v>
      </c>
      <c r="B32" s="139" t="str">
        <f>BugetComplet!G$758</f>
        <v xml:space="preserve"> Обеспечение универсального доступа для подтверждения диагноза других ИППП с помощью лабораторных методов.</v>
      </c>
      <c r="C32" s="138">
        <f>BugetComplet!Q758</f>
        <v>0</v>
      </c>
      <c r="D32" s="138">
        <f>BugetComplet!R758</f>
        <v>0</v>
      </c>
      <c r="E32" s="138">
        <f>BugetComplet!S758</f>
        <v>0</v>
      </c>
      <c r="F32" s="138">
        <f>BugetComplet!T758</f>
        <v>0</v>
      </c>
      <c r="G32" s="138">
        <f>BugetComplet!U758</f>
        <v>0</v>
      </c>
      <c r="H32" s="138">
        <f>BugetComplet!V758</f>
        <v>0</v>
      </c>
    </row>
    <row r="33" spans="1:8" ht="36" customHeight="1">
      <c r="A33" s="137" t="str">
        <f>BugetComplet!F$819</f>
        <v>2.2.3</v>
      </c>
      <c r="B33" s="139" t="str">
        <f>BugetComplet!G$819</f>
        <v>Обеспечение доступа к АРВ лечению и лечению сифилиса</v>
      </c>
      <c r="C33" s="138">
        <f>BugetComplet!Q$819</f>
        <v>40075371.459999993</v>
      </c>
      <c r="D33" s="138">
        <f>BugetComplet!R$819</f>
        <v>43886198.25999999</v>
      </c>
      <c r="E33" s="138">
        <f>BugetComplet!S$819</f>
        <v>47697025.059999995</v>
      </c>
      <c r="F33" s="138">
        <f>BugetComplet!T$819</f>
        <v>51507851.859999992</v>
      </c>
      <c r="G33" s="138">
        <f>BugetComplet!U$819</f>
        <v>55378728.052000009</v>
      </c>
      <c r="H33" s="138">
        <f>BugetComplet!V$819</f>
        <v>238545174.69199997</v>
      </c>
    </row>
    <row r="34" spans="1:8" ht="30">
      <c r="A34" s="129" t="str">
        <f>BugetComplet!F$910</f>
        <v>2.3</v>
      </c>
      <c r="B34" s="128" t="str">
        <f>BugetComplet!G$910</f>
        <v xml:space="preserve">Удержаниe пациентов для достижения устойчивого угнетения вируса для снижения риска передачи ВИЧ </v>
      </c>
      <c r="C34" s="130">
        <f>BugetComplet!Q$910</f>
        <v>41112257.943391696</v>
      </c>
      <c r="D34" s="130">
        <f>BugetComplet!R$910</f>
        <v>41547120.715391695</v>
      </c>
      <c r="E34" s="130">
        <f>BugetComplet!S$910</f>
        <v>40179291.487391688</v>
      </c>
      <c r="F34" s="130">
        <f>BugetComplet!T$910</f>
        <v>34309158.259391695</v>
      </c>
      <c r="G34" s="130">
        <f>BugetComplet!U$910</f>
        <v>34428642.631391697</v>
      </c>
      <c r="H34" s="130">
        <f>BugetComplet!V$910</f>
        <v>191576471.03695849</v>
      </c>
    </row>
    <row r="35" spans="1:8" ht="36" customHeight="1">
      <c r="A35" s="137" t="str">
        <f>BugetComplet!F$911</f>
        <v>2.3.1</v>
      </c>
      <c r="B35" s="139" t="str">
        <f>BugetComplet!G$911</f>
        <v xml:space="preserve"> Повышение эффективности лечения путем обеспечения приверженности к АРТ</v>
      </c>
      <c r="C35" s="138">
        <f>BugetComplet!Q$911</f>
        <v>3710000</v>
      </c>
      <c r="D35" s="138">
        <f>BugetComplet!R$911</f>
        <v>3710000</v>
      </c>
      <c r="E35" s="138">
        <f>BugetComplet!S$911</f>
        <v>3710402</v>
      </c>
      <c r="F35" s="138">
        <f>BugetComplet!T$911</f>
        <v>0</v>
      </c>
      <c r="G35" s="138">
        <f>BugetComplet!U$911</f>
        <v>0</v>
      </c>
      <c r="H35" s="138">
        <f>BugetComplet!V$911</f>
        <v>11130402</v>
      </c>
    </row>
    <row r="36" spans="1:8" ht="36" customHeight="1">
      <c r="A36" s="137" t="str">
        <f>BugetComplet!F$932</f>
        <v>2.3.2</v>
      </c>
      <c r="B36" s="139" t="str">
        <f>BugetComplet!G$932</f>
        <v xml:space="preserve">Вовлечение Социальных Центров для оказанию полного пакета услуг ЛЖВ и  для групп риска </v>
      </c>
      <c r="C36" s="138">
        <f>BugetComplet!Q$932</f>
        <v>4964300</v>
      </c>
      <c r="D36" s="138">
        <f>BugetComplet!R$932</f>
        <v>6730218</v>
      </c>
      <c r="E36" s="138">
        <f>BugetComplet!S$932</f>
        <v>6806936</v>
      </c>
      <c r="F36" s="138">
        <f>BugetComplet!T$932</f>
        <v>6052154</v>
      </c>
      <c r="G36" s="138">
        <f>BugetComplet!U$932</f>
        <v>7545572</v>
      </c>
      <c r="H36" s="138">
        <f>BugetComplet!V$932</f>
        <v>32099180</v>
      </c>
    </row>
    <row r="37" spans="1:8" ht="36" customHeight="1">
      <c r="A37" s="137" t="str">
        <f>BugetComplet!F$983</f>
        <v>2.3.3</v>
      </c>
      <c r="B37" s="139" t="str">
        <f>BugetComplet!G$983</f>
        <v xml:space="preserve"> Обеспечение мониторинга лечения пациентов с ВИЧ </v>
      </c>
      <c r="C37" s="138">
        <f>BugetComplet!Q$983</f>
        <v>7864362.666666666</v>
      </c>
      <c r="D37" s="138">
        <f>BugetComplet!R$983</f>
        <v>8639367.666666666</v>
      </c>
      <c r="E37" s="138">
        <f>BugetComplet!S$983</f>
        <v>9414372.666666666</v>
      </c>
      <c r="F37" s="138">
        <f>BugetComplet!T$983</f>
        <v>10189377.666666668</v>
      </c>
      <c r="G37" s="138">
        <f>BugetComplet!U$983</f>
        <v>10976594.866666665</v>
      </c>
      <c r="H37" s="138">
        <f>BugetComplet!V$983</f>
        <v>47084075.533333331</v>
      </c>
    </row>
    <row r="38" spans="1:8" ht="36" customHeight="1">
      <c r="A38" s="137" t="str">
        <f>BugetComplet!F$1044</f>
        <v>2.3.4</v>
      </c>
      <c r="B38" s="139" t="str">
        <f>BugetComplet!G$1044</f>
        <v>Диагностика, профилактика и лечение ОИ и сопутствующих заболеваний</v>
      </c>
      <c r="C38" s="138">
        <f>BugetComplet!Q$1044</f>
        <v>24556648.276725028</v>
      </c>
      <c r="D38" s="138">
        <f>BugetComplet!R$1044</f>
        <v>22450588.048725028</v>
      </c>
      <c r="E38" s="138">
        <f>BugetComplet!S$1044</f>
        <v>20230633.820725024</v>
      </c>
      <c r="F38" s="138">
        <f>BugetComplet!T$1044</f>
        <v>18067626.592725027</v>
      </c>
      <c r="G38" s="138">
        <f>BugetComplet!U$1044</f>
        <v>15906475.764725029</v>
      </c>
      <c r="H38" s="138">
        <f>BugetComplet!V$1044</f>
        <v>101211972.50362514</v>
      </c>
    </row>
    <row r="39" spans="1:8" ht="36" customHeight="1">
      <c r="A39" s="137" t="str">
        <f>BugetComplet!F$1145</f>
        <v>2.3.5</v>
      </c>
      <c r="B39" s="139" t="str">
        <f>BugetComplet!G$1145</f>
        <v>Надзор за эффективностью применения АРВ препаратов</v>
      </c>
      <c r="C39" s="138">
        <f>BugetComplet!Q$1145</f>
        <v>16947</v>
      </c>
      <c r="D39" s="138">
        <f>BugetComplet!R$1145</f>
        <v>16947</v>
      </c>
      <c r="E39" s="138">
        <f>BugetComplet!S$1145</f>
        <v>16947</v>
      </c>
      <c r="F39" s="138">
        <f>BugetComplet!T$1145</f>
        <v>0</v>
      </c>
      <c r="G39" s="138">
        <f>BugetComplet!U$1145</f>
        <v>0</v>
      </c>
      <c r="H39" s="138">
        <f>BugetComplet!V$1145</f>
        <v>50841</v>
      </c>
    </row>
    <row r="40" spans="1:8" ht="45">
      <c r="A40" s="129" t="str">
        <f>BugetComplet!F$1166</f>
        <v>2.4</v>
      </c>
      <c r="B40" s="128" t="str">
        <f>BugetComplet!G$1166</f>
        <v xml:space="preserve">Улучшение каскада лечения - устранение потерь с помощью дифференцированных моделей ухода и лечения, децентрализации, качества помощи, непрерывного подхода и интеграци профилактики и лечения </v>
      </c>
      <c r="C40" s="130">
        <f>BugetComplet!Q$1166</f>
        <v>921603.6</v>
      </c>
      <c r="D40" s="130">
        <f>BugetComplet!R$1166</f>
        <v>2017523.6</v>
      </c>
      <c r="E40" s="130">
        <f>BugetComplet!S$1166</f>
        <v>1885343.6</v>
      </c>
      <c r="F40" s="130">
        <f>BugetComplet!T$1166</f>
        <v>0</v>
      </c>
      <c r="G40" s="130">
        <f>BugetComplet!U$1166</f>
        <v>0</v>
      </c>
      <c r="H40" s="130">
        <f>BugetComplet!V$1166</f>
        <v>4824470.8000000007</v>
      </c>
    </row>
    <row r="41" spans="1:8" ht="36" customHeight="1">
      <c r="A41" s="137" t="str">
        <f>BugetComplet!F$1167</f>
        <v>2.4.1</v>
      </c>
      <c r="B41" s="139" t="str">
        <f>BugetComplet!G$1167</f>
        <v>Разработать дифференцированную модель предоставления услуг, включая расчет стоимости пакетов услуг</v>
      </c>
      <c r="C41" s="138">
        <f>BugetComplet!Q$1167</f>
        <v>336540</v>
      </c>
      <c r="D41" s="138">
        <f>BugetComplet!R$1167</f>
        <v>36540</v>
      </c>
      <c r="E41" s="138">
        <f>BugetComplet!S$1167</f>
        <v>36540</v>
      </c>
      <c r="F41" s="138">
        <f>BugetComplet!T$1167</f>
        <v>0</v>
      </c>
      <c r="G41" s="138">
        <f>BugetComplet!U$1167</f>
        <v>0</v>
      </c>
      <c r="H41" s="138">
        <f>BugetComplet!V$1167</f>
        <v>409620</v>
      </c>
    </row>
    <row r="42" spans="1:8" ht="36" customHeight="1">
      <c r="A42" s="137" t="str">
        <f>BugetComplet!F$1228</f>
        <v>2.4.2</v>
      </c>
      <c r="B42" s="139" t="str">
        <f>BugetComplet!G$1228</f>
        <v>Поддержка и развитие подходов по децентрализации лечения</v>
      </c>
      <c r="C42" s="138">
        <f>BugetComplet!Q$1228</f>
        <v>357682.6</v>
      </c>
      <c r="D42" s="138">
        <f>BugetComplet!R$1228</f>
        <v>1817962.6</v>
      </c>
      <c r="E42" s="138">
        <f>BugetComplet!S$1228</f>
        <v>1777962.6</v>
      </c>
      <c r="F42" s="138">
        <f>BugetComplet!T$1228</f>
        <v>0</v>
      </c>
      <c r="G42" s="138">
        <f>BugetComplet!U$1228</f>
        <v>0</v>
      </c>
      <c r="H42" s="138">
        <f>BugetComplet!V$1228</f>
        <v>3953607.8000000003</v>
      </c>
    </row>
    <row r="43" spans="1:8" ht="36" customHeight="1">
      <c r="A43" s="137" t="str">
        <f>BugetComplet!F$1299</f>
        <v>2.4.3</v>
      </c>
      <c r="B43" s="139" t="str">
        <f>BugetComplet!G$1299</f>
        <v>Укрепление системы здравохранения для обеспечения непрерывности услуг</v>
      </c>
      <c r="C43" s="138">
        <f>BugetComplet!Q$1299</f>
        <v>72180</v>
      </c>
      <c r="D43" s="138">
        <f>BugetComplet!R$1299</f>
        <v>52180</v>
      </c>
      <c r="E43" s="138">
        <f>BugetComplet!S$1299</f>
        <v>20000</v>
      </c>
      <c r="F43" s="138">
        <f>BugetComplet!T$1299</f>
        <v>0</v>
      </c>
      <c r="G43" s="138">
        <f>BugetComplet!U$1299</f>
        <v>0</v>
      </c>
      <c r="H43" s="138">
        <f>BugetComplet!V$1299</f>
        <v>144360</v>
      </c>
    </row>
    <row r="44" spans="1:8" ht="36" customHeight="1">
      <c r="A44" s="137" t="str">
        <f>BugetComplet!F$1340</f>
        <v>2.4.4</v>
      </c>
      <c r="B44" s="139" t="str">
        <f>BugetComplet!G$1340</f>
        <v>Укрепление системы здравохранения с целью интегрирования услуг по диагностике и лечению ВИЧ / ТБ / ВГ / ИППП / TSO на всеж уровнях (УСЗ)</v>
      </c>
      <c r="C44" s="138">
        <f>BugetComplet!Q$1340</f>
        <v>155201</v>
      </c>
      <c r="D44" s="138">
        <f>BugetComplet!R$1340</f>
        <v>110841</v>
      </c>
      <c r="E44" s="138">
        <f>BugetComplet!S$1340</f>
        <v>50841</v>
      </c>
      <c r="F44" s="138">
        <f>BugetComplet!T$1340</f>
        <v>0</v>
      </c>
      <c r="G44" s="138">
        <f>BugetComplet!U$1340</f>
        <v>0</v>
      </c>
      <c r="H44" s="138">
        <f>BugetComplet!V$1340</f>
        <v>316883</v>
      </c>
    </row>
    <row r="45" spans="1:8" ht="36" customHeight="1">
      <c r="A45" s="137" t="str">
        <f>BugetComplet!F$1401</f>
        <v>2.4.5</v>
      </c>
      <c r="B45" s="139" t="str">
        <f>BugetComplet!G$1401</f>
        <v xml:space="preserve">Укрепление системы здравохранения с целю улучшения качества предоставления услуг </v>
      </c>
      <c r="C45" s="138">
        <f>BugetComplet!Q$1401</f>
        <v>0</v>
      </c>
      <c r="D45" s="138">
        <f>BugetComplet!R$1401</f>
        <v>0</v>
      </c>
      <c r="E45" s="138">
        <f>BugetComplet!S$1401</f>
        <v>0</v>
      </c>
      <c r="F45" s="138">
        <f>BugetComplet!T$1401</f>
        <v>0</v>
      </c>
      <c r="G45" s="138">
        <f>BugetComplet!U$1401</f>
        <v>0</v>
      </c>
      <c r="H45" s="138">
        <f>BugetComplet!V$1401</f>
        <v>0</v>
      </c>
    </row>
    <row r="46" spans="1:8" ht="54">
      <c r="A46" s="134" t="str">
        <f>BugetComplet!F$1432</f>
        <v>3.</v>
      </c>
      <c r="B46" s="136" t="str">
        <f>BugetComplet!G$1432</f>
        <v>Обеспечение эффективного управления Программой, в том числе путем укрепления системы здравоохранения (стратегической информации)</v>
      </c>
      <c r="C46" s="135">
        <f ca="1">BugetComplet!Q$1432</f>
        <v>13829785.498699997</v>
      </c>
      <c r="D46" s="135">
        <f ca="1">BugetComplet!R$1432</f>
        <v>11416097.556000002</v>
      </c>
      <c r="E46" s="135">
        <f ca="1">BugetComplet!S$1432</f>
        <v>10217978.104600001</v>
      </c>
      <c r="F46" s="135">
        <f ca="1">BugetComplet!T$1432</f>
        <v>2898254.5505599999</v>
      </c>
      <c r="G46" s="135">
        <f ca="1">BugetComplet!U$1432</f>
        <v>2963123.515416</v>
      </c>
      <c r="H46" s="135">
        <f ca="1">BugetComplet!V$1432</f>
        <v>41325239.225276001</v>
      </c>
    </row>
    <row r="47" spans="1:8" ht="45">
      <c r="A47" s="129" t="str">
        <f>BugetComplet!F$1433</f>
        <v>3.1</v>
      </c>
      <c r="B47" s="128" t="str">
        <f>BugetComplet!G$1433</f>
        <v>Укрепить потенциал и улучшить  системы управления, координации и администрирования для эффективного управления программами по ВИЧ/ТБ/ Гепатитам</v>
      </c>
      <c r="C47" s="130">
        <f>BugetComplet!Q$1433</f>
        <v>2374182.6</v>
      </c>
      <c r="D47" s="130">
        <f>BugetComplet!R$1433</f>
        <v>2461050</v>
      </c>
      <c r="E47" s="130">
        <f>BugetComplet!S$1433</f>
        <v>2344500</v>
      </c>
      <c r="F47" s="130">
        <f>BugetComplet!T$1433</f>
        <v>1781910</v>
      </c>
      <c r="G47" s="130">
        <f>BugetComplet!U$1433</f>
        <v>1781910</v>
      </c>
      <c r="H47" s="130">
        <f>BugetComplet!V$1433</f>
        <v>10743552.6</v>
      </c>
    </row>
    <row r="48" spans="1:8" ht="36" customHeight="1">
      <c r="A48" s="137" t="str">
        <f>BugetComplet!F$1434</f>
        <v>3.1.1</v>
      </c>
      <c r="B48" s="139" t="str">
        <f>BugetComplet!G$1434</f>
        <v>Усиление координации програм путем укрепления потенциала управления программой</v>
      </c>
      <c r="C48" s="138">
        <f>BugetComplet!Q$1434</f>
        <v>2374182.6</v>
      </c>
      <c r="D48" s="138">
        <f>BugetComplet!R$1434</f>
        <v>2284500</v>
      </c>
      <c r="E48" s="138">
        <f>BugetComplet!S$1434</f>
        <v>2284500</v>
      </c>
      <c r="F48" s="138">
        <f>BugetComplet!T$1434</f>
        <v>1781910</v>
      </c>
      <c r="G48" s="138">
        <f>BugetComplet!U$1434</f>
        <v>1781910</v>
      </c>
      <c r="H48" s="138">
        <f>BugetComplet!V$1434</f>
        <v>10507002.6</v>
      </c>
    </row>
    <row r="49" spans="1:8" ht="36" customHeight="1">
      <c r="A49" s="137" t="str">
        <f>BugetComplet!F$1455</f>
        <v>3.1.2</v>
      </c>
      <c r="B49" s="139" t="str">
        <f>BugetComplet!G$1455</f>
        <v>Повышение координации менеджмента программ по ВИЧ, ТБ и гепатитам</v>
      </c>
      <c r="C49" s="138">
        <f>BugetComplet!Q1455</f>
        <v>0</v>
      </c>
      <c r="D49" s="138">
        <f>BugetComplet!R1455</f>
        <v>176550</v>
      </c>
      <c r="E49" s="138">
        <f>BugetComplet!S1455</f>
        <v>60000</v>
      </c>
      <c r="F49" s="138">
        <f>BugetComplet!T1455</f>
        <v>0</v>
      </c>
      <c r="G49" s="138">
        <f>BugetComplet!U1455</f>
        <v>0</v>
      </c>
      <c r="H49" s="138">
        <f>BugetComplet!V1455</f>
        <v>236550</v>
      </c>
    </row>
    <row r="50" spans="1:8" ht="30">
      <c r="A50" s="129" t="str">
        <f>BugetComplet!F$1486</f>
        <v>3.2</v>
      </c>
      <c r="B50" s="128" t="str">
        <f>BugetComplet!G$1486</f>
        <v>Предоставить своевременную, качественую информацию для принятия стратегических решений</v>
      </c>
      <c r="C50" s="130">
        <f ca="1">BugetComplet!Q$1486</f>
        <v>7290648.8886999991</v>
      </c>
      <c r="D50" s="130">
        <f ca="1">BugetComplet!R$1486</f>
        <v>2699240.676</v>
      </c>
      <c r="E50" s="130">
        <f ca="1">BugetComplet!S$1486</f>
        <v>3003230.3056000001</v>
      </c>
      <c r="F50" s="130">
        <f ca="1">BugetComplet!T$1486</f>
        <v>127465.72856000002</v>
      </c>
      <c r="G50" s="130">
        <f ca="1">BugetComplet!U$1486</f>
        <v>159683.85741600004</v>
      </c>
      <c r="H50" s="130">
        <f ca="1">BugetComplet!V$1486</f>
        <v>13280269.456276001</v>
      </c>
    </row>
    <row r="51" spans="1:8" ht="36" customHeight="1">
      <c r="A51" s="137" t="str">
        <f>BugetComplet!F$1487</f>
        <v>3.2.1</v>
      </c>
      <c r="B51" s="139" t="str">
        <f>BugetComplet!G$1487</f>
        <v>Создать интегрированную платформу для Стратегической информации  и обеспечение ефективной работы (SIME HIV)</v>
      </c>
      <c r="C51" s="138">
        <f>BugetComplet!Q$1487</f>
        <v>4271983.0866999999</v>
      </c>
      <c r="D51" s="138">
        <f>BugetComplet!R$1487</f>
        <v>827566.6</v>
      </c>
      <c r="E51" s="138">
        <f>BugetComplet!S$1487</f>
        <v>827566.6</v>
      </c>
      <c r="F51" s="138">
        <f>BugetComplet!T$1487</f>
        <v>0</v>
      </c>
      <c r="G51" s="138">
        <f>BugetComplet!U$1487</f>
        <v>0</v>
      </c>
      <c r="H51" s="138">
        <f>BugetComplet!V$1487</f>
        <v>5927116.2866999991</v>
      </c>
    </row>
    <row r="52" spans="1:8" ht="36" customHeight="1">
      <c r="A52" s="137" t="str">
        <f>BugetComplet!F$1528</f>
        <v>3.2.2</v>
      </c>
      <c r="B52" s="139" t="str">
        <f>BugetComplet!G$1528</f>
        <v xml:space="preserve"> Реструктуризация и усиление системы МиО</v>
      </c>
      <c r="C52" s="138">
        <f>BugetComplet!Q$1528</f>
        <v>866216.34000000008</v>
      </c>
      <c r="D52" s="138">
        <f>BugetComplet!R$1528</f>
        <v>866216.34000000008</v>
      </c>
      <c r="E52" s="138">
        <f>BugetComplet!S$1528</f>
        <v>947836.36</v>
      </c>
      <c r="F52" s="138">
        <f>BugetComplet!T$1528</f>
        <v>8700</v>
      </c>
      <c r="G52" s="138">
        <f>BugetComplet!U$1528</f>
        <v>8700</v>
      </c>
      <c r="H52" s="138">
        <f>BugetComplet!V$1528</f>
        <v>2697669.04</v>
      </c>
    </row>
    <row r="53" spans="1:8" ht="36" customHeight="1">
      <c r="A53" s="137" t="str">
        <f>BugetComplet!F$1599</f>
        <v>3.2.3</v>
      </c>
      <c r="B53" s="139" t="str">
        <f>BugetComplet!G$1599</f>
        <v>Обеспечение эпидемиологического надзора (рутинного и cased based)  за ВИЧ и ИППП, интегрированного в систему   ГНОЗ .</v>
      </c>
      <c r="C53" s="138">
        <f>BugetComplet!Q$1599</f>
        <v>122629</v>
      </c>
      <c r="D53" s="138">
        <f>BugetComplet!R$1599</f>
        <v>37894</v>
      </c>
      <c r="E53" s="138">
        <f>BugetComplet!S$1599</f>
        <v>37894</v>
      </c>
      <c r="F53" s="138">
        <f>BugetComplet!T$1599</f>
        <v>0</v>
      </c>
      <c r="G53" s="138">
        <f>BugetComplet!U$1599</f>
        <v>0</v>
      </c>
      <c r="H53" s="138">
        <f>BugetComplet!V$1599</f>
        <v>198417</v>
      </c>
    </row>
    <row r="54" spans="1:8" ht="36" customHeight="1">
      <c r="A54" s="137" t="str">
        <f>BugetComplet!F$1670</f>
        <v>3.2.4</v>
      </c>
      <c r="B54" s="139" t="str">
        <f>BugetComplet!G$1670</f>
        <v>Проведение операционных и эпидемиологических исследований</v>
      </c>
      <c r="C54" s="138">
        <f ca="1">BugetComplet!Q$1670</f>
        <v>2029820.4619999998</v>
      </c>
      <c r="D54" s="138">
        <f ca="1">BugetComplet!R$1670</f>
        <v>967563.73600000003</v>
      </c>
      <c r="E54" s="138">
        <f ca="1">BugetComplet!S$1670</f>
        <v>1189933.3456000001</v>
      </c>
      <c r="F54" s="138">
        <f ca="1">BugetComplet!T$1670</f>
        <v>118765.72856000002</v>
      </c>
      <c r="G54" s="138">
        <f ca="1">BugetComplet!U$1670</f>
        <v>150983.85741600004</v>
      </c>
      <c r="H54" s="138">
        <f ca="1">BugetComplet!V$1670</f>
        <v>4457067.1295760004</v>
      </c>
    </row>
    <row r="55" spans="1:8" ht="36" customHeight="1">
      <c r="A55" s="137" t="str">
        <f>BugetComplet!F$1821</f>
        <v>3.2.5</v>
      </c>
      <c r="B55" s="139" t="str">
        <f>BugetComplet!G$1821</f>
        <v xml:space="preserve">Обеспечение распространения данных и  отчетов. </v>
      </c>
      <c r="C55" s="138">
        <f>BugetComplet!Q$1821</f>
        <v>0</v>
      </c>
      <c r="D55" s="138">
        <f>BugetComplet!R$1821</f>
        <v>0</v>
      </c>
      <c r="E55" s="138">
        <f>BugetComplet!S$1821</f>
        <v>0</v>
      </c>
      <c r="F55" s="138">
        <f>BugetComplet!T$1821</f>
        <v>0</v>
      </c>
      <c r="G55" s="138">
        <f>BugetComplet!U$1821</f>
        <v>0</v>
      </c>
      <c r="H55" s="138">
        <f>BugetComplet!V$1821</f>
        <v>0</v>
      </c>
    </row>
    <row r="56" spans="1:8" ht="45">
      <c r="A56" s="129" t="str">
        <f>BugetComplet!F$1842</f>
        <v>3.3</v>
      </c>
      <c r="B56" s="128" t="str">
        <f>BugetComplet!G$1842</f>
        <v>Укрепление потенциала Службы тестирования и диагностики ВИЧ / ИППП путем обеспечения качественных результатов как минимум в 95% подразделений тестирования и диагностики ВИЧ / ИППП.</v>
      </c>
      <c r="C56" s="130">
        <f ca="1">BugetComplet!Q$1842</f>
        <v>946650.10999999987</v>
      </c>
      <c r="D56" s="130">
        <f ca="1">BugetComplet!R$1842</f>
        <v>988061.52200000011</v>
      </c>
      <c r="E56" s="130">
        <f ca="1">BugetComplet!S$1842</f>
        <v>2036349.8990000002</v>
      </c>
      <c r="F56" s="130">
        <f ca="1">BugetComplet!T$1842</f>
        <v>393878.82200000004</v>
      </c>
      <c r="G56" s="130">
        <f ca="1">BugetComplet!U$1842</f>
        <v>426529.658</v>
      </c>
      <c r="H56" s="130">
        <f ca="1">BugetComplet!V$1842</f>
        <v>4791470.0109999999</v>
      </c>
    </row>
    <row r="57" spans="1:8" ht="36" customHeight="1">
      <c r="A57" s="137" t="str">
        <f>BugetComplet!F$1843</f>
        <v>3.3.1</v>
      </c>
      <c r="B57" s="139" t="str">
        <f>BugetComplet!G$1843</f>
        <v>Создание и укрепление Национальной референс лаборатории по ВИЧ / ИППП.</v>
      </c>
      <c r="C57" s="138">
        <f ca="1">BugetComplet!Q$1843</f>
        <v>469881.43599999999</v>
      </c>
      <c r="D57" s="138">
        <f ca="1">BugetComplet!R$1843</f>
        <v>692865</v>
      </c>
      <c r="E57" s="138">
        <f ca="1">BugetComplet!S$1843</f>
        <v>1682981.436</v>
      </c>
      <c r="F57" s="138">
        <f ca="1">BugetComplet!T$1843</f>
        <v>290865</v>
      </c>
      <c r="G57" s="138">
        <f ca="1">BugetComplet!U$1843</f>
        <v>317181.43599999999</v>
      </c>
      <c r="H57" s="138">
        <f ca="1">BugetComplet!V$1843</f>
        <v>3453774.3080000002</v>
      </c>
    </row>
    <row r="58" spans="1:8" ht="36" customHeight="1">
      <c r="A58" s="137" t="str">
        <f>BugetComplet!F$1914</f>
        <v>3.3.2</v>
      </c>
      <c r="B58" s="139" t="str">
        <f>BugetComplet!G$1914</f>
        <v>Создание и укрепление региональных лабораторий по подтверждению ВИЧ</v>
      </c>
      <c r="C58" s="138">
        <f ca="1">BugetComplet!Q$1914</f>
        <v>250078.47399999999</v>
      </c>
      <c r="D58" s="138">
        <f ca="1">BugetComplet!R$1914</f>
        <v>155572.22200000001</v>
      </c>
      <c r="E58" s="138">
        <f ca="1">BugetComplet!S$1914</f>
        <v>198079.36300000001</v>
      </c>
      <c r="F58" s="138">
        <f ca="1">BugetComplet!T$1914</f>
        <v>103013.82200000001</v>
      </c>
      <c r="G58" s="138">
        <f ca="1">BugetComplet!U$1914</f>
        <v>109348.22200000001</v>
      </c>
      <c r="H58" s="138">
        <f ca="1">BugetComplet!V$1914</f>
        <v>816092.10300000012</v>
      </c>
    </row>
    <row r="59" spans="1:8" ht="36" customHeight="1">
      <c r="A59" s="137" t="str">
        <f>BugetComplet!F$1955</f>
        <v>3.3.3</v>
      </c>
      <c r="B59" s="139" t="str">
        <f>BugetComplet!G$1955</f>
        <v>Обзор политик и протоколов в области тестирования на ВИЧ / ИППП</v>
      </c>
      <c r="C59" s="138">
        <f>BugetComplet!Q$1955</f>
        <v>96086</v>
      </c>
      <c r="D59" s="138">
        <f>BugetComplet!R$1955</f>
        <v>47080</v>
      </c>
      <c r="E59" s="138">
        <f>BugetComplet!S$1955</f>
        <v>21400</v>
      </c>
      <c r="F59" s="138">
        <f>BugetComplet!T$1955</f>
        <v>0</v>
      </c>
      <c r="G59" s="138">
        <f>BugetComplet!U$1955</f>
        <v>0</v>
      </c>
      <c r="H59" s="138">
        <f>BugetComplet!V$1955</f>
        <v>164566</v>
      </c>
    </row>
    <row r="60" spans="1:8" ht="36" customHeight="1">
      <c r="A60" s="137" t="str">
        <f>BugetComplet!F$1986</f>
        <v>3.3.4</v>
      </c>
      <c r="B60" s="139" t="str">
        <f>BugetComplet!G$1986</f>
        <v>Развитие человеческих ресурсов для службы тестирования на ВИЧ</v>
      </c>
      <c r="C60" s="138">
        <f ca="1">BugetComplet!Q$1986</f>
        <v>130604.20000000001</v>
      </c>
      <c r="D60" s="138">
        <f ca="1">BugetComplet!R$1986</f>
        <v>92544.299999999988</v>
      </c>
      <c r="E60" s="138">
        <f ca="1">BugetComplet!S$1986</f>
        <v>133889.09999999998</v>
      </c>
      <c r="F60" s="138">
        <f ca="1">BugetComplet!T$1986</f>
        <v>0</v>
      </c>
      <c r="G60" s="138">
        <f ca="1">BugetComplet!U$1986</f>
        <v>0</v>
      </c>
      <c r="H60" s="138">
        <f ca="1">BugetComplet!V$1986</f>
        <v>357037.6</v>
      </c>
    </row>
    <row r="61" spans="1:8" ht="30">
      <c r="A61" s="129" t="str">
        <f>BugetComplet!F$2007</f>
        <v>3.4</v>
      </c>
      <c r="B61" s="128" t="str">
        <f>BugetComplet!G$2007</f>
        <v>Обеспечить эффективность внедрения программы путем инвестиции в знания и навыки, необходимые для предоставления услуг</v>
      </c>
      <c r="C61" s="130">
        <f>BugetComplet!Q$2007</f>
        <v>0</v>
      </c>
      <c r="D61" s="130">
        <f>BugetComplet!R$2007</f>
        <v>1935953.1580000001</v>
      </c>
      <c r="E61" s="130">
        <f>BugetComplet!S$2007</f>
        <v>213894</v>
      </c>
      <c r="F61" s="130">
        <f>BugetComplet!T$2007</f>
        <v>0</v>
      </c>
      <c r="G61" s="130">
        <f>BugetComplet!U$2007</f>
        <v>0</v>
      </c>
      <c r="H61" s="130">
        <f>BugetComplet!V$2007</f>
        <v>2149847.1579999998</v>
      </c>
    </row>
    <row r="62" spans="1:8" ht="36" customHeight="1">
      <c r="A62" s="137" t="str">
        <f>BugetComplet!F$2008</f>
        <v>3.4.1</v>
      </c>
      <c r="B62" s="139" t="str">
        <f>BugetComplet!G$2008</f>
        <v>Усовершенствование государственной политики по планированию и развитию  человеческих ресурсов для выполнения программы</v>
      </c>
      <c r="C62" s="138">
        <f>BugetComplet!Q$2008</f>
        <v>0</v>
      </c>
      <c r="D62" s="138">
        <f>BugetComplet!R$2008</f>
        <v>0</v>
      </c>
      <c r="E62" s="138">
        <f>BugetComplet!S$2008</f>
        <v>133894</v>
      </c>
      <c r="F62" s="138">
        <f>BugetComplet!T$2008</f>
        <v>0</v>
      </c>
      <c r="G62" s="138">
        <f>BugetComplet!U$2008</f>
        <v>0</v>
      </c>
      <c r="H62" s="138">
        <f>BugetComplet!V$2008</f>
        <v>133894</v>
      </c>
    </row>
    <row r="63" spans="1:8" ht="36" customHeight="1">
      <c r="A63" s="137" t="str">
        <f>BugetComplet!F$2039</f>
        <v>3.4.2</v>
      </c>
      <c r="B63" s="139" t="str">
        <f>BugetComplet!G$2039</f>
        <v>Оперативное управление человеческими ресурсами и обеспечение непрерывного профессионального развития</v>
      </c>
      <c r="C63" s="138">
        <f>BugetComplet!Q$2039</f>
        <v>0</v>
      </c>
      <c r="D63" s="138">
        <f>BugetComplet!R$2039</f>
        <v>1935953.1580000001</v>
      </c>
      <c r="E63" s="138">
        <f>BugetComplet!S$2039</f>
        <v>80000</v>
      </c>
      <c r="F63" s="138">
        <f>BugetComplet!T$2039</f>
        <v>0</v>
      </c>
      <c r="G63" s="138">
        <f>BugetComplet!U$2039</f>
        <v>0</v>
      </c>
      <c r="H63" s="138">
        <f>BugetComplet!V$2039</f>
        <v>2015953.1580000001</v>
      </c>
    </row>
    <row r="64" spans="1:8" ht="30">
      <c r="A64" s="129" t="str">
        <f>BugetComplet!F$2070</f>
        <v>3.5</v>
      </c>
      <c r="B64" s="128" t="str">
        <f>BugetComplet!G$2070</f>
        <v>Устранить барьеры для внедрения технологии (диагностика, лаборатория), лекарственные препараты и усиление системы снабжения. (УСЗ)</v>
      </c>
      <c r="C64" s="130">
        <f>BugetComplet!Q$2070</f>
        <v>0</v>
      </c>
      <c r="D64" s="130">
        <f>BugetComplet!R$2070</f>
        <v>131788.29999999999</v>
      </c>
      <c r="E64" s="130">
        <f>BugetComplet!S$2070</f>
        <v>40000</v>
      </c>
      <c r="F64" s="130">
        <f>BugetComplet!T$2070</f>
        <v>0</v>
      </c>
      <c r="G64" s="130">
        <f>BugetComplet!U$2070</f>
        <v>0</v>
      </c>
      <c r="H64" s="130">
        <f>BugetComplet!V$2070</f>
        <v>171788.3</v>
      </c>
    </row>
    <row r="65" spans="1:8" ht="36" customHeight="1">
      <c r="A65" s="137" t="str">
        <f>BugetComplet!F$2071</f>
        <v>3.5.1</v>
      </c>
      <c r="B65" s="139" t="str">
        <f>BugetComplet!G$2071</f>
        <v>Укрепление правовой базы и разработка стандартов для усиления системы снабжения</v>
      </c>
      <c r="C65" s="138">
        <f>BugetComplet!Q$2071</f>
        <v>0</v>
      </c>
      <c r="D65" s="138">
        <f>BugetComplet!R$2071</f>
        <v>131788.29999999999</v>
      </c>
      <c r="E65" s="138">
        <f>BugetComplet!S$2071</f>
        <v>40000</v>
      </c>
      <c r="F65" s="138">
        <f>BugetComplet!T$2071</f>
        <v>0</v>
      </c>
      <c r="G65" s="138">
        <f>BugetComplet!U$2071</f>
        <v>0</v>
      </c>
      <c r="H65" s="138">
        <f>BugetComplet!V$2071</f>
        <v>171788.3</v>
      </c>
    </row>
    <row r="66" spans="1:8" ht="30">
      <c r="A66" s="129" t="str">
        <f>BugetComplet!F$2142</f>
        <v>3.6</v>
      </c>
      <c r="B66" s="128" t="str">
        <f>BugetComplet!G$2142</f>
        <v>Поддерживать адвокацию , коммуникацию и социальную мобилизацию гражданского общества путем укрепления системы сообществ</v>
      </c>
      <c r="C66" s="130">
        <f>BugetComplet!Q$2142</f>
        <v>1015842.6</v>
      </c>
      <c r="D66" s="130">
        <f>BugetComplet!R$2142</f>
        <v>1070842.6000000001</v>
      </c>
      <c r="E66" s="130">
        <f>BugetComplet!S$2142</f>
        <v>920842.6</v>
      </c>
      <c r="F66" s="130">
        <f>BugetComplet!T$2142</f>
        <v>0</v>
      </c>
      <c r="G66" s="130">
        <f>BugetComplet!U$2142</f>
        <v>0</v>
      </c>
      <c r="H66" s="130">
        <f>BugetComplet!V$2142</f>
        <v>3007527.8000000003</v>
      </c>
    </row>
    <row r="67" spans="1:8" ht="36" customHeight="1">
      <c r="A67" s="137" t="str">
        <f>BugetComplet!F$2143</f>
        <v>3.6.1</v>
      </c>
      <c r="B67" s="139" t="str">
        <f>BugetComplet!G$2143</f>
        <v xml:space="preserve"> Укрепить институциональный и организационный  потенциал НПО, работающих с ключевыми группами населения</v>
      </c>
      <c r="C67" s="138">
        <f>BugetComplet!Q$2143</f>
        <v>140000</v>
      </c>
      <c r="D67" s="138">
        <f>BugetComplet!R$2143</f>
        <v>315000</v>
      </c>
      <c r="E67" s="138">
        <f>BugetComplet!S$2143</f>
        <v>225000</v>
      </c>
      <c r="F67" s="138">
        <f>BugetComplet!T$2143</f>
        <v>0</v>
      </c>
      <c r="G67" s="138">
        <f>BugetComplet!U$2143</f>
        <v>0</v>
      </c>
      <c r="H67" s="138">
        <f>BugetComplet!V$2143</f>
        <v>680000</v>
      </c>
    </row>
    <row r="68" spans="1:8" ht="36" customHeight="1">
      <c r="A68" s="137" t="str">
        <f>BugetComplet!F$2164</f>
        <v>3.6.2</v>
      </c>
      <c r="B68" s="139" t="str">
        <f>BugetComplet!G$2164</f>
        <v>Cодействовать внедрению Национальной программы  путем мониторинга и адвокации силами сообшества</v>
      </c>
      <c r="C68" s="138">
        <f>BugetComplet!Q$2164</f>
        <v>875842.6</v>
      </c>
      <c r="D68" s="138">
        <f>BugetComplet!R$2164</f>
        <v>755842.6</v>
      </c>
      <c r="E68" s="138">
        <f>BugetComplet!S$2164</f>
        <v>695842.6</v>
      </c>
      <c r="F68" s="138">
        <f>BugetComplet!T$2164</f>
        <v>0</v>
      </c>
      <c r="G68" s="138">
        <f>BugetComplet!U$2164</f>
        <v>0</v>
      </c>
      <c r="H68" s="138">
        <f>BugetComplet!V$2164</f>
        <v>2327527.7999999998</v>
      </c>
    </row>
    <row r="69" spans="1:8">
      <c r="A69" s="129" t="str">
        <f>BugetComplet!F$2215</f>
        <v>3.7</v>
      </c>
      <c r="B69" s="128" t="str">
        <f>BugetComplet!G$2215</f>
        <v>Снизить стигму и дискриминацию, связанную с ВИЧ-статусом</v>
      </c>
      <c r="C69" s="130">
        <f>BugetComplet!Q$2215</f>
        <v>2202461.2999999998</v>
      </c>
      <c r="D69" s="130">
        <f>BugetComplet!R$2215</f>
        <v>2129161.2999999998</v>
      </c>
      <c r="E69" s="130">
        <f>BugetComplet!S$2215</f>
        <v>1659161.3</v>
      </c>
      <c r="F69" s="130">
        <f>BugetComplet!T$2215</f>
        <v>595000</v>
      </c>
      <c r="G69" s="130">
        <f>BugetComplet!U$2215</f>
        <v>595000</v>
      </c>
      <c r="H69" s="130">
        <f>BugetComplet!V$2215</f>
        <v>7180783.8999999994</v>
      </c>
    </row>
    <row r="70" spans="1:8" ht="36" customHeight="1">
      <c r="A70" s="137" t="str">
        <f>BugetComplet!F$2216</f>
        <v>3.7.1</v>
      </c>
      <c r="B70" s="139" t="str">
        <f>BugetComplet!G$2216</f>
        <v>Продвижение научно обоснованных подходов общественного здравоохранения к профилактике и лечению ВИЧ.</v>
      </c>
      <c r="C70" s="138">
        <f>BugetComplet!Q$2216</f>
        <v>595000</v>
      </c>
      <c r="D70" s="138">
        <f>BugetComplet!R$2216</f>
        <v>595000</v>
      </c>
      <c r="E70" s="138">
        <f>BugetComplet!S$2216</f>
        <v>595000</v>
      </c>
      <c r="F70" s="138">
        <f>BugetComplet!T$2216</f>
        <v>595000</v>
      </c>
      <c r="G70" s="138">
        <f>BugetComplet!U$2216</f>
        <v>595000</v>
      </c>
      <c r="H70" s="138">
        <f>BugetComplet!V$2216</f>
        <v>2975000</v>
      </c>
    </row>
    <row r="71" spans="1:8" ht="46.35" customHeight="1">
      <c r="A71" s="137" t="str">
        <f>BugetComplet!F$2237</f>
        <v>3.7.2</v>
      </c>
      <c r="B71" s="139" t="str">
        <f>BugetComplet!G$2237</f>
        <v>Усиление соблюдения законов о гражданских правах для защиты ЛЖВ и представителей групп риска от преследования, насилия, мести и дискриминации, связанных с ВИЧ-статусом.</v>
      </c>
      <c r="C71" s="138">
        <f>BugetComplet!Q$2237</f>
        <v>824841.3</v>
      </c>
      <c r="D71" s="138">
        <f>BugetComplet!R$2237</f>
        <v>824841.3</v>
      </c>
      <c r="E71" s="138">
        <f>BugetComplet!S$2237</f>
        <v>824841.3</v>
      </c>
      <c r="F71" s="138">
        <f>BugetComplet!T$2237</f>
        <v>0</v>
      </c>
      <c r="G71" s="138">
        <f>BugetComplet!U$2237</f>
        <v>0</v>
      </c>
      <c r="H71" s="138">
        <f>BugetComplet!V$2237</f>
        <v>2474523.9000000004</v>
      </c>
    </row>
    <row r="72" spans="1:8" ht="36" customHeight="1">
      <c r="A72" s="137" t="str">
        <f>BugetComplet!F$2278</f>
        <v>3.7.3</v>
      </c>
      <c r="B72" s="139" t="str">
        <f>BugetComplet!G$2278</f>
        <v>Мобилизация сообществ для снижения стигмы, связанной с ВИЧ.</v>
      </c>
      <c r="C72" s="138">
        <f>BugetComplet!Q$2278</f>
        <v>543300</v>
      </c>
      <c r="D72" s="138">
        <f>BugetComplet!R$2278</f>
        <v>470000</v>
      </c>
      <c r="E72" s="138">
        <f>BugetComplet!S$2278</f>
        <v>0</v>
      </c>
      <c r="F72" s="138">
        <f>BugetComplet!T$2278</f>
        <v>0</v>
      </c>
      <c r="G72" s="138">
        <f>BugetComplet!U$2278</f>
        <v>0</v>
      </c>
      <c r="H72" s="138">
        <f>BugetComplet!V$2278</f>
        <v>1013300</v>
      </c>
    </row>
    <row r="73" spans="1:8" ht="36" customHeight="1">
      <c r="A73" s="137" t="str">
        <f>BugetComplet!F$2309</f>
        <v>3.7.4</v>
      </c>
      <c r="B73" s="139" t="str">
        <f>BugetComplet!G$2309</f>
        <v>Поддержка  общественного (публичного) лидерства ЛЖВ и ключевых групп</v>
      </c>
      <c r="C73" s="138">
        <f>BugetComplet!Q$2309</f>
        <v>239320</v>
      </c>
      <c r="D73" s="138">
        <f>BugetComplet!R$2309</f>
        <v>239320</v>
      </c>
      <c r="E73" s="138">
        <f>BugetComplet!S$2309</f>
        <v>239320</v>
      </c>
      <c r="F73" s="138">
        <f>BugetComplet!T$2309</f>
        <v>0</v>
      </c>
      <c r="G73" s="138">
        <f>BugetComplet!U$2309</f>
        <v>0</v>
      </c>
      <c r="H73" s="138">
        <f>BugetComplet!V$2309</f>
        <v>717960</v>
      </c>
    </row>
    <row r="74" spans="1:8">
      <c r="C74" s="23"/>
      <c r="D74" s="23"/>
      <c r="E74" s="23"/>
      <c r="F74" s="23"/>
      <c r="G74" s="23"/>
      <c r="H74" s="23"/>
    </row>
    <row r="75" spans="1:8">
      <c r="C75" s="23"/>
      <c r="D75" s="23"/>
      <c r="E75" s="23"/>
      <c r="F75" s="23"/>
      <c r="G75" s="23"/>
      <c r="H75" s="23"/>
    </row>
    <row r="76" spans="1:8">
      <c r="C76" s="23"/>
      <c r="D76" s="23"/>
      <c r="E76" s="23"/>
      <c r="F76" s="23"/>
      <c r="G76" s="23"/>
      <c r="H76" s="23"/>
    </row>
    <row r="77" spans="1:8">
      <c r="C77" s="23"/>
      <c r="D77" s="23"/>
      <c r="E77" s="23"/>
      <c r="F77" s="23"/>
      <c r="G77" s="23"/>
      <c r="H77" s="23"/>
    </row>
    <row r="78" spans="1:8">
      <c r="C78" s="23"/>
      <c r="D78" s="23"/>
      <c r="E78" s="23"/>
      <c r="F78" s="23"/>
      <c r="G78" s="23"/>
      <c r="H78" s="23"/>
    </row>
    <row r="79" spans="1:8">
      <c r="C79" s="23"/>
      <c r="D79" s="23"/>
      <c r="E79" s="23"/>
      <c r="F79" s="23"/>
      <c r="G79" s="23"/>
      <c r="H79" s="23"/>
    </row>
    <row r="80" spans="1:8">
      <c r="C80" s="23"/>
      <c r="D80" s="23"/>
      <c r="E80" s="23"/>
      <c r="F80" s="23"/>
      <c r="G80" s="23"/>
      <c r="H80" s="23"/>
    </row>
    <row r="81" spans="3:8">
      <c r="C81" s="23"/>
      <c r="D81" s="23"/>
      <c r="E81" s="23"/>
      <c r="F81" s="23"/>
      <c r="G81" s="23"/>
      <c r="H81" s="23"/>
    </row>
    <row r="82" spans="3:8">
      <c r="C82" s="23"/>
      <c r="D82" s="23"/>
      <c r="E82" s="23"/>
      <c r="F82" s="23"/>
      <c r="G82" s="23"/>
      <c r="H82" s="23"/>
    </row>
    <row r="83" spans="3:8">
      <c r="C83" s="23"/>
      <c r="D83" s="23"/>
      <c r="E83" s="23"/>
      <c r="F83" s="23"/>
      <c r="G83" s="23"/>
      <c r="H83" s="23"/>
    </row>
    <row r="84" spans="3:8">
      <c r="C84" s="23"/>
      <c r="D84" s="23"/>
      <c r="E84" s="23"/>
      <c r="F84" s="23"/>
      <c r="G84" s="23"/>
      <c r="H84" s="23"/>
    </row>
    <row r="85" spans="3:8">
      <c r="C85" s="23"/>
      <c r="D85" s="23"/>
      <c r="E85" s="23"/>
      <c r="F85" s="23"/>
      <c r="G85" s="23"/>
      <c r="H85" s="23"/>
    </row>
    <row r="86" spans="3:8">
      <c r="C86" s="23"/>
      <c r="D86" s="23"/>
      <c r="E86" s="23"/>
      <c r="F86" s="23"/>
      <c r="G86" s="23"/>
      <c r="H86" s="23"/>
    </row>
    <row r="87" spans="3:8">
      <c r="C87" s="23"/>
      <c r="D87" s="23"/>
      <c r="E87" s="23"/>
      <c r="F87" s="23"/>
      <c r="G87" s="23"/>
      <c r="H87" s="23"/>
    </row>
    <row r="88" spans="3:8">
      <c r="C88" s="23"/>
      <c r="D88" s="23"/>
      <c r="E88" s="23"/>
      <c r="F88" s="23"/>
      <c r="G88" s="23"/>
      <c r="H88" s="23"/>
    </row>
    <row r="89" spans="3:8">
      <c r="C89" s="23"/>
      <c r="D89" s="23"/>
      <c r="E89" s="23"/>
      <c r="F89" s="23"/>
      <c r="G89" s="23"/>
      <c r="H89" s="23"/>
    </row>
    <row r="90" spans="3:8">
      <c r="C90" s="23"/>
      <c r="D90" s="23"/>
      <c r="E90" s="23"/>
      <c r="F90" s="23"/>
      <c r="G90" s="23"/>
      <c r="H90" s="23"/>
    </row>
    <row r="91" spans="3:8">
      <c r="C91" s="23"/>
      <c r="D91" s="23"/>
      <c r="E91" s="23"/>
      <c r="F91" s="23"/>
      <c r="G91" s="23"/>
      <c r="H91" s="23"/>
    </row>
    <row r="92" spans="3:8">
      <c r="C92" s="23"/>
      <c r="D92" s="23"/>
      <c r="E92" s="23"/>
      <c r="F92" s="23"/>
      <c r="G92" s="23"/>
      <c r="H92" s="23"/>
    </row>
    <row r="93" spans="3:8">
      <c r="C93" s="23"/>
      <c r="D93" s="23"/>
      <c r="E93" s="23"/>
      <c r="F93" s="23"/>
      <c r="G93" s="23"/>
      <c r="H93" s="23"/>
    </row>
    <row r="94" spans="3:8">
      <c r="C94" s="23"/>
      <c r="D94" s="23"/>
      <c r="E94" s="23"/>
      <c r="F94" s="23"/>
      <c r="G94" s="23"/>
      <c r="H94" s="23"/>
    </row>
    <row r="95" spans="3:8">
      <c r="C95" s="23"/>
      <c r="D95" s="23"/>
      <c r="E95" s="23"/>
      <c r="F95" s="23"/>
      <c r="G95" s="23"/>
      <c r="H95" s="23"/>
    </row>
    <row r="96" spans="3:8">
      <c r="C96" s="23"/>
      <c r="D96" s="23"/>
      <c r="E96" s="23"/>
      <c r="F96" s="23"/>
      <c r="G96" s="23"/>
      <c r="H96" s="23"/>
    </row>
    <row r="97" spans="3:8">
      <c r="C97" s="23"/>
      <c r="D97" s="23"/>
      <c r="E97" s="23"/>
      <c r="F97" s="23"/>
      <c r="G97" s="23"/>
      <c r="H97" s="23"/>
    </row>
    <row r="98" spans="3:8">
      <c r="C98" s="23"/>
      <c r="D98" s="23"/>
      <c r="E98" s="23"/>
      <c r="F98" s="23"/>
      <c r="G98" s="23"/>
      <c r="H98" s="23"/>
    </row>
    <row r="99" spans="3:8">
      <c r="C99" s="23"/>
      <c r="D99" s="23"/>
      <c r="E99" s="23"/>
      <c r="F99" s="23"/>
      <c r="G99" s="23"/>
      <c r="H99" s="23"/>
    </row>
    <row r="100" spans="3:8">
      <c r="C100" s="23"/>
      <c r="D100" s="23"/>
      <c r="E100" s="23"/>
      <c r="F100" s="23"/>
      <c r="G100" s="23"/>
      <c r="H100" s="23"/>
    </row>
    <row r="101" spans="3:8">
      <c r="C101" s="23"/>
      <c r="D101" s="23"/>
      <c r="E101" s="23"/>
      <c r="F101" s="23"/>
      <c r="G101" s="23"/>
      <c r="H101" s="23"/>
    </row>
    <row r="102" spans="3:8">
      <c r="C102" s="23"/>
      <c r="D102" s="23"/>
      <c r="E102" s="23"/>
      <c r="F102" s="23"/>
      <c r="G102" s="23"/>
      <c r="H102" s="23"/>
    </row>
    <row r="103" spans="3:8">
      <c r="C103" s="23"/>
      <c r="D103" s="23"/>
      <c r="E103" s="23"/>
      <c r="F103" s="23"/>
      <c r="G103" s="23"/>
      <c r="H103" s="23"/>
    </row>
    <row r="104" spans="3:8">
      <c r="C104" s="23"/>
      <c r="D104" s="23"/>
      <c r="E104" s="23"/>
      <c r="F104" s="23"/>
      <c r="G104" s="23"/>
      <c r="H104" s="23"/>
    </row>
    <row r="105" spans="3:8">
      <c r="C105" s="23"/>
      <c r="D105" s="23"/>
      <c r="E105" s="23"/>
      <c r="F105" s="23"/>
      <c r="G105" s="23"/>
      <c r="H105" s="23"/>
    </row>
    <row r="106" spans="3:8">
      <c r="C106" s="23"/>
      <c r="D106" s="23"/>
      <c r="E106" s="23"/>
      <c r="F106" s="23"/>
      <c r="G106" s="23"/>
      <c r="H106" s="23"/>
    </row>
    <row r="107" spans="3:8">
      <c r="C107" s="23"/>
      <c r="D107" s="23"/>
      <c r="E107" s="23"/>
      <c r="F107" s="23"/>
      <c r="G107" s="23"/>
      <c r="H107" s="23"/>
    </row>
    <row r="108" spans="3:8">
      <c r="C108" s="23"/>
      <c r="D108" s="23"/>
      <c r="E108" s="23"/>
      <c r="F108" s="23"/>
      <c r="G108" s="23"/>
      <c r="H108" s="23"/>
    </row>
    <row r="109" spans="3:8">
      <c r="C109" s="23"/>
      <c r="D109" s="23"/>
      <c r="E109" s="23"/>
      <c r="F109" s="23"/>
      <c r="G109" s="23"/>
      <c r="H109" s="23"/>
    </row>
    <row r="110" spans="3:8">
      <c r="C110" s="23"/>
      <c r="D110" s="23"/>
      <c r="E110" s="23"/>
      <c r="F110" s="23"/>
      <c r="G110" s="23"/>
      <c r="H110" s="23"/>
    </row>
    <row r="111" spans="3:8">
      <c r="C111" s="23"/>
      <c r="D111" s="23"/>
      <c r="E111" s="23"/>
      <c r="F111" s="23"/>
      <c r="G111" s="23"/>
      <c r="H111" s="23"/>
    </row>
    <row r="112" spans="3:8">
      <c r="C112" s="23"/>
      <c r="D112" s="23"/>
      <c r="E112" s="23"/>
      <c r="F112" s="23"/>
      <c r="G112" s="23"/>
      <c r="H112" s="23"/>
    </row>
    <row r="113" spans="3:8">
      <c r="C113" s="23"/>
      <c r="D113" s="23"/>
      <c r="E113" s="23"/>
      <c r="F113" s="23"/>
      <c r="G113" s="23"/>
      <c r="H113" s="23"/>
    </row>
    <row r="114" spans="3:8">
      <c r="C114" s="23"/>
      <c r="D114" s="23"/>
      <c r="E114" s="23"/>
      <c r="F114" s="23"/>
      <c r="G114" s="23"/>
      <c r="H114" s="23"/>
    </row>
    <row r="115" spans="3:8">
      <c r="C115" s="23"/>
      <c r="D115" s="23"/>
      <c r="E115" s="23"/>
      <c r="F115" s="23"/>
      <c r="G115" s="23"/>
      <c r="H115" s="23"/>
    </row>
    <row r="116" spans="3:8">
      <c r="C116" s="23"/>
      <c r="D116" s="23"/>
      <c r="E116" s="23"/>
      <c r="F116" s="23"/>
      <c r="G116" s="23"/>
      <c r="H116" s="23"/>
    </row>
    <row r="117" spans="3:8">
      <c r="C117" s="23"/>
      <c r="D117" s="23"/>
      <c r="E117" s="23"/>
      <c r="F117" s="23"/>
      <c r="G117" s="23"/>
      <c r="H117" s="23"/>
    </row>
    <row r="118" spans="3:8">
      <c r="C118" s="23"/>
      <c r="D118" s="23"/>
      <c r="E118" s="23"/>
      <c r="F118" s="23"/>
      <c r="G118" s="23"/>
      <c r="H118" s="23"/>
    </row>
    <row r="119" spans="3:8">
      <c r="C119" s="23"/>
      <c r="D119" s="23"/>
      <c r="E119" s="23"/>
      <c r="F119" s="23"/>
      <c r="G119" s="23"/>
      <c r="H119" s="23"/>
    </row>
    <row r="120" spans="3:8">
      <c r="C120" s="23"/>
      <c r="D120" s="23"/>
      <c r="E120" s="23"/>
      <c r="F120" s="23"/>
      <c r="G120" s="23"/>
      <c r="H120" s="23"/>
    </row>
    <row r="121" spans="3:8">
      <c r="C121" s="23"/>
      <c r="D121" s="23"/>
      <c r="E121" s="23"/>
      <c r="F121" s="23"/>
      <c r="G121" s="23"/>
      <c r="H121" s="23"/>
    </row>
    <row r="122" spans="3:8">
      <c r="C122" s="23"/>
      <c r="D122" s="23"/>
      <c r="E122" s="23"/>
      <c r="F122" s="23"/>
      <c r="G122" s="23"/>
      <c r="H122" s="23"/>
    </row>
    <row r="123" spans="3:8">
      <c r="C123" s="23"/>
      <c r="D123" s="23"/>
      <c r="E123" s="23"/>
      <c r="F123" s="23"/>
      <c r="G123" s="23"/>
      <c r="H123" s="23"/>
    </row>
    <row r="124" spans="3:8">
      <c r="C124" s="23"/>
      <c r="D124" s="23"/>
      <c r="E124" s="23"/>
      <c r="F124" s="23"/>
      <c r="G124" s="23"/>
      <c r="H124" s="23"/>
    </row>
    <row r="125" spans="3:8">
      <c r="C125" s="23"/>
      <c r="D125" s="23"/>
      <c r="E125" s="23"/>
      <c r="F125" s="23"/>
      <c r="G125" s="23"/>
      <c r="H125" s="23"/>
    </row>
    <row r="126" spans="3:8">
      <c r="C126" s="23"/>
      <c r="D126" s="23"/>
      <c r="E126" s="23"/>
      <c r="F126" s="23"/>
      <c r="G126" s="23"/>
      <c r="H126" s="23"/>
    </row>
    <row r="127" spans="3:8">
      <c r="C127" s="23"/>
      <c r="D127" s="23"/>
      <c r="E127" s="23"/>
      <c r="F127" s="23"/>
      <c r="G127" s="23"/>
      <c r="H127" s="23"/>
    </row>
    <row r="128" spans="3:8">
      <c r="C128" s="23"/>
      <c r="D128" s="23"/>
      <c r="E128" s="23"/>
      <c r="F128" s="23"/>
      <c r="G128" s="23"/>
      <c r="H128" s="23"/>
    </row>
    <row r="129" spans="3:8">
      <c r="C129" s="23"/>
      <c r="D129" s="23"/>
      <c r="E129" s="23"/>
      <c r="F129" s="23"/>
      <c r="G129" s="23"/>
      <c r="H129" s="23"/>
    </row>
    <row r="130" spans="3:8">
      <c r="C130" s="23"/>
      <c r="D130" s="23"/>
      <c r="E130" s="23"/>
      <c r="F130" s="23"/>
      <c r="G130" s="23"/>
      <c r="H130" s="23"/>
    </row>
    <row r="131" spans="3:8">
      <c r="C131" s="23"/>
      <c r="D131" s="23"/>
      <c r="E131" s="23"/>
      <c r="F131" s="23"/>
      <c r="G131" s="23"/>
      <c r="H131" s="23"/>
    </row>
    <row r="132" spans="3:8">
      <c r="C132" s="23"/>
      <c r="D132" s="23"/>
      <c r="E132" s="23"/>
      <c r="F132" s="23"/>
      <c r="G132" s="23"/>
      <c r="H132" s="23"/>
    </row>
    <row r="133" spans="3:8">
      <c r="C133" s="23"/>
      <c r="D133" s="23"/>
      <c r="E133" s="23"/>
      <c r="F133" s="23"/>
      <c r="G133" s="23"/>
      <c r="H133" s="23"/>
    </row>
    <row r="134" spans="3:8">
      <c r="C134" s="23"/>
      <c r="D134" s="23"/>
      <c r="E134" s="23"/>
      <c r="F134" s="23"/>
      <c r="G134" s="23"/>
      <c r="H134" s="23"/>
    </row>
    <row r="135" spans="3:8">
      <c r="C135" s="23"/>
      <c r="D135" s="23"/>
      <c r="E135" s="23"/>
      <c r="F135" s="23"/>
      <c r="G135" s="23"/>
      <c r="H135" s="23"/>
    </row>
    <row r="136" spans="3:8">
      <c r="C136" s="23"/>
      <c r="D136" s="23"/>
      <c r="E136" s="23"/>
      <c r="F136" s="23"/>
      <c r="G136" s="23"/>
      <c r="H136" s="23"/>
    </row>
    <row r="137" spans="3:8">
      <c r="C137" s="23"/>
      <c r="D137" s="23"/>
      <c r="E137" s="23"/>
      <c r="F137" s="23"/>
      <c r="G137" s="23"/>
      <c r="H137" s="23"/>
    </row>
    <row r="138" spans="3:8">
      <c r="C138" s="23"/>
      <c r="D138" s="23"/>
      <c r="E138" s="23"/>
      <c r="F138" s="23"/>
      <c r="G138" s="23"/>
      <c r="H138" s="23"/>
    </row>
    <row r="139" spans="3:8">
      <c r="C139" s="23"/>
      <c r="D139" s="23"/>
      <c r="E139" s="23"/>
      <c r="F139" s="23"/>
      <c r="G139" s="23"/>
      <c r="H139" s="23"/>
    </row>
    <row r="140" spans="3:8">
      <c r="C140" s="23"/>
      <c r="D140" s="23"/>
      <c r="E140" s="23"/>
      <c r="F140" s="23"/>
      <c r="G140" s="23"/>
      <c r="H140" s="23"/>
    </row>
    <row r="141" spans="3:8">
      <c r="C141" s="23"/>
      <c r="D141" s="23"/>
      <c r="E141" s="23"/>
      <c r="F141" s="23"/>
      <c r="G141" s="23"/>
      <c r="H141" s="23"/>
    </row>
    <row r="142" spans="3:8">
      <c r="C142" s="23"/>
      <c r="D142" s="23"/>
      <c r="E142" s="23"/>
      <c r="F142" s="23"/>
      <c r="G142" s="23"/>
      <c r="H142" s="23"/>
    </row>
    <row r="143" spans="3:8">
      <c r="C143" s="23"/>
      <c r="D143" s="23"/>
      <c r="E143" s="23"/>
      <c r="F143" s="23"/>
      <c r="G143" s="23"/>
      <c r="H143" s="23"/>
    </row>
    <row r="144" spans="3:8">
      <c r="C144" s="23"/>
      <c r="D144" s="23"/>
      <c r="E144" s="23"/>
      <c r="F144" s="23"/>
      <c r="G144" s="23"/>
      <c r="H144" s="23"/>
    </row>
    <row r="145" spans="3:8">
      <c r="C145" s="23"/>
      <c r="D145" s="23"/>
      <c r="E145" s="23"/>
      <c r="F145" s="23"/>
      <c r="G145" s="23"/>
      <c r="H145" s="23"/>
    </row>
    <row r="146" spans="3:8">
      <c r="C146" s="23"/>
      <c r="D146" s="23"/>
      <c r="E146" s="23"/>
      <c r="F146" s="23"/>
      <c r="G146" s="23"/>
      <c r="H146" s="23"/>
    </row>
    <row r="147" spans="3:8">
      <c r="C147" s="23"/>
      <c r="D147" s="23"/>
      <c r="E147" s="23"/>
      <c r="F147" s="23"/>
      <c r="G147" s="23"/>
      <c r="H147" s="23"/>
    </row>
    <row r="148" spans="3:8">
      <c r="C148" s="23"/>
      <c r="D148" s="23"/>
      <c r="E148" s="23"/>
      <c r="F148" s="23"/>
      <c r="G148" s="23"/>
      <c r="H148" s="23"/>
    </row>
    <row r="149" spans="3:8">
      <c r="C149" s="23"/>
      <c r="D149" s="23"/>
      <c r="E149" s="23"/>
      <c r="F149" s="23"/>
      <c r="G149" s="23"/>
      <c r="H149" s="23"/>
    </row>
    <row r="150" spans="3:8">
      <c r="C150" s="23"/>
      <c r="D150" s="23"/>
      <c r="E150" s="23"/>
      <c r="F150" s="23"/>
      <c r="G150" s="23"/>
      <c r="H150" s="23"/>
    </row>
    <row r="151" spans="3:8">
      <c r="C151" s="23"/>
      <c r="D151" s="23"/>
      <c r="E151" s="23"/>
      <c r="F151" s="23"/>
      <c r="G151" s="23"/>
      <c r="H151" s="23"/>
    </row>
    <row r="152" spans="3:8">
      <c r="C152" s="23"/>
      <c r="D152" s="23"/>
      <c r="E152" s="23"/>
      <c r="F152" s="23"/>
      <c r="G152" s="23"/>
      <c r="H152" s="23"/>
    </row>
    <row r="153" spans="3:8">
      <c r="C153" s="23"/>
      <c r="D153" s="23"/>
      <c r="E153" s="23"/>
      <c r="F153" s="23"/>
      <c r="G153" s="23"/>
      <c r="H153" s="23"/>
    </row>
    <row r="154" spans="3:8">
      <c r="C154" s="23"/>
      <c r="D154" s="23"/>
      <c r="E154" s="23"/>
      <c r="F154" s="23"/>
      <c r="G154" s="23"/>
      <c r="H154" s="23"/>
    </row>
    <row r="155" spans="3:8">
      <c r="C155" s="23"/>
      <c r="D155" s="23"/>
      <c r="E155" s="23"/>
      <c r="F155" s="23"/>
      <c r="G155" s="23"/>
      <c r="H155" s="23"/>
    </row>
    <row r="156" spans="3:8">
      <c r="C156" s="23"/>
      <c r="D156" s="23"/>
      <c r="E156" s="23"/>
      <c r="F156" s="23"/>
      <c r="G156" s="23"/>
      <c r="H156" s="23"/>
    </row>
    <row r="157" spans="3:8">
      <c r="C157" s="23"/>
      <c r="D157" s="23"/>
      <c r="E157" s="23"/>
      <c r="F157" s="23"/>
      <c r="G157" s="23"/>
      <c r="H157" s="23"/>
    </row>
    <row r="158" spans="3:8">
      <c r="C158" s="23"/>
      <c r="D158" s="23"/>
      <c r="E158" s="23"/>
      <c r="F158" s="23"/>
      <c r="G158" s="23"/>
      <c r="H158" s="23"/>
    </row>
    <row r="159" spans="3:8">
      <c r="C159" s="23"/>
      <c r="D159" s="23"/>
      <c r="E159" s="23"/>
      <c r="F159" s="23"/>
      <c r="G159" s="23"/>
      <c r="H159" s="23"/>
    </row>
    <row r="160" spans="3:8">
      <c r="C160" s="23"/>
      <c r="D160" s="23"/>
      <c r="E160" s="23"/>
      <c r="F160" s="23"/>
      <c r="G160" s="23"/>
      <c r="H160" s="23"/>
    </row>
    <row r="161" spans="3:8">
      <c r="C161" s="23"/>
      <c r="D161" s="23"/>
      <c r="E161" s="23"/>
      <c r="F161" s="23"/>
      <c r="G161" s="23"/>
      <c r="H161" s="23"/>
    </row>
    <row r="162" spans="3:8">
      <c r="C162" s="23"/>
      <c r="D162" s="23"/>
      <c r="E162" s="23"/>
      <c r="F162" s="23"/>
      <c r="G162" s="23"/>
      <c r="H162" s="23"/>
    </row>
    <row r="163" spans="3:8">
      <c r="C163" s="23"/>
      <c r="D163" s="23"/>
      <c r="E163" s="23"/>
      <c r="F163" s="23"/>
      <c r="G163" s="23"/>
      <c r="H163" s="23"/>
    </row>
    <row r="164" spans="3:8">
      <c r="C164" s="23"/>
      <c r="D164" s="23"/>
      <c r="E164" s="23"/>
      <c r="F164" s="23"/>
      <c r="G164" s="23"/>
      <c r="H164" s="23"/>
    </row>
    <row r="165" spans="3:8">
      <c r="C165" s="23"/>
      <c r="D165" s="23"/>
      <c r="E165" s="23"/>
      <c r="F165" s="23"/>
      <c r="G165" s="23"/>
      <c r="H165" s="23"/>
    </row>
    <row r="166" spans="3:8">
      <c r="C166" s="23"/>
      <c r="D166" s="23"/>
      <c r="E166" s="23"/>
      <c r="F166" s="23"/>
      <c r="G166" s="23"/>
      <c r="H166" s="23"/>
    </row>
    <row r="167" spans="3:8">
      <c r="C167" s="23"/>
      <c r="D167" s="23"/>
      <c r="E167" s="23"/>
      <c r="F167" s="23"/>
      <c r="G167" s="23"/>
      <c r="H167" s="23"/>
    </row>
    <row r="168" spans="3:8">
      <c r="C168" s="23"/>
      <c r="D168" s="23"/>
      <c r="E168" s="23"/>
      <c r="F168" s="23"/>
      <c r="G168" s="23"/>
      <c r="H168" s="23"/>
    </row>
    <row r="169" spans="3:8">
      <c r="C169" s="23"/>
      <c r="D169" s="23"/>
      <c r="E169" s="23"/>
      <c r="F169" s="23"/>
      <c r="G169" s="23"/>
      <c r="H169" s="23"/>
    </row>
    <row r="170" spans="3:8">
      <c r="C170" s="23"/>
      <c r="D170" s="23"/>
      <c r="E170" s="23"/>
      <c r="F170" s="23"/>
      <c r="G170" s="23"/>
      <c r="H170" s="23"/>
    </row>
    <row r="171" spans="3:8">
      <c r="C171" s="23"/>
      <c r="D171" s="23"/>
      <c r="E171" s="23"/>
      <c r="F171" s="23"/>
      <c r="G171" s="23"/>
      <c r="H171" s="23"/>
    </row>
    <row r="172" spans="3:8">
      <c r="C172" s="23"/>
      <c r="D172" s="23"/>
      <c r="E172" s="23"/>
      <c r="F172" s="23"/>
      <c r="G172" s="23"/>
      <c r="H172" s="23"/>
    </row>
    <row r="173" spans="3:8">
      <c r="C173" s="23"/>
      <c r="D173" s="23"/>
      <c r="E173" s="23"/>
      <c r="F173" s="23"/>
      <c r="G173" s="23"/>
      <c r="H173" s="23"/>
    </row>
    <row r="174" spans="3:8">
      <c r="C174" s="23"/>
      <c r="D174" s="23"/>
      <c r="E174" s="23"/>
      <c r="F174" s="23"/>
      <c r="G174" s="23"/>
      <c r="H174" s="23"/>
    </row>
    <row r="175" spans="3:8">
      <c r="C175" s="23"/>
      <c r="D175" s="23"/>
      <c r="E175" s="23"/>
      <c r="F175" s="23"/>
      <c r="G175" s="23"/>
      <c r="H175" s="23"/>
    </row>
    <row r="176" spans="3:8">
      <c r="C176" s="23"/>
      <c r="D176" s="23"/>
      <c r="E176" s="23"/>
      <c r="F176" s="23"/>
      <c r="G176" s="23"/>
      <c r="H176" s="23"/>
    </row>
    <row r="177" spans="3:8">
      <c r="C177" s="23"/>
      <c r="D177" s="23"/>
      <c r="E177" s="23"/>
      <c r="F177" s="23"/>
      <c r="G177" s="23"/>
      <c r="H177" s="23"/>
    </row>
    <row r="178" spans="3:8">
      <c r="C178" s="23"/>
      <c r="D178" s="23"/>
      <c r="E178" s="23"/>
      <c r="F178" s="23"/>
      <c r="G178" s="23"/>
      <c r="H178" s="23"/>
    </row>
    <row r="179" spans="3:8">
      <c r="C179" s="23"/>
      <c r="D179" s="23"/>
      <c r="E179" s="23"/>
      <c r="F179" s="23"/>
      <c r="G179" s="23"/>
      <c r="H179" s="23"/>
    </row>
    <row r="180" spans="3:8">
      <c r="C180" s="23"/>
      <c r="D180" s="23"/>
      <c r="E180" s="23"/>
      <c r="F180" s="23"/>
      <c r="G180" s="23"/>
      <c r="H180" s="23"/>
    </row>
    <row r="181" spans="3:8">
      <c r="C181" s="23"/>
      <c r="D181" s="23"/>
      <c r="E181" s="23"/>
      <c r="F181" s="23"/>
      <c r="G181" s="23"/>
      <c r="H181" s="23"/>
    </row>
    <row r="182" spans="3:8">
      <c r="C182" s="23"/>
      <c r="D182" s="23"/>
      <c r="E182" s="23"/>
      <c r="F182" s="23"/>
      <c r="G182" s="23"/>
      <c r="H182" s="23"/>
    </row>
    <row r="183" spans="3:8">
      <c r="C183" s="23"/>
      <c r="D183" s="23"/>
      <c r="E183" s="23"/>
      <c r="F183" s="23"/>
      <c r="G183" s="23"/>
      <c r="H183" s="23"/>
    </row>
    <row r="184" spans="3:8">
      <c r="C184" s="23"/>
      <c r="D184" s="23"/>
      <c r="E184" s="23"/>
      <c r="F184" s="23"/>
      <c r="G184" s="23"/>
      <c r="H184" s="23"/>
    </row>
    <row r="185" spans="3:8">
      <c r="C185" s="23"/>
      <c r="D185" s="23"/>
      <c r="E185" s="23"/>
      <c r="F185" s="23"/>
      <c r="G185" s="23"/>
      <c r="H185" s="23"/>
    </row>
    <row r="186" spans="3:8">
      <c r="C186" s="23"/>
      <c r="D186" s="23"/>
      <c r="E186" s="23"/>
      <c r="F186" s="23"/>
      <c r="G186" s="23"/>
      <c r="H186" s="23"/>
    </row>
    <row r="187" spans="3:8">
      <c r="C187" s="23"/>
      <c r="D187" s="23"/>
      <c r="E187" s="23"/>
      <c r="F187" s="23"/>
      <c r="G187" s="23"/>
      <c r="H187" s="23"/>
    </row>
    <row r="188" spans="3:8">
      <c r="C188" s="23"/>
      <c r="D188" s="23"/>
      <c r="E188" s="23"/>
      <c r="F188" s="23"/>
      <c r="G188" s="23"/>
      <c r="H188" s="23"/>
    </row>
    <row r="189" spans="3:8">
      <c r="C189" s="23"/>
      <c r="D189" s="23"/>
      <c r="E189" s="23"/>
      <c r="F189" s="23"/>
      <c r="G189" s="23"/>
      <c r="H189" s="23"/>
    </row>
    <row r="190" spans="3:8">
      <c r="C190" s="23"/>
      <c r="D190" s="23"/>
      <c r="E190" s="23"/>
      <c r="F190" s="23"/>
      <c r="G190" s="23"/>
      <c r="H190" s="23"/>
    </row>
    <row r="191" spans="3:8">
      <c r="C191" s="23"/>
      <c r="D191" s="23"/>
      <c r="E191" s="23"/>
      <c r="F191" s="23"/>
      <c r="G191" s="23"/>
      <c r="H191" s="23"/>
    </row>
    <row r="192" spans="3:8">
      <c r="C192" s="23"/>
      <c r="D192" s="23"/>
      <c r="E192" s="23"/>
      <c r="F192" s="23"/>
      <c r="G192" s="23"/>
      <c r="H192" s="23"/>
    </row>
    <row r="193" spans="3:8">
      <c r="C193" s="23"/>
      <c r="D193" s="23"/>
      <c r="E193" s="23"/>
      <c r="F193" s="23"/>
      <c r="G193" s="23"/>
      <c r="H193" s="23"/>
    </row>
    <row r="194" spans="3:8">
      <c r="C194" s="23"/>
      <c r="D194" s="23"/>
      <c r="E194" s="23"/>
      <c r="F194" s="23"/>
      <c r="G194" s="23"/>
      <c r="H194" s="23"/>
    </row>
    <row r="195" spans="3:8">
      <c r="C195" s="23"/>
      <c r="D195" s="23"/>
      <c r="E195" s="23"/>
      <c r="F195" s="23"/>
      <c r="G195" s="23"/>
      <c r="H195" s="23"/>
    </row>
    <row r="196" spans="3:8">
      <c r="C196" s="23"/>
      <c r="D196" s="23"/>
      <c r="E196" s="23"/>
      <c r="F196" s="23"/>
      <c r="G196" s="23"/>
      <c r="H196" s="23"/>
    </row>
    <row r="197" spans="3:8">
      <c r="C197" s="23"/>
      <c r="D197" s="23"/>
      <c r="E197" s="23"/>
      <c r="F197" s="23"/>
      <c r="G197" s="23"/>
      <c r="H197" s="23"/>
    </row>
    <row r="198" spans="3:8">
      <c r="C198" s="23"/>
      <c r="D198" s="23"/>
      <c r="E198" s="23"/>
      <c r="F198" s="23"/>
      <c r="G198" s="23"/>
      <c r="H198" s="23"/>
    </row>
    <row r="199" spans="3:8">
      <c r="C199" s="23"/>
      <c r="D199" s="23"/>
      <c r="E199" s="23"/>
      <c r="F199" s="23"/>
      <c r="G199" s="23"/>
      <c r="H199" s="23"/>
    </row>
    <row r="200" spans="3:8">
      <c r="C200" s="23"/>
      <c r="D200" s="23"/>
      <c r="E200" s="23"/>
      <c r="F200" s="23"/>
      <c r="G200" s="23"/>
      <c r="H200" s="23"/>
    </row>
    <row r="201" spans="3:8">
      <c r="C201" s="23"/>
      <c r="D201" s="23"/>
      <c r="E201" s="23"/>
      <c r="F201" s="23"/>
      <c r="G201" s="23"/>
      <c r="H201" s="23"/>
    </row>
    <row r="202" spans="3:8">
      <c r="C202" s="23"/>
      <c r="D202" s="23"/>
      <c r="E202" s="23"/>
      <c r="F202" s="23"/>
      <c r="G202" s="23"/>
      <c r="H202" s="23"/>
    </row>
    <row r="203" spans="3:8">
      <c r="C203" s="23"/>
      <c r="D203" s="23"/>
      <c r="E203" s="23"/>
      <c r="F203" s="23"/>
      <c r="G203" s="23"/>
      <c r="H203" s="23"/>
    </row>
    <row r="204" spans="3:8">
      <c r="C204" s="23"/>
      <c r="D204" s="23"/>
      <c r="E204" s="23"/>
      <c r="F204" s="23"/>
      <c r="G204" s="23"/>
      <c r="H204" s="23"/>
    </row>
    <row r="205" spans="3:8">
      <c r="C205" s="23"/>
      <c r="D205" s="23"/>
      <c r="E205" s="23"/>
      <c r="F205" s="23"/>
      <c r="G205" s="23"/>
      <c r="H205" s="23"/>
    </row>
    <row r="206" spans="3:8">
      <c r="C206" s="23"/>
      <c r="D206" s="23"/>
      <c r="E206" s="23"/>
      <c r="F206" s="23"/>
      <c r="G206" s="23"/>
      <c r="H206" s="23"/>
    </row>
    <row r="207" spans="3:8">
      <c r="C207" s="23"/>
      <c r="D207" s="23"/>
      <c r="E207" s="23"/>
      <c r="F207" s="23"/>
      <c r="G207" s="23"/>
      <c r="H207" s="23"/>
    </row>
    <row r="208" spans="3:8">
      <c r="C208" s="23"/>
      <c r="D208" s="23"/>
      <c r="E208" s="23"/>
      <c r="F208" s="23"/>
      <c r="G208" s="23"/>
      <c r="H208" s="23"/>
    </row>
    <row r="209" spans="3:8">
      <c r="C209" s="23"/>
      <c r="D209" s="23"/>
      <c r="E209" s="23"/>
      <c r="F209" s="23"/>
      <c r="G209" s="23"/>
      <c r="H209" s="23"/>
    </row>
    <row r="210" spans="3:8">
      <c r="C210" s="23"/>
      <c r="D210" s="23"/>
      <c r="E210" s="23"/>
      <c r="F210" s="23"/>
      <c r="G210" s="23"/>
      <c r="H210" s="23"/>
    </row>
    <row r="211" spans="3:8">
      <c r="C211" s="23"/>
      <c r="D211" s="23"/>
      <c r="E211" s="23"/>
      <c r="F211" s="23"/>
      <c r="G211" s="23"/>
      <c r="H211" s="23"/>
    </row>
    <row r="212" spans="3:8">
      <c r="C212" s="23"/>
      <c r="D212" s="23"/>
      <c r="E212" s="23"/>
      <c r="F212" s="23"/>
      <c r="G212" s="23"/>
      <c r="H212" s="23"/>
    </row>
    <row r="213" spans="3:8">
      <c r="C213" s="23"/>
      <c r="D213" s="23"/>
      <c r="E213" s="23"/>
      <c r="F213" s="23"/>
      <c r="G213" s="23"/>
      <c r="H213" s="23"/>
    </row>
    <row r="214" spans="3:8">
      <c r="C214" s="23"/>
      <c r="D214" s="23"/>
      <c r="E214" s="23"/>
      <c r="F214" s="23"/>
      <c r="G214" s="23"/>
      <c r="H214" s="23"/>
    </row>
    <row r="215" spans="3:8">
      <c r="C215" s="23"/>
      <c r="D215" s="23"/>
      <c r="E215" s="23"/>
      <c r="F215" s="23"/>
      <c r="G215" s="23"/>
      <c r="H215" s="23"/>
    </row>
    <row r="216" spans="3:8">
      <c r="C216" s="23"/>
      <c r="D216" s="23"/>
      <c r="E216" s="23"/>
      <c r="F216" s="23"/>
      <c r="G216" s="23"/>
      <c r="H216" s="23"/>
    </row>
    <row r="217" spans="3:8">
      <c r="C217" s="23"/>
      <c r="D217" s="23"/>
      <c r="E217" s="23"/>
      <c r="F217" s="23"/>
      <c r="G217" s="23"/>
      <c r="H217" s="23"/>
    </row>
    <row r="218" spans="3:8">
      <c r="C218" s="23"/>
      <c r="D218" s="23"/>
      <c r="E218" s="23"/>
      <c r="F218" s="23"/>
      <c r="G218" s="23"/>
      <c r="H218" s="23"/>
    </row>
    <row r="219" spans="3:8">
      <c r="C219" s="23"/>
      <c r="D219" s="23"/>
      <c r="E219" s="23"/>
      <c r="F219" s="23"/>
      <c r="G219" s="23"/>
      <c r="H219" s="23"/>
    </row>
    <row r="220" spans="3:8">
      <c r="C220" s="23"/>
      <c r="D220" s="23"/>
      <c r="E220" s="23"/>
      <c r="F220" s="23"/>
      <c r="G220" s="23"/>
      <c r="H220" s="23"/>
    </row>
    <row r="221" spans="3:8">
      <c r="C221" s="23"/>
      <c r="D221" s="23"/>
      <c r="E221" s="23"/>
      <c r="F221" s="23"/>
      <c r="G221" s="23"/>
      <c r="H221" s="23"/>
    </row>
    <row r="222" spans="3:8">
      <c r="C222" s="23"/>
      <c r="D222" s="23"/>
      <c r="E222" s="23"/>
      <c r="F222" s="23"/>
      <c r="G222" s="23"/>
      <c r="H222" s="23"/>
    </row>
    <row r="223" spans="3:8">
      <c r="C223" s="23"/>
      <c r="D223" s="23"/>
      <c r="E223" s="23"/>
      <c r="F223" s="23"/>
      <c r="G223" s="23"/>
      <c r="H223" s="23"/>
    </row>
    <row r="224" spans="3:8">
      <c r="C224" s="23"/>
      <c r="D224" s="23"/>
      <c r="E224" s="23"/>
      <c r="F224" s="23"/>
      <c r="G224" s="23"/>
      <c r="H224" s="23"/>
    </row>
    <row r="225" spans="3:8">
      <c r="C225" s="23"/>
      <c r="D225" s="23"/>
      <c r="E225" s="23"/>
      <c r="F225" s="23"/>
      <c r="G225" s="23"/>
      <c r="H225" s="23"/>
    </row>
    <row r="226" spans="3:8">
      <c r="C226" s="23"/>
      <c r="D226" s="23"/>
      <c r="E226" s="23"/>
      <c r="F226" s="23"/>
      <c r="G226" s="23"/>
      <c r="H226" s="23"/>
    </row>
    <row r="227" spans="3:8">
      <c r="C227" s="23"/>
      <c r="D227" s="23"/>
      <c r="E227" s="23"/>
      <c r="F227" s="23"/>
      <c r="G227" s="23"/>
      <c r="H227" s="23"/>
    </row>
    <row r="228" spans="3:8">
      <c r="C228" s="23"/>
      <c r="D228" s="23"/>
      <c r="E228" s="23"/>
      <c r="F228" s="23"/>
      <c r="G228" s="23"/>
      <c r="H228" s="23"/>
    </row>
    <row r="229" spans="3:8">
      <c r="C229" s="23"/>
      <c r="D229" s="23"/>
      <c r="E229" s="23"/>
      <c r="F229" s="23"/>
      <c r="G229" s="23"/>
      <c r="H229" s="23"/>
    </row>
    <row r="230" spans="3:8">
      <c r="C230" s="23"/>
      <c r="D230" s="23"/>
      <c r="E230" s="23"/>
      <c r="F230" s="23"/>
      <c r="G230" s="23"/>
      <c r="H230" s="23"/>
    </row>
    <row r="231" spans="3:8">
      <c r="C231" s="23"/>
      <c r="D231" s="23"/>
      <c r="E231" s="23"/>
      <c r="F231" s="23"/>
      <c r="G231" s="23"/>
      <c r="H231" s="23"/>
    </row>
    <row r="232" spans="3:8">
      <c r="C232" s="23"/>
      <c r="D232" s="23"/>
      <c r="E232" s="23"/>
      <c r="F232" s="23"/>
      <c r="G232" s="23"/>
      <c r="H232" s="23"/>
    </row>
    <row r="233" spans="3:8">
      <c r="C233" s="23"/>
      <c r="D233" s="23"/>
      <c r="E233" s="23"/>
      <c r="F233" s="23"/>
      <c r="G233" s="23"/>
      <c r="H233" s="23"/>
    </row>
    <row r="234" spans="3:8">
      <c r="C234" s="23"/>
      <c r="D234" s="23"/>
      <c r="E234" s="23"/>
      <c r="F234" s="23"/>
      <c r="G234" s="23"/>
      <c r="H234" s="23"/>
    </row>
    <row r="235" spans="3:8">
      <c r="C235" s="23"/>
      <c r="D235" s="23"/>
      <c r="E235" s="23"/>
      <c r="F235" s="23"/>
      <c r="G235" s="23"/>
      <c r="H235" s="23"/>
    </row>
    <row r="236" spans="3:8">
      <c r="C236" s="23"/>
      <c r="D236" s="23"/>
      <c r="E236" s="23"/>
      <c r="F236" s="23"/>
      <c r="G236" s="23"/>
      <c r="H236" s="23"/>
    </row>
    <row r="237" spans="3:8">
      <c r="C237" s="23"/>
      <c r="D237" s="23"/>
      <c r="E237" s="23"/>
      <c r="F237" s="23"/>
      <c r="G237" s="23"/>
      <c r="H237" s="23"/>
    </row>
    <row r="238" spans="3:8">
      <c r="C238" s="23"/>
      <c r="D238" s="23"/>
      <c r="E238" s="23"/>
      <c r="F238" s="23"/>
      <c r="G238" s="23"/>
      <c r="H238" s="23"/>
    </row>
    <row r="239" spans="3:8">
      <c r="C239" s="23"/>
      <c r="D239" s="23"/>
      <c r="E239" s="23"/>
      <c r="F239" s="23"/>
      <c r="G239" s="23"/>
      <c r="H239" s="23"/>
    </row>
    <row r="240" spans="3:8">
      <c r="C240" s="23"/>
      <c r="D240" s="23"/>
      <c r="E240" s="23"/>
      <c r="F240" s="23"/>
      <c r="G240" s="23"/>
      <c r="H240" s="23"/>
    </row>
    <row r="241" spans="3:8">
      <c r="C241" s="23"/>
      <c r="D241" s="23"/>
      <c r="E241" s="23"/>
      <c r="F241" s="23"/>
      <c r="G241" s="23"/>
      <c r="H241" s="23"/>
    </row>
    <row r="242" spans="3:8">
      <c r="C242" s="23"/>
      <c r="D242" s="23"/>
      <c r="E242" s="23"/>
      <c r="F242" s="23"/>
      <c r="G242" s="23"/>
      <c r="H242" s="23"/>
    </row>
    <row r="243" spans="3:8">
      <c r="C243" s="23"/>
      <c r="D243" s="23"/>
      <c r="E243" s="23"/>
      <c r="F243" s="23"/>
      <c r="G243" s="23"/>
      <c r="H243" s="23"/>
    </row>
    <row r="244" spans="3:8">
      <c r="C244" s="23"/>
      <c r="D244" s="23"/>
      <c r="E244" s="23"/>
      <c r="F244" s="23"/>
      <c r="G244" s="23"/>
      <c r="H244"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1"/>
  <sheetViews>
    <sheetView topLeftCell="A63" workbookViewId="0">
      <selection activeCell="B34" sqref="B34"/>
    </sheetView>
  </sheetViews>
  <sheetFormatPr defaultColWidth="11.42578125" defaultRowHeight="15"/>
  <cols>
    <col min="2" max="2" width="88.140625" customWidth="1"/>
    <col min="3" max="3" width="23.28515625" customWidth="1"/>
    <col min="4" max="4" width="21.28515625" customWidth="1"/>
    <col min="5" max="7" width="22.7109375" customWidth="1"/>
    <col min="8" max="8" width="21.28515625" customWidth="1"/>
    <col min="9" max="9" width="12.7109375" bestFit="1" customWidth="1"/>
    <col min="10" max="11" width="13" customWidth="1"/>
    <col min="12" max="12" width="13.140625" customWidth="1"/>
    <col min="13" max="13" width="13.7109375" customWidth="1"/>
  </cols>
  <sheetData>
    <row r="1" spans="1:13">
      <c r="C1" s="258"/>
      <c r="D1" s="258"/>
      <c r="E1" s="258"/>
      <c r="F1" s="258"/>
      <c r="G1" s="258"/>
    </row>
    <row r="3" spans="1:13" s="146" customFormat="1" ht="36">
      <c r="A3" s="141" t="s">
        <v>99</v>
      </c>
      <c r="B3" s="142" t="s">
        <v>339</v>
      </c>
      <c r="C3" s="143">
        <v>2021</v>
      </c>
      <c r="D3" s="144">
        <v>2022</v>
      </c>
      <c r="E3" s="143">
        <v>2023</v>
      </c>
      <c r="F3" s="144">
        <v>2024</v>
      </c>
      <c r="G3" s="143">
        <v>2025</v>
      </c>
      <c r="H3" s="145" t="s">
        <v>149</v>
      </c>
    </row>
    <row r="4" spans="1:13" ht="39" customHeight="1">
      <c r="A4" s="134" t="str">
        <f>BugetComplet!$F$2</f>
        <v>1.</v>
      </c>
      <c r="B4" s="136" t="str">
        <f>BugetComplet!$G$2</f>
        <v xml:space="preserve">Снижение новых случаев ВИЧ-инфекции </v>
      </c>
      <c r="C4" s="254">
        <f>BugetComplet!$Q$2</f>
        <v>42435517.280000001</v>
      </c>
      <c r="D4" s="254">
        <f>BugetComplet!$R$2</f>
        <v>47680399.608000003</v>
      </c>
      <c r="E4" s="254">
        <f>BugetComplet!$S$2</f>
        <v>53394573.695999995</v>
      </c>
      <c r="F4" s="254">
        <f>BugetComplet!$T$2</f>
        <v>25476063.7236</v>
      </c>
      <c r="G4" s="254">
        <f>BugetComplet!$U$2</f>
        <v>32046359.099999998</v>
      </c>
      <c r="H4" s="254">
        <f>BugetComplet!$V$2</f>
        <v>201032913.40759999</v>
      </c>
      <c r="I4" s="258"/>
      <c r="J4" s="258"/>
      <c r="K4" s="258"/>
      <c r="L4" s="258"/>
      <c r="M4" s="258"/>
    </row>
    <row r="5" spans="1:13" ht="26.1" customHeight="1">
      <c r="A5" s="131"/>
      <c r="B5" s="168" t="s">
        <v>79</v>
      </c>
      <c r="C5" s="255">
        <f>C16+C82+C148</f>
        <v>51034413.280000001</v>
      </c>
      <c r="D5" s="255">
        <f t="shared" ref="D5:H5" si="0">D16+D82+D148</f>
        <v>57058038.408000007</v>
      </c>
      <c r="E5" s="255">
        <f t="shared" si="0"/>
        <v>63518196.895999998</v>
      </c>
      <c r="F5" s="255">
        <f t="shared" si="0"/>
        <v>74408877.161203444</v>
      </c>
      <c r="G5" s="255">
        <f t="shared" si="0"/>
        <v>86188209.748229206</v>
      </c>
      <c r="H5" s="255">
        <f t="shared" si="0"/>
        <v>332207735.49343264</v>
      </c>
      <c r="I5" s="258"/>
      <c r="J5" s="258"/>
      <c r="K5" s="258"/>
      <c r="L5" s="258"/>
      <c r="M5" s="258"/>
    </row>
    <row r="6" spans="1:13" ht="26.1" customHeight="1">
      <c r="A6" s="131"/>
      <c r="B6" s="169" t="s">
        <v>80</v>
      </c>
      <c r="C6" s="255">
        <f t="shared" ref="C6:H14" si="1">C17+C83+C149</f>
        <v>42435517.280000001</v>
      </c>
      <c r="D6" s="255">
        <f t="shared" si="1"/>
        <v>47680399.608000003</v>
      </c>
      <c r="E6" s="255">
        <f t="shared" si="1"/>
        <v>53394573.695999995</v>
      </c>
      <c r="F6" s="255">
        <f t="shared" si="1"/>
        <v>25476063.7236</v>
      </c>
      <c r="G6" s="255">
        <f t="shared" si="1"/>
        <v>32046359.099999998</v>
      </c>
      <c r="H6" s="255">
        <f t="shared" si="1"/>
        <v>201032913.40760002</v>
      </c>
      <c r="I6" s="258"/>
      <c r="J6" s="258"/>
      <c r="K6" s="258"/>
      <c r="L6" s="258"/>
      <c r="M6" s="258"/>
    </row>
    <row r="7" spans="1:13" ht="26.1" customHeight="1">
      <c r="A7" s="131"/>
      <c r="B7" s="169" t="s">
        <v>429</v>
      </c>
      <c r="C7" s="255">
        <f t="shared" si="1"/>
        <v>4521335.8</v>
      </c>
      <c r="D7" s="255">
        <f t="shared" si="1"/>
        <v>4905612</v>
      </c>
      <c r="E7" s="255">
        <f t="shared" si="1"/>
        <v>5614468.4000000004</v>
      </c>
      <c r="F7" s="255">
        <f t="shared" si="1"/>
        <v>6113992.5999999996</v>
      </c>
      <c r="G7" s="255">
        <f t="shared" si="1"/>
        <v>6999281</v>
      </c>
      <c r="H7" s="255">
        <f t="shared" si="1"/>
        <v>28154689.800000001</v>
      </c>
    </row>
    <row r="8" spans="1:13" ht="26.1" customHeight="1">
      <c r="A8" s="131"/>
      <c r="B8" s="169" t="s">
        <v>133</v>
      </c>
      <c r="C8" s="255">
        <f t="shared" si="1"/>
        <v>714721</v>
      </c>
      <c r="D8" s="255">
        <f t="shared" si="1"/>
        <v>765764</v>
      </c>
      <c r="E8" s="255">
        <f t="shared" si="1"/>
        <v>838768.5</v>
      </c>
      <c r="F8" s="255">
        <f t="shared" si="1"/>
        <v>2410360.5</v>
      </c>
      <c r="G8" s="255">
        <f t="shared" si="1"/>
        <v>3013033.5</v>
      </c>
      <c r="H8" s="255">
        <f t="shared" si="1"/>
        <v>7742647.5</v>
      </c>
    </row>
    <row r="9" spans="1:13" ht="26.1" customHeight="1">
      <c r="A9" s="131"/>
      <c r="B9" s="169" t="s">
        <v>81</v>
      </c>
      <c r="C9" s="255">
        <f t="shared" si="1"/>
        <v>511207.1999999999</v>
      </c>
      <c r="D9" s="255">
        <f t="shared" si="1"/>
        <v>880218.18359999999</v>
      </c>
      <c r="E9" s="255">
        <f t="shared" si="1"/>
        <v>1249358.6447999999</v>
      </c>
      <c r="F9" s="255">
        <f t="shared" si="1"/>
        <v>1695539.6640000001</v>
      </c>
      <c r="G9" s="255">
        <f t="shared" si="1"/>
        <v>2190425.58</v>
      </c>
      <c r="H9" s="255">
        <f t="shared" si="1"/>
        <v>6526749.2724000001</v>
      </c>
    </row>
    <row r="10" spans="1:13" ht="26.1" customHeight="1">
      <c r="A10" s="131"/>
      <c r="B10" s="169" t="s">
        <v>134</v>
      </c>
      <c r="C10" s="255">
        <f t="shared" si="1"/>
        <v>5871810.9000000004</v>
      </c>
      <c r="D10" s="255">
        <f t="shared" si="1"/>
        <v>7880993.5880000005</v>
      </c>
      <c r="E10" s="255">
        <f t="shared" si="1"/>
        <v>10172477.612</v>
      </c>
      <c r="F10" s="255">
        <f t="shared" si="1"/>
        <v>15256170.959600002</v>
      </c>
      <c r="G10" s="255">
        <f t="shared" si="1"/>
        <v>19843619.02</v>
      </c>
      <c r="H10" s="255">
        <f t="shared" si="1"/>
        <v>59025072.079599999</v>
      </c>
    </row>
    <row r="11" spans="1:13" ht="26.1" customHeight="1">
      <c r="A11" s="131"/>
      <c r="B11" s="169" t="s">
        <v>82</v>
      </c>
      <c r="C11" s="255">
        <f t="shared" si="1"/>
        <v>20994589.081999999</v>
      </c>
      <c r="D11" s="255">
        <f t="shared" si="1"/>
        <v>21621378.4804</v>
      </c>
      <c r="E11" s="255">
        <f t="shared" si="1"/>
        <v>22420384.645199999</v>
      </c>
      <c r="F11" s="255">
        <f t="shared" si="1"/>
        <v>0</v>
      </c>
      <c r="G11" s="255">
        <f t="shared" si="1"/>
        <v>0</v>
      </c>
      <c r="H11" s="255">
        <f t="shared" si="1"/>
        <v>65036352.20759999</v>
      </c>
    </row>
    <row r="12" spans="1:13" ht="26.1" customHeight="1">
      <c r="A12" s="131"/>
      <c r="B12" s="169" t="s">
        <v>90</v>
      </c>
      <c r="C12" s="255">
        <f t="shared" si="1"/>
        <v>9017333.2980000004</v>
      </c>
      <c r="D12" s="255">
        <f t="shared" si="1"/>
        <v>10816245.356000002</v>
      </c>
      <c r="E12" s="255">
        <f t="shared" si="1"/>
        <v>12203023.894000001</v>
      </c>
      <c r="F12" s="255">
        <f t="shared" si="1"/>
        <v>0</v>
      </c>
      <c r="G12" s="255">
        <f t="shared" si="1"/>
        <v>0</v>
      </c>
      <c r="H12" s="255">
        <f t="shared" si="1"/>
        <v>32036602.548</v>
      </c>
      <c r="I12" s="258"/>
      <c r="J12" s="258"/>
      <c r="K12" s="258"/>
    </row>
    <row r="13" spans="1:13" ht="26.1" customHeight="1">
      <c r="A13" s="131"/>
      <c r="B13" s="169" t="s">
        <v>83</v>
      </c>
      <c r="C13" s="255">
        <f t="shared" si="1"/>
        <v>80000</v>
      </c>
      <c r="D13" s="255">
        <f t="shared" si="1"/>
        <v>0</v>
      </c>
      <c r="E13" s="255">
        <f t="shared" si="1"/>
        <v>0</v>
      </c>
      <c r="F13" s="255">
        <f t="shared" si="1"/>
        <v>0</v>
      </c>
      <c r="G13" s="255">
        <f t="shared" si="1"/>
        <v>0</v>
      </c>
      <c r="H13" s="255">
        <f t="shared" si="1"/>
        <v>80000</v>
      </c>
      <c r="I13" s="258"/>
      <c r="J13" s="258"/>
      <c r="K13" s="258"/>
    </row>
    <row r="14" spans="1:13" ht="26.1" customHeight="1">
      <c r="A14" s="131"/>
      <c r="B14" s="169" t="s">
        <v>84</v>
      </c>
      <c r="C14" s="255">
        <f t="shared" si="1"/>
        <v>8598896</v>
      </c>
      <c r="D14" s="255">
        <f t="shared" si="1"/>
        <v>9377638.8000000007</v>
      </c>
      <c r="E14" s="255">
        <f t="shared" si="1"/>
        <v>10123623.199999999</v>
      </c>
      <c r="F14" s="255">
        <f t="shared" si="1"/>
        <v>48932813.437603444</v>
      </c>
      <c r="G14" s="255">
        <f t="shared" si="1"/>
        <v>54141850.648229219</v>
      </c>
      <c r="H14" s="255">
        <f t="shared" si="1"/>
        <v>131174822.08583266</v>
      </c>
    </row>
    <row r="15" spans="1:13" ht="30">
      <c r="A15" s="129" t="str">
        <f>BugetComplet!F$3</f>
        <v>1.1</v>
      </c>
      <c r="B15" s="128" t="str">
        <f>BugetComplet!G$3</f>
        <v>Активизировать усилия по профилактике ВИЧ в ключевых группах с высоким уровнем риска инфицирования</v>
      </c>
      <c r="C15" s="256">
        <f>BugetComplet!Q$3</f>
        <v>35545280.18</v>
      </c>
      <c r="D15" s="256">
        <f>BugetComplet!R$3</f>
        <v>40737098.408</v>
      </c>
      <c r="E15" s="256">
        <f>BugetComplet!S$3</f>
        <v>45830231.795999996</v>
      </c>
      <c r="F15" s="256">
        <f>BugetComplet!T$3</f>
        <v>19274037.073600002</v>
      </c>
      <c r="G15" s="256">
        <f>BugetComplet!U$3</f>
        <v>25124909.259999998</v>
      </c>
      <c r="H15" s="256">
        <f>BugetComplet!V$3</f>
        <v>166511556.71759999</v>
      </c>
      <c r="I15" s="258"/>
      <c r="J15" s="258"/>
      <c r="K15" s="258"/>
      <c r="L15" s="258"/>
      <c r="M15" s="258"/>
    </row>
    <row r="16" spans="1:13" ht="26.1" customHeight="1">
      <c r="A16" s="131"/>
      <c r="B16" s="168" t="s">
        <v>79</v>
      </c>
      <c r="C16" s="255">
        <f>C27+C38+C49+C60+C71</f>
        <v>41744176.18</v>
      </c>
      <c r="D16" s="255">
        <f t="shared" ref="D16:H16" si="2">D27+D38+D49+D60+D71</f>
        <v>47474737.208000004</v>
      </c>
      <c r="E16" s="255">
        <f t="shared" si="2"/>
        <v>53029854.995999999</v>
      </c>
      <c r="F16" s="255">
        <f t="shared" si="2"/>
        <v>62604823.461203441</v>
      </c>
      <c r="G16" s="255">
        <f t="shared" si="2"/>
        <v>73025762.948229209</v>
      </c>
      <c r="H16" s="255">
        <f t="shared" si="2"/>
        <v>277879354.79343265</v>
      </c>
    </row>
    <row r="17" spans="1:8" ht="26.1" customHeight="1">
      <c r="A17" s="131"/>
      <c r="B17" s="169" t="s">
        <v>80</v>
      </c>
      <c r="C17" s="255">
        <f t="shared" ref="C17:H25" si="3">C28+C39+C50+C61+C72</f>
        <v>35545280.18</v>
      </c>
      <c r="D17" s="255">
        <f t="shared" si="3"/>
        <v>40737098.408</v>
      </c>
      <c r="E17" s="255">
        <f t="shared" si="3"/>
        <v>45830231.795999996</v>
      </c>
      <c r="F17" s="255">
        <f t="shared" si="3"/>
        <v>19274037.073600002</v>
      </c>
      <c r="G17" s="255">
        <f t="shared" si="3"/>
        <v>25124909.259999998</v>
      </c>
      <c r="H17" s="255">
        <f t="shared" si="3"/>
        <v>166511556.71760002</v>
      </c>
    </row>
    <row r="18" spans="1:8" ht="26.1" customHeight="1">
      <c r="A18" s="131"/>
      <c r="B18" s="169" t="s">
        <v>429</v>
      </c>
      <c r="C18" s="255">
        <f t="shared" si="3"/>
        <v>1167616.7999999998</v>
      </c>
      <c r="D18" s="255">
        <f t="shared" si="3"/>
        <v>1446921</v>
      </c>
      <c r="E18" s="255">
        <f t="shared" si="3"/>
        <v>2005529.4000000001</v>
      </c>
      <c r="F18" s="255">
        <f t="shared" si="3"/>
        <v>2284833.5999999996</v>
      </c>
      <c r="G18" s="255">
        <f t="shared" si="3"/>
        <v>2843442</v>
      </c>
      <c r="H18" s="255">
        <f t="shared" si="3"/>
        <v>9748342.8000000007</v>
      </c>
    </row>
    <row r="19" spans="1:8" ht="26.1" customHeight="1">
      <c r="A19" s="131"/>
      <c r="B19" s="169" t="s">
        <v>133</v>
      </c>
      <c r="C19" s="255">
        <f t="shared" si="3"/>
        <v>0</v>
      </c>
      <c r="D19" s="255">
        <f t="shared" si="3"/>
        <v>0</v>
      </c>
      <c r="E19" s="255">
        <f t="shared" si="3"/>
        <v>0</v>
      </c>
      <c r="F19" s="255">
        <f t="shared" si="3"/>
        <v>1386327</v>
      </c>
      <c r="G19" s="255">
        <f t="shared" si="3"/>
        <v>1831322.5</v>
      </c>
      <c r="H19" s="255">
        <f t="shared" si="3"/>
        <v>3217649.5</v>
      </c>
    </row>
    <row r="20" spans="1:8" ht="26.1" customHeight="1">
      <c r="A20" s="131"/>
      <c r="B20" s="169" t="s">
        <v>81</v>
      </c>
      <c r="C20" s="255">
        <f t="shared" si="3"/>
        <v>511207.1999999999</v>
      </c>
      <c r="D20" s="255">
        <f t="shared" si="3"/>
        <v>880218.18359999999</v>
      </c>
      <c r="E20" s="255">
        <f t="shared" si="3"/>
        <v>1249358.6447999999</v>
      </c>
      <c r="F20" s="255">
        <f t="shared" si="3"/>
        <v>1695539.6640000001</v>
      </c>
      <c r="G20" s="255">
        <f t="shared" si="3"/>
        <v>2190425.58</v>
      </c>
      <c r="H20" s="255">
        <f t="shared" si="3"/>
        <v>6526749.2724000001</v>
      </c>
    </row>
    <row r="21" spans="1:8" ht="26.1" customHeight="1">
      <c r="A21" s="131"/>
      <c r="B21" s="169" t="s">
        <v>134</v>
      </c>
      <c r="C21" s="255">
        <f t="shared" si="3"/>
        <v>5826930.9000000004</v>
      </c>
      <c r="D21" s="255">
        <f t="shared" si="3"/>
        <v>7828248.5880000005</v>
      </c>
      <c r="E21" s="255">
        <f t="shared" si="3"/>
        <v>10108210.112</v>
      </c>
      <c r="F21" s="255">
        <f t="shared" si="3"/>
        <v>13907336.809600001</v>
      </c>
      <c r="G21" s="255">
        <f t="shared" si="3"/>
        <v>18259719.18</v>
      </c>
      <c r="H21" s="255">
        <f t="shared" si="3"/>
        <v>55930445.589599997</v>
      </c>
    </row>
    <row r="22" spans="1:8" ht="26.1" customHeight="1">
      <c r="A22" s="131"/>
      <c r="B22" s="169" t="s">
        <v>82</v>
      </c>
      <c r="C22" s="255">
        <f t="shared" si="3"/>
        <v>19038832.452</v>
      </c>
      <c r="D22" s="255">
        <f t="shared" si="3"/>
        <v>19762554.660399999</v>
      </c>
      <c r="E22" s="255">
        <f t="shared" si="3"/>
        <v>20281022.0352</v>
      </c>
      <c r="F22" s="255">
        <f t="shared" si="3"/>
        <v>0</v>
      </c>
      <c r="G22" s="255">
        <f t="shared" si="3"/>
        <v>0</v>
      </c>
      <c r="H22" s="255">
        <f t="shared" si="3"/>
        <v>59082409.147599988</v>
      </c>
    </row>
    <row r="23" spans="1:8" ht="26.1" customHeight="1">
      <c r="A23" s="131"/>
      <c r="B23" s="169" t="s">
        <v>90</v>
      </c>
      <c r="C23" s="255">
        <f t="shared" si="3"/>
        <v>8276172.8279999997</v>
      </c>
      <c r="D23" s="255">
        <f t="shared" si="3"/>
        <v>10008967.976000002</v>
      </c>
      <c r="E23" s="255">
        <f t="shared" si="3"/>
        <v>11290019.604000002</v>
      </c>
      <c r="F23" s="255">
        <f t="shared" si="3"/>
        <v>0</v>
      </c>
      <c r="G23" s="255">
        <f t="shared" si="3"/>
        <v>0</v>
      </c>
      <c r="H23" s="255">
        <f t="shared" si="3"/>
        <v>29575160.408</v>
      </c>
    </row>
    <row r="24" spans="1:8" ht="26.1" customHeight="1">
      <c r="A24" s="131"/>
      <c r="B24" s="169" t="s">
        <v>83</v>
      </c>
      <c r="C24" s="255">
        <f t="shared" si="3"/>
        <v>0</v>
      </c>
      <c r="D24" s="255">
        <f t="shared" si="3"/>
        <v>0</v>
      </c>
      <c r="E24" s="255">
        <f t="shared" si="3"/>
        <v>0</v>
      </c>
      <c r="F24" s="255">
        <f t="shared" si="3"/>
        <v>0</v>
      </c>
      <c r="G24" s="255">
        <f t="shared" si="3"/>
        <v>0</v>
      </c>
      <c r="H24" s="255">
        <f t="shared" si="3"/>
        <v>0</v>
      </c>
    </row>
    <row r="25" spans="1:8" ht="26.1" customHeight="1">
      <c r="A25" s="131"/>
      <c r="B25" s="169" t="s">
        <v>84</v>
      </c>
      <c r="C25" s="255">
        <f t="shared" si="3"/>
        <v>6198896</v>
      </c>
      <c r="D25" s="255">
        <f t="shared" si="3"/>
        <v>6737638.7999999998</v>
      </c>
      <c r="E25" s="255">
        <f t="shared" si="3"/>
        <v>7199623.1999999993</v>
      </c>
      <c r="F25" s="255">
        <f t="shared" si="3"/>
        <v>43330786.387603447</v>
      </c>
      <c r="G25" s="255">
        <f t="shared" si="3"/>
        <v>47900853.688229218</v>
      </c>
      <c r="H25" s="255">
        <f t="shared" si="3"/>
        <v>111367798.07583265</v>
      </c>
    </row>
    <row r="26" spans="1:8" ht="36" customHeight="1">
      <c r="A26" s="131" t="str">
        <f>BugetComplet!F$4</f>
        <v>1.1.1</v>
      </c>
      <c r="B26" s="133" t="str">
        <f>BugetComplet!G$4</f>
        <v>Предоставление пакета профилактических услуг для МСМ и ТГ</v>
      </c>
      <c r="C26" s="255">
        <f>BugetComplet!Q$4</f>
        <v>5349090</v>
      </c>
      <c r="D26" s="255">
        <f>BugetComplet!R$4</f>
        <v>6243547.5</v>
      </c>
      <c r="E26" s="255">
        <f>BugetComplet!S$4</f>
        <v>7138005</v>
      </c>
      <c r="F26" s="255">
        <f>BugetComplet!T$4</f>
        <v>3494625.0000000005</v>
      </c>
      <c r="G26" s="255">
        <f>BugetComplet!U$4</f>
        <v>5006655</v>
      </c>
      <c r="H26" s="255">
        <f>BugetComplet!V$4</f>
        <v>27231922.5</v>
      </c>
    </row>
    <row r="27" spans="1:8" ht="26.1" customHeight="1">
      <c r="A27" s="131"/>
      <c r="B27" s="168" t="s">
        <v>79</v>
      </c>
      <c r="C27" s="255">
        <f>BugetComplet!Q5+BugetComplet!Q15+BugetComplet!Q25+BugetComplet!Q35</f>
        <v>6611070</v>
      </c>
      <c r="D27" s="255">
        <f>BugetComplet!R5+BugetComplet!R15+BugetComplet!R25+BugetComplet!R35</f>
        <v>7726117.5</v>
      </c>
      <c r="E27" s="255">
        <f>BugetComplet!S5+BugetComplet!S15+BugetComplet!S25+BugetComplet!S35</f>
        <v>8810385</v>
      </c>
      <c r="F27" s="255">
        <f>BugetComplet!T5+BugetComplet!T15+BugetComplet!T25+BugetComplet!T35</f>
        <v>12335677.5</v>
      </c>
      <c r="G27" s="255">
        <f>BugetComplet!U5+BugetComplet!U15+BugetComplet!U25+BugetComplet!U35</f>
        <v>15570825</v>
      </c>
      <c r="H27" s="255">
        <f>BugetComplet!V5+BugetComplet!V15+BugetComplet!V25+BugetComplet!V35</f>
        <v>51054075</v>
      </c>
    </row>
    <row r="28" spans="1:8" ht="26.1" customHeight="1">
      <c r="A28" s="131"/>
      <c r="B28" s="169" t="s">
        <v>80</v>
      </c>
      <c r="C28" s="255">
        <f>BugetComplet!Q6+BugetComplet!Q16+BugetComplet!Q26+BugetComplet!Q36</f>
        <v>5349090</v>
      </c>
      <c r="D28" s="255">
        <f>BugetComplet!R6+BugetComplet!R16+BugetComplet!R26+BugetComplet!R36</f>
        <v>6243547.5</v>
      </c>
      <c r="E28" s="255">
        <f>BugetComplet!S6+BugetComplet!S16+BugetComplet!S26+BugetComplet!S36</f>
        <v>7138005</v>
      </c>
      <c r="F28" s="255">
        <f>BugetComplet!T6+BugetComplet!T16+BugetComplet!T26+BugetComplet!T36</f>
        <v>3494625.0000000005</v>
      </c>
      <c r="G28" s="255">
        <f>BugetComplet!U6+BugetComplet!U16+BugetComplet!U26+BugetComplet!U36</f>
        <v>5006655</v>
      </c>
      <c r="H28" s="255">
        <f>BugetComplet!V6+BugetComplet!V16+BugetComplet!V26+BugetComplet!V36</f>
        <v>27231922.5</v>
      </c>
    </row>
    <row r="29" spans="1:8" ht="26.1" customHeight="1">
      <c r="A29" s="131"/>
      <c r="B29" s="169" t="s">
        <v>429</v>
      </c>
      <c r="C29" s="255">
        <f>BugetComplet!Q7+BugetComplet!Q17+BugetComplet!Q27+BugetComplet!Q37</f>
        <v>0</v>
      </c>
      <c r="D29" s="255">
        <f>BugetComplet!R7+BugetComplet!R17+BugetComplet!R27+BugetComplet!R37</f>
        <v>0</v>
      </c>
      <c r="E29" s="255">
        <f>BugetComplet!S7+BugetComplet!S17+BugetComplet!S27+BugetComplet!S37</f>
        <v>0</v>
      </c>
      <c r="F29" s="255">
        <f>BugetComplet!T7+BugetComplet!T17+BugetComplet!T27+BugetComplet!T37</f>
        <v>0</v>
      </c>
      <c r="G29" s="255">
        <f>BugetComplet!U7+BugetComplet!U17+BugetComplet!U27+BugetComplet!U37</f>
        <v>0</v>
      </c>
      <c r="H29" s="255">
        <f>BugetComplet!V7+BugetComplet!V17+BugetComplet!V27+BugetComplet!V37</f>
        <v>0</v>
      </c>
    </row>
    <row r="30" spans="1:8" ht="26.1" customHeight="1">
      <c r="A30" s="131"/>
      <c r="B30" s="169" t="s">
        <v>133</v>
      </c>
      <c r="C30" s="255">
        <f>BugetComplet!Q8+BugetComplet!Q18+BugetComplet!Q28+BugetComplet!Q38</f>
        <v>0</v>
      </c>
      <c r="D30" s="255">
        <f>BugetComplet!R8+BugetComplet!R18+BugetComplet!R28+BugetComplet!R38</f>
        <v>0</v>
      </c>
      <c r="E30" s="255">
        <f>BugetComplet!S8+BugetComplet!S18+BugetComplet!S28+BugetComplet!S38</f>
        <v>0</v>
      </c>
      <c r="F30" s="255">
        <f>BugetComplet!T8+BugetComplet!T18+BugetComplet!T28+BugetComplet!T38</f>
        <v>420455</v>
      </c>
      <c r="G30" s="255">
        <f>BugetComplet!U8+BugetComplet!U18+BugetComplet!U28+BugetComplet!U38</f>
        <v>630682.5</v>
      </c>
      <c r="H30" s="255">
        <f>BugetComplet!V8+BugetComplet!V18+BugetComplet!V28+BugetComplet!V38</f>
        <v>1051137.5</v>
      </c>
    </row>
    <row r="31" spans="1:8" ht="26.1" customHeight="1">
      <c r="A31" s="131"/>
      <c r="B31" s="169" t="s">
        <v>81</v>
      </c>
      <c r="C31" s="255">
        <f>BugetComplet!Q9+BugetComplet!Q19+BugetComplet!Q29+BugetComplet!Q39</f>
        <v>0</v>
      </c>
      <c r="D31" s="255">
        <f>BugetComplet!R9+BugetComplet!R19+BugetComplet!R29+BugetComplet!R39</f>
        <v>0</v>
      </c>
      <c r="E31" s="255">
        <f>BugetComplet!S9+BugetComplet!S19+BugetComplet!S29+BugetComplet!S39</f>
        <v>0</v>
      </c>
      <c r="F31" s="255">
        <f>BugetComplet!T9+BugetComplet!T19+BugetComplet!T29+BugetComplet!T39</f>
        <v>0</v>
      </c>
      <c r="G31" s="255">
        <f>BugetComplet!U9+BugetComplet!U19+BugetComplet!U29+BugetComplet!U39</f>
        <v>0</v>
      </c>
      <c r="H31" s="255">
        <f>BugetComplet!V9+BugetComplet!V19+BugetComplet!V29+BugetComplet!V39</f>
        <v>0</v>
      </c>
    </row>
    <row r="32" spans="1:8" ht="26.1" customHeight="1">
      <c r="A32" s="131"/>
      <c r="B32" s="169" t="s">
        <v>134</v>
      </c>
      <c r="C32" s="255">
        <f>BugetComplet!Q10+BugetComplet!Q20+BugetComplet!Q30+BugetComplet!Q40</f>
        <v>999862.5</v>
      </c>
      <c r="D32" s="255">
        <f>BugetComplet!R10+BugetComplet!R20+BugetComplet!R30+BugetComplet!R40</f>
        <v>1399807.5</v>
      </c>
      <c r="E32" s="255">
        <f>BugetComplet!S10+BugetComplet!S20+BugetComplet!S30+BugetComplet!S40</f>
        <v>1866409.9999999998</v>
      </c>
      <c r="F32" s="255">
        <f>BugetComplet!T10+BugetComplet!T20+BugetComplet!T30+BugetComplet!T40</f>
        <v>3074170.0000000005</v>
      </c>
      <c r="G32" s="255">
        <f>BugetComplet!U10+BugetComplet!U20+BugetComplet!U30+BugetComplet!U40</f>
        <v>4375972.5</v>
      </c>
      <c r="H32" s="255">
        <f>BugetComplet!V10+BugetComplet!V20+BugetComplet!V30+BugetComplet!V40</f>
        <v>11716222.5</v>
      </c>
    </row>
    <row r="33" spans="1:8" ht="26.1" customHeight="1">
      <c r="A33" s="131"/>
      <c r="B33" s="169" t="s">
        <v>82</v>
      </c>
      <c r="C33" s="255">
        <f>BugetComplet!Q11+BugetComplet!Q21+BugetComplet!Q31+BugetComplet!Q41</f>
        <v>3087862.5</v>
      </c>
      <c r="D33" s="255">
        <f>BugetComplet!R11+BugetComplet!R21+BugetComplet!R31+BugetComplet!R41</f>
        <v>3372147.5</v>
      </c>
      <c r="E33" s="255">
        <f>BugetComplet!S11+BugetComplet!S21+BugetComplet!S31+BugetComplet!S41</f>
        <v>3589775</v>
      </c>
      <c r="F33" s="255">
        <f>BugetComplet!T11+BugetComplet!T21+BugetComplet!T31+BugetComplet!T41</f>
        <v>0</v>
      </c>
      <c r="G33" s="255">
        <f>BugetComplet!U11+BugetComplet!U21+BugetComplet!U31+BugetComplet!U41</f>
        <v>0</v>
      </c>
      <c r="H33" s="255">
        <f>BugetComplet!V11+BugetComplet!V21+BugetComplet!V31+BugetComplet!V41</f>
        <v>10049785</v>
      </c>
    </row>
    <row r="34" spans="1:8" ht="26.1" customHeight="1">
      <c r="A34" s="131"/>
      <c r="B34" s="169" t="s">
        <v>90</v>
      </c>
      <c r="C34" s="255">
        <f>BugetComplet!Q12+BugetComplet!Q22+BugetComplet!Q32+BugetComplet!Q42</f>
        <v>1261365</v>
      </c>
      <c r="D34" s="255">
        <f>BugetComplet!R12+BugetComplet!R22+BugetComplet!R32+BugetComplet!R42</f>
        <v>1471592.5</v>
      </c>
      <c r="E34" s="255">
        <f>BugetComplet!S12+BugetComplet!S22+BugetComplet!S32+BugetComplet!S42</f>
        <v>1681820</v>
      </c>
      <c r="F34" s="255">
        <f>BugetComplet!T12+BugetComplet!T22+BugetComplet!T32+BugetComplet!T42</f>
        <v>0</v>
      </c>
      <c r="G34" s="255">
        <f>BugetComplet!U12+BugetComplet!U22+BugetComplet!U32+BugetComplet!U42</f>
        <v>0</v>
      </c>
      <c r="H34" s="255">
        <f>BugetComplet!V12+BugetComplet!V22+BugetComplet!V32+BugetComplet!V42</f>
        <v>4414777.5</v>
      </c>
    </row>
    <row r="35" spans="1:8" ht="26.1" customHeight="1">
      <c r="A35" s="131"/>
      <c r="B35" s="169" t="s">
        <v>83</v>
      </c>
      <c r="C35" s="255">
        <f>BugetComplet!Q13+BugetComplet!Q23+BugetComplet!Q33+BugetComplet!Q43</f>
        <v>0</v>
      </c>
      <c r="D35" s="255">
        <f>BugetComplet!R13+BugetComplet!R23+BugetComplet!R33+BugetComplet!R43</f>
        <v>0</v>
      </c>
      <c r="E35" s="255">
        <f>BugetComplet!S13+BugetComplet!S23+BugetComplet!S33+BugetComplet!S43</f>
        <v>0</v>
      </c>
      <c r="F35" s="255">
        <f>BugetComplet!T13+BugetComplet!T23+BugetComplet!T33+BugetComplet!T43</f>
        <v>0</v>
      </c>
      <c r="G35" s="255">
        <f>BugetComplet!U13+BugetComplet!U23+BugetComplet!U33+BugetComplet!U43</f>
        <v>0</v>
      </c>
      <c r="H35" s="255">
        <f>BugetComplet!V13+BugetComplet!V23+BugetComplet!V33+BugetComplet!V43</f>
        <v>0</v>
      </c>
    </row>
    <row r="36" spans="1:8" ht="26.1" customHeight="1">
      <c r="A36" s="131"/>
      <c r="B36" s="169" t="s">
        <v>84</v>
      </c>
      <c r="C36" s="255">
        <f>BugetComplet!Q14+BugetComplet!Q24+BugetComplet!Q34+BugetComplet!Q44</f>
        <v>1261980</v>
      </c>
      <c r="D36" s="255">
        <f>BugetComplet!R14+BugetComplet!R24+BugetComplet!R34+BugetComplet!R44</f>
        <v>1482570</v>
      </c>
      <c r="E36" s="255">
        <f>BugetComplet!S14+BugetComplet!S24+BugetComplet!S34+BugetComplet!S44</f>
        <v>1672380</v>
      </c>
      <c r="F36" s="255">
        <f>BugetComplet!T14+BugetComplet!T24+BugetComplet!T34+BugetComplet!T44</f>
        <v>8841052.5</v>
      </c>
      <c r="G36" s="255">
        <f>BugetComplet!U14+BugetComplet!U24+BugetComplet!U34+BugetComplet!U44</f>
        <v>10564170</v>
      </c>
      <c r="H36" s="255">
        <f>BugetComplet!V14+BugetComplet!V24+BugetComplet!V34+BugetComplet!V44</f>
        <v>23822152.5</v>
      </c>
    </row>
    <row r="37" spans="1:8" ht="36" customHeight="1">
      <c r="A37" s="131" t="str">
        <f>BugetComplet!F$45</f>
        <v>1.1.2</v>
      </c>
      <c r="B37" s="133" t="str">
        <f>BugetComplet!G$45</f>
        <v>Представление пакета профилактических услуг для ЛУИН</v>
      </c>
      <c r="C37" s="255">
        <f>BugetComplet!Q$45</f>
        <v>16687521.879999999</v>
      </c>
      <c r="D37" s="255">
        <f>BugetComplet!R$45</f>
        <v>18346859.368000001</v>
      </c>
      <c r="E37" s="255">
        <f>BugetComplet!S$45</f>
        <v>20006196.855999999</v>
      </c>
      <c r="F37" s="255">
        <f>BugetComplet!T$45</f>
        <v>6373502.8096000003</v>
      </c>
      <c r="G37" s="255">
        <f>BugetComplet!U$45</f>
        <v>8006312.6799999997</v>
      </c>
      <c r="H37" s="255">
        <f>BugetComplet!V$45</f>
        <v>69420393.593600005</v>
      </c>
    </row>
    <row r="38" spans="1:8" ht="26.1" customHeight="1">
      <c r="A38" s="131"/>
      <c r="B38" s="168" t="s">
        <v>79</v>
      </c>
      <c r="C38" s="255">
        <f>BugetComplet!Q46+BugetComplet!Q56+BugetComplet!Q66+BugetComplet!Q76</f>
        <v>18889101.879999999</v>
      </c>
      <c r="D38" s="255">
        <f>BugetComplet!R46+BugetComplet!R56+BugetComplet!R66+BugetComplet!R76</f>
        <v>20607148.168000001</v>
      </c>
      <c r="E38" s="255">
        <f>BugetComplet!S46+BugetComplet!S56+BugetComplet!S66+BugetComplet!S76</f>
        <v>22295840.055999998</v>
      </c>
      <c r="F38" s="255">
        <f>BugetComplet!T46+BugetComplet!T56+BugetComplet!T66+BugetComplet!T76</f>
        <v>23902665.179200001</v>
      </c>
      <c r="G38" s="255">
        <f>BugetComplet!U46+BugetComplet!U56+BugetComplet!U66+BugetComplet!U76</f>
        <v>26965631.32</v>
      </c>
      <c r="H38" s="255">
        <f>BugetComplet!V46+BugetComplet!V56+BugetComplet!V66+BugetComplet!V76</f>
        <v>112660386.60319999</v>
      </c>
    </row>
    <row r="39" spans="1:8" ht="26.1" customHeight="1">
      <c r="A39" s="131"/>
      <c r="B39" s="169" t="s">
        <v>80</v>
      </c>
      <c r="C39" s="255">
        <f>BugetComplet!Q47+BugetComplet!Q57+BugetComplet!Q67+BugetComplet!Q77</f>
        <v>16687521.879999999</v>
      </c>
      <c r="D39" s="255">
        <f>BugetComplet!R47+BugetComplet!R57+BugetComplet!R67+BugetComplet!R77</f>
        <v>18346859.368000001</v>
      </c>
      <c r="E39" s="255">
        <f>BugetComplet!S47+BugetComplet!S57+BugetComplet!S67+BugetComplet!S77</f>
        <v>20006196.855999999</v>
      </c>
      <c r="F39" s="255">
        <f>BugetComplet!T47+BugetComplet!T57+BugetComplet!T67+BugetComplet!T77</f>
        <v>6373502.8096000003</v>
      </c>
      <c r="G39" s="255">
        <f>BugetComplet!U47+BugetComplet!U57+BugetComplet!U67+BugetComplet!U77</f>
        <v>8006312.6799999997</v>
      </c>
      <c r="H39" s="255">
        <f>BugetComplet!V47+BugetComplet!V57+BugetComplet!V67+BugetComplet!V77</f>
        <v>69420393.593600005</v>
      </c>
    </row>
    <row r="40" spans="1:8" ht="26.1" customHeight="1">
      <c r="A40" s="131"/>
      <c r="B40" s="169" t="s">
        <v>429</v>
      </c>
      <c r="C40" s="255">
        <f>BugetComplet!Q48+BugetComplet!Q58+BugetComplet!Q68+BugetComplet!Q78</f>
        <v>50400</v>
      </c>
      <c r="D40" s="255">
        <f>BugetComplet!R48+BugetComplet!R58+BugetComplet!R68+BugetComplet!R78</f>
        <v>50400</v>
      </c>
      <c r="E40" s="255">
        <f>BugetComplet!S48+BugetComplet!S58+BugetComplet!S68+BugetComplet!S78</f>
        <v>50400</v>
      </c>
      <c r="F40" s="255">
        <f>BugetComplet!T48+BugetComplet!T58+BugetComplet!T68+BugetComplet!T78</f>
        <v>50400</v>
      </c>
      <c r="G40" s="255">
        <f>BugetComplet!U48+BugetComplet!U58+BugetComplet!U68+BugetComplet!U78</f>
        <v>50400</v>
      </c>
      <c r="H40" s="255">
        <f>BugetComplet!V48+BugetComplet!V58+BugetComplet!V68+BugetComplet!V78</f>
        <v>252000</v>
      </c>
    </row>
    <row r="41" spans="1:8" ht="26.1" customHeight="1">
      <c r="A41" s="131"/>
      <c r="B41" s="169" t="s">
        <v>133</v>
      </c>
      <c r="C41" s="255">
        <f>BugetComplet!Q49+BugetComplet!Q59+BugetComplet!Q69+BugetComplet!Q79</f>
        <v>0</v>
      </c>
      <c r="D41" s="255">
        <f>BugetComplet!R49+BugetComplet!R59+BugetComplet!R69+BugetComplet!R79</f>
        <v>0</v>
      </c>
      <c r="E41" s="255">
        <f>BugetComplet!S49+BugetComplet!S59+BugetComplet!S69+BugetComplet!S79</f>
        <v>0</v>
      </c>
      <c r="F41" s="255">
        <f>BugetComplet!T49+BugetComplet!T59+BugetComplet!T69+BugetComplet!T79</f>
        <v>26800</v>
      </c>
      <c r="G41" s="255">
        <f>BugetComplet!U49+BugetComplet!U59+BugetComplet!U69+BugetComplet!U79</f>
        <v>26800</v>
      </c>
      <c r="H41" s="255">
        <f>BugetComplet!V49+BugetComplet!V59+BugetComplet!V69+BugetComplet!V79</f>
        <v>53600</v>
      </c>
    </row>
    <row r="42" spans="1:8" ht="26.1" customHeight="1">
      <c r="A42" s="131"/>
      <c r="B42" s="169" t="s">
        <v>81</v>
      </c>
      <c r="C42" s="255">
        <f>BugetComplet!Q50+BugetComplet!Q60+BugetComplet!Q70+BugetComplet!Q80</f>
        <v>0</v>
      </c>
      <c r="D42" s="255">
        <f>BugetComplet!R50+BugetComplet!R60+BugetComplet!R70+BugetComplet!R80</f>
        <v>0</v>
      </c>
      <c r="E42" s="255">
        <f>BugetComplet!S50+BugetComplet!S60+BugetComplet!S70+BugetComplet!S80</f>
        <v>0</v>
      </c>
      <c r="F42" s="255">
        <f>BugetComplet!T50+BugetComplet!T60+BugetComplet!T70+BugetComplet!T80</f>
        <v>0</v>
      </c>
      <c r="G42" s="255">
        <f>BugetComplet!U50+BugetComplet!U60+BugetComplet!U70+BugetComplet!U80</f>
        <v>0</v>
      </c>
      <c r="H42" s="255">
        <f>BugetComplet!V50+BugetComplet!V60+BugetComplet!V70+BugetComplet!V80</f>
        <v>0</v>
      </c>
    </row>
    <row r="43" spans="1:8" ht="26.1" customHeight="1">
      <c r="A43" s="131"/>
      <c r="B43" s="169" t="s">
        <v>134</v>
      </c>
      <c r="C43" s="255">
        <f>BugetComplet!Q51+BugetComplet!Q61+BugetComplet!Q71+BugetComplet!Q81</f>
        <v>2936708.4</v>
      </c>
      <c r="D43" s="255">
        <f>BugetComplet!R51+BugetComplet!R61+BugetComplet!R71+BugetComplet!R81</f>
        <v>3876455.0880000005</v>
      </c>
      <c r="E43" s="255">
        <f>BugetComplet!S51+BugetComplet!S61+BugetComplet!S71+BugetComplet!S81</f>
        <v>4933670.1119999988</v>
      </c>
      <c r="F43" s="255">
        <f>BugetComplet!T51+BugetComplet!T61+BugetComplet!T71+BugetComplet!T81</f>
        <v>6296302.8096000003</v>
      </c>
      <c r="G43" s="255">
        <f>BugetComplet!U51+BugetComplet!U61+BugetComplet!U71+BugetComplet!U81</f>
        <v>7929112.6799999997</v>
      </c>
      <c r="H43" s="255">
        <f>BugetComplet!V51+BugetComplet!V61+BugetComplet!V71+BugetComplet!V81</f>
        <v>25972249.089599997</v>
      </c>
    </row>
    <row r="44" spans="1:8" ht="26.1" customHeight="1">
      <c r="A44" s="131"/>
      <c r="B44" s="169" t="s">
        <v>82</v>
      </c>
      <c r="C44" s="255">
        <f>BugetComplet!Q52+BugetComplet!Q62+BugetComplet!Q72+BugetComplet!Q82</f>
        <v>8343980.1999999993</v>
      </c>
      <c r="D44" s="255">
        <f>BugetComplet!R52+BugetComplet!R62+BugetComplet!R72+BugetComplet!R82</f>
        <v>8521804.8719999995</v>
      </c>
      <c r="E44" s="255">
        <f>BugetComplet!S52+BugetComplet!S62+BugetComplet!S72+BugetComplet!S82</f>
        <v>8582161.2079999987</v>
      </c>
      <c r="F44" s="255">
        <f>BugetComplet!T52+BugetComplet!T62+BugetComplet!T72+BugetComplet!T82</f>
        <v>0</v>
      </c>
      <c r="G44" s="255">
        <f>BugetComplet!U52+BugetComplet!U62+BugetComplet!U72+BugetComplet!U82</f>
        <v>0</v>
      </c>
      <c r="H44" s="255">
        <f>BugetComplet!V52+BugetComplet!V62+BugetComplet!V72+BugetComplet!V82</f>
        <v>25447946.279999994</v>
      </c>
    </row>
    <row r="45" spans="1:8" ht="26.1" customHeight="1">
      <c r="A45" s="131"/>
      <c r="B45" s="169" t="s">
        <v>90</v>
      </c>
      <c r="C45" s="255">
        <f>BugetComplet!Q53+BugetComplet!Q63+BugetComplet!Q73+BugetComplet!Q83</f>
        <v>4631913.28</v>
      </c>
      <c r="D45" s="255">
        <f>BugetComplet!R53+BugetComplet!R63+BugetComplet!R73+BugetComplet!R83</f>
        <v>5088011.4080000008</v>
      </c>
      <c r="E45" s="255">
        <f>BugetComplet!S53+BugetComplet!S63+BugetComplet!S73+BugetComplet!S83</f>
        <v>5543873.5360000003</v>
      </c>
      <c r="F45" s="255">
        <f>BugetComplet!T53+BugetComplet!T63+BugetComplet!T73+BugetComplet!T83</f>
        <v>0</v>
      </c>
      <c r="G45" s="255">
        <f>BugetComplet!U53+BugetComplet!U63+BugetComplet!U73+BugetComplet!U83</f>
        <v>0</v>
      </c>
      <c r="H45" s="255">
        <f>BugetComplet!V53+BugetComplet!V63+BugetComplet!V73+BugetComplet!V83</f>
        <v>15263798.224000001</v>
      </c>
    </row>
    <row r="46" spans="1:8" ht="26.1" customHeight="1">
      <c r="A46" s="131"/>
      <c r="B46" s="169" t="s">
        <v>83</v>
      </c>
      <c r="C46" s="255">
        <f>BugetComplet!Q54+BugetComplet!Q64+BugetComplet!Q74+BugetComplet!Q84</f>
        <v>0</v>
      </c>
      <c r="D46" s="255">
        <f>BugetComplet!R54+BugetComplet!R64+BugetComplet!R74+BugetComplet!R84</f>
        <v>0</v>
      </c>
      <c r="E46" s="255">
        <f>BugetComplet!S54+BugetComplet!S64+BugetComplet!S74+BugetComplet!S84</f>
        <v>0</v>
      </c>
      <c r="F46" s="255">
        <f>BugetComplet!T54+BugetComplet!T64+BugetComplet!T74+BugetComplet!T84</f>
        <v>0</v>
      </c>
      <c r="G46" s="255">
        <f>BugetComplet!U54+BugetComplet!U64+BugetComplet!U74+BugetComplet!U84</f>
        <v>0</v>
      </c>
      <c r="H46" s="255">
        <f>BugetComplet!V54+BugetComplet!V64+BugetComplet!V74+BugetComplet!V84</f>
        <v>0</v>
      </c>
    </row>
    <row r="47" spans="1:8" ht="26.1" customHeight="1">
      <c r="A47" s="131"/>
      <c r="B47" s="169" t="s">
        <v>84</v>
      </c>
      <c r="C47" s="255">
        <f>BugetComplet!Q55+BugetComplet!Q65+BugetComplet!Q75+BugetComplet!Q85</f>
        <v>2201580</v>
      </c>
      <c r="D47" s="255">
        <f>BugetComplet!R55+BugetComplet!R65+BugetComplet!R75+BugetComplet!R85</f>
        <v>2260288.7999999998</v>
      </c>
      <c r="E47" s="255">
        <f>BugetComplet!S55+BugetComplet!S65+BugetComplet!S75+BugetComplet!S85</f>
        <v>2289643.1999999997</v>
      </c>
      <c r="F47" s="255">
        <f>BugetComplet!T55+BugetComplet!T65+BugetComplet!T75+BugetComplet!T85</f>
        <v>17529162.369600002</v>
      </c>
      <c r="G47" s="255">
        <f>BugetComplet!U55+BugetComplet!U65+BugetComplet!U75+BugetComplet!U85</f>
        <v>18959318.640000001</v>
      </c>
      <c r="H47" s="255">
        <f>BugetComplet!V55+BugetComplet!V65+BugetComplet!V75+BugetComplet!V85</f>
        <v>43239993.009599999</v>
      </c>
    </row>
    <row r="48" spans="1:8" ht="36" customHeight="1">
      <c r="A48" s="137" t="str">
        <f>BugetComplet!F$86</f>
        <v>1.1.3</v>
      </c>
      <c r="B48" s="139" t="str">
        <f>BugetComplet!G$86</f>
        <v>Расширение фармакологического лечения опиатной зависимости в гражданском и пенитенциарном секторе</v>
      </c>
      <c r="C48" s="255">
        <f>BugetComplet!Q$86</f>
        <v>1576471.8399999999</v>
      </c>
      <c r="D48" s="255">
        <f>BugetComplet!R$86</f>
        <v>2677745.08</v>
      </c>
      <c r="E48" s="255">
        <f>BugetComplet!S$86</f>
        <v>3680333.4800000004</v>
      </c>
      <c r="F48" s="255">
        <f>BugetComplet!T$86</f>
        <v>3173505.5999999996</v>
      </c>
      <c r="G48" s="255">
        <f>BugetComplet!U$86</f>
        <v>3966882</v>
      </c>
      <c r="H48" s="255">
        <f>BugetComplet!V$86</f>
        <v>15074938</v>
      </c>
    </row>
    <row r="49" spans="1:8" ht="26.1" customHeight="1">
      <c r="A49" s="131"/>
      <c r="B49" s="168" t="s">
        <v>79</v>
      </c>
      <c r="C49" s="255">
        <f>BugetComplet!Q87+BugetComplet!Q97+BugetComplet!Q107+BugetComplet!Q117+BugetComplet!Q127+BugetComplet!Q137+BugetComplet!Q147</f>
        <v>1721727.8399999999</v>
      </c>
      <c r="D49" s="255">
        <f>BugetComplet!R87+BugetComplet!R97+BugetComplet!R107+BugetComplet!R117+BugetComplet!R127+BugetComplet!R137+BugetComplet!R147</f>
        <v>2677745.08</v>
      </c>
      <c r="E49" s="255">
        <f>BugetComplet!S87+BugetComplet!S97+BugetComplet!S107+BugetComplet!S117+BugetComplet!S127+BugetComplet!S137+BugetComplet!S147</f>
        <v>3680333.48</v>
      </c>
      <c r="F49" s="255">
        <f>BugetComplet!T87+BugetComplet!T97+BugetComplet!T107+BugetComplet!T117+BugetComplet!T127+BugetComplet!T137+BugetComplet!T147</f>
        <v>4160364.3220034367</v>
      </c>
      <c r="G49" s="255">
        <f>BugetComplet!U87+BugetComplet!U97+BugetComplet!U107+BugetComplet!U117+BugetComplet!U127+BugetComplet!U137+BugetComplet!U147</f>
        <v>5129770.1682292167</v>
      </c>
      <c r="H49" s="255">
        <f>BugetComplet!V87+BugetComplet!V97+BugetComplet!V107+BugetComplet!V117+BugetComplet!V127+BugetComplet!V137+BugetComplet!V147</f>
        <v>17369940.890232652</v>
      </c>
    </row>
    <row r="50" spans="1:8" ht="26.1" customHeight="1">
      <c r="A50" s="131"/>
      <c r="B50" s="169" t="s">
        <v>80</v>
      </c>
      <c r="C50" s="255">
        <f>BugetComplet!Q88+BugetComplet!Q98+BugetComplet!Q108+BugetComplet!Q118+BugetComplet!Q128+BugetComplet!Q138+BugetComplet!Q148</f>
        <v>1576471.8399999999</v>
      </c>
      <c r="D50" s="255">
        <f>BugetComplet!R88+BugetComplet!R98+BugetComplet!R108+BugetComplet!R118+BugetComplet!R128+BugetComplet!R138+BugetComplet!R148</f>
        <v>2677745.08</v>
      </c>
      <c r="E50" s="255">
        <f>BugetComplet!S88+BugetComplet!S98+BugetComplet!S108+BugetComplet!S118+BugetComplet!S128+BugetComplet!S138+BugetComplet!S148</f>
        <v>3680333.4800000004</v>
      </c>
      <c r="F50" s="255">
        <f>BugetComplet!T88+BugetComplet!T98+BugetComplet!T108+BugetComplet!T118+BugetComplet!T128+BugetComplet!T138+BugetComplet!T148</f>
        <v>3173505.5999999996</v>
      </c>
      <c r="G50" s="255">
        <f>BugetComplet!U88+BugetComplet!U98+BugetComplet!U108+BugetComplet!U118+BugetComplet!U128+BugetComplet!U138+BugetComplet!U148</f>
        <v>3966882</v>
      </c>
      <c r="H50" s="255">
        <f>BugetComplet!V88+BugetComplet!V98+BugetComplet!V108+BugetComplet!V118+BugetComplet!V128+BugetComplet!V138+BugetComplet!V148</f>
        <v>15074938</v>
      </c>
    </row>
    <row r="51" spans="1:8" ht="26.1" customHeight="1">
      <c r="A51" s="131"/>
      <c r="B51" s="169" t="s">
        <v>429</v>
      </c>
      <c r="C51" s="255">
        <f>BugetComplet!Q89+BugetComplet!Q99+BugetComplet!Q109+BugetComplet!Q119+BugetComplet!Q129+BugetComplet!Q139+BugetComplet!Q149</f>
        <v>1117216.7999999998</v>
      </c>
      <c r="D51" s="255">
        <f>BugetComplet!R89+BugetComplet!R99+BugetComplet!R109+BugetComplet!R119+BugetComplet!R129+BugetComplet!R139+BugetComplet!R149</f>
        <v>1396521</v>
      </c>
      <c r="E51" s="255">
        <f>BugetComplet!S89+BugetComplet!S99+BugetComplet!S109+BugetComplet!S119+BugetComplet!S129+BugetComplet!S139+BugetComplet!S149</f>
        <v>1955129.4000000001</v>
      </c>
      <c r="F51" s="255">
        <f>BugetComplet!T89+BugetComplet!T99+BugetComplet!T109+BugetComplet!T119+BugetComplet!T129+BugetComplet!T139+BugetComplet!T149</f>
        <v>2234433.5999999996</v>
      </c>
      <c r="G51" s="255">
        <f>BugetComplet!U89+BugetComplet!U99+BugetComplet!U109+BugetComplet!U119+BugetComplet!U129+BugetComplet!U139+BugetComplet!U149</f>
        <v>2793042</v>
      </c>
      <c r="H51" s="255">
        <f>BugetComplet!V89+BugetComplet!V99+BugetComplet!V109+BugetComplet!V119+BugetComplet!V129+BugetComplet!V139+BugetComplet!V149</f>
        <v>9496342.8000000007</v>
      </c>
    </row>
    <row r="52" spans="1:8" ht="26.1" customHeight="1">
      <c r="A52" s="131"/>
      <c r="B52" s="169" t="s">
        <v>133</v>
      </c>
      <c r="C52" s="255">
        <f>BugetComplet!Q90+BugetComplet!Q100+BugetComplet!Q110+BugetComplet!Q120+BugetComplet!Q130+BugetComplet!Q140+BugetComplet!Q150</f>
        <v>0</v>
      </c>
      <c r="D52" s="255">
        <f>BugetComplet!R90+BugetComplet!R100+BugetComplet!R110+BugetComplet!R120+BugetComplet!R130+BugetComplet!R140+BugetComplet!R150</f>
        <v>0</v>
      </c>
      <c r="E52" s="255">
        <f>BugetComplet!S90+BugetComplet!S100+BugetComplet!S110+BugetComplet!S120+BugetComplet!S130+BugetComplet!S140+BugetComplet!S150</f>
        <v>0</v>
      </c>
      <c r="F52" s="255">
        <f>BugetComplet!T90+BugetComplet!T100+BugetComplet!T110+BugetComplet!T120+BugetComplet!T130+BugetComplet!T140+BugetComplet!T150</f>
        <v>939072</v>
      </c>
      <c r="G52" s="255">
        <f>BugetComplet!U90+BugetComplet!U100+BugetComplet!U110+BugetComplet!U120+BugetComplet!U130+BugetComplet!U140+BugetComplet!U150</f>
        <v>1173840</v>
      </c>
      <c r="H52" s="255">
        <f>BugetComplet!V90+BugetComplet!V100+BugetComplet!V110+BugetComplet!V120+BugetComplet!V130+BugetComplet!V140+BugetComplet!V150</f>
        <v>2112912</v>
      </c>
    </row>
    <row r="53" spans="1:8" ht="26.1" customHeight="1">
      <c r="A53" s="131"/>
      <c r="B53" s="169" t="s">
        <v>81</v>
      </c>
      <c r="C53" s="255">
        <f>BugetComplet!Q91+BugetComplet!Q101+BugetComplet!Q111+BugetComplet!Q121+BugetComplet!Q131+BugetComplet!Q141+BugetComplet!Q151</f>
        <v>0</v>
      </c>
      <c r="D53" s="255">
        <f>BugetComplet!R91+BugetComplet!R101+BugetComplet!R111+BugetComplet!R121+BugetComplet!R131+BugetComplet!R141+BugetComplet!R151</f>
        <v>0</v>
      </c>
      <c r="E53" s="255">
        <f>BugetComplet!S91+BugetComplet!S101+BugetComplet!S111+BugetComplet!S121+BugetComplet!S131+BugetComplet!S141+BugetComplet!S151</f>
        <v>0</v>
      </c>
      <c r="F53" s="255">
        <f>BugetComplet!T91+BugetComplet!T101+BugetComplet!T111+BugetComplet!T121+BugetComplet!T131+BugetComplet!T141+BugetComplet!T151</f>
        <v>0</v>
      </c>
      <c r="G53" s="255">
        <f>BugetComplet!U91+BugetComplet!U101+BugetComplet!U111+BugetComplet!U121+BugetComplet!U131+BugetComplet!U141+BugetComplet!U151</f>
        <v>0</v>
      </c>
      <c r="H53" s="255">
        <f>BugetComplet!V91+BugetComplet!V101+BugetComplet!V111+BugetComplet!V121+BugetComplet!V131+BugetComplet!V141+BugetComplet!V151</f>
        <v>0</v>
      </c>
    </row>
    <row r="54" spans="1:8" ht="26.1" customHeight="1">
      <c r="A54" s="131"/>
      <c r="B54" s="169" t="s">
        <v>134</v>
      </c>
      <c r="C54" s="255">
        <f>BugetComplet!Q92+BugetComplet!Q102+BugetComplet!Q112+BugetComplet!Q122+BugetComplet!Q132+BugetComplet!Q142+BugetComplet!Q152</f>
        <v>0</v>
      </c>
      <c r="D54" s="255">
        <f>BugetComplet!R92+BugetComplet!R102+BugetComplet!R112+BugetComplet!R122+BugetComplet!R132+BugetComplet!R142+BugetComplet!R152</f>
        <v>0</v>
      </c>
      <c r="E54" s="255">
        <f>BugetComplet!S92+BugetComplet!S102+BugetComplet!S112+BugetComplet!S122+BugetComplet!S132+BugetComplet!S142+BugetComplet!S152</f>
        <v>0</v>
      </c>
      <c r="F54" s="255">
        <f>BugetComplet!T92+BugetComplet!T102+BugetComplet!T112+BugetComplet!T122+BugetComplet!T132+BugetComplet!T142+BugetComplet!T152</f>
        <v>0</v>
      </c>
      <c r="G54" s="255">
        <f>BugetComplet!U92+BugetComplet!U102+BugetComplet!U112+BugetComplet!U122+BugetComplet!U132+BugetComplet!U142+BugetComplet!U152</f>
        <v>0</v>
      </c>
      <c r="H54" s="255">
        <f>BugetComplet!V92+BugetComplet!V102+BugetComplet!V112+BugetComplet!V122+BugetComplet!V132+BugetComplet!V142+BugetComplet!V152</f>
        <v>0</v>
      </c>
    </row>
    <row r="55" spans="1:8" ht="26.1" customHeight="1">
      <c r="A55" s="131"/>
      <c r="B55" s="169" t="s">
        <v>82</v>
      </c>
      <c r="C55" s="255">
        <f>BugetComplet!Q93+BugetComplet!Q103+BugetComplet!Q113+BugetComplet!Q123+BugetComplet!Q133+BugetComplet!Q143+BugetComplet!Q153</f>
        <v>414895.04</v>
      </c>
      <c r="D55" s="255">
        <f>BugetComplet!R93+BugetComplet!R103+BugetComplet!R113+BugetComplet!R123+BugetComplet!R133+BugetComplet!R143+BugetComplet!R153</f>
        <v>477960.56</v>
      </c>
      <c r="E55" s="255">
        <f>BugetComplet!S93+BugetComplet!S103+BugetComplet!S113+BugetComplet!S123+BugetComplet!S133+BugetComplet!S143+BugetComplet!S153</f>
        <v>614544.56000000006</v>
      </c>
      <c r="F55" s="255">
        <f>BugetComplet!T93+BugetComplet!T103+BugetComplet!T113+BugetComplet!T123+BugetComplet!T133+BugetComplet!T143+BugetComplet!T153</f>
        <v>0</v>
      </c>
      <c r="G55" s="255">
        <f>BugetComplet!U93+BugetComplet!U103+BugetComplet!U113+BugetComplet!U123+BugetComplet!U133+BugetComplet!U143+BugetComplet!U153</f>
        <v>0</v>
      </c>
      <c r="H55" s="255">
        <f>BugetComplet!V93+BugetComplet!V103+BugetComplet!V113+BugetComplet!V123+BugetComplet!V133+BugetComplet!V143+BugetComplet!V153</f>
        <v>1507400.16</v>
      </c>
    </row>
    <row r="56" spans="1:8" ht="26.1" customHeight="1">
      <c r="A56" s="131"/>
      <c r="B56" s="169" t="s">
        <v>90</v>
      </c>
      <c r="C56" s="255">
        <f>BugetComplet!Q94+BugetComplet!Q104+BugetComplet!Q114+BugetComplet!Q124+BugetComplet!Q134+BugetComplet!Q144+BugetComplet!Q154</f>
        <v>44360</v>
      </c>
      <c r="D56" s="255">
        <f>BugetComplet!R94+BugetComplet!R104+BugetComplet!R114+BugetComplet!R124+BugetComplet!R134+BugetComplet!R144+BugetComplet!R154</f>
        <v>803263.52</v>
      </c>
      <c r="E56" s="255">
        <f>BugetComplet!S94+BugetComplet!S104+BugetComplet!S114+BugetComplet!S124+BugetComplet!S134+BugetComplet!S144+BugetComplet!S154</f>
        <v>1110659.5200000003</v>
      </c>
      <c r="F56" s="255">
        <f>BugetComplet!T94+BugetComplet!T104+BugetComplet!T114+BugetComplet!T124+BugetComplet!T134+BugetComplet!T144+BugetComplet!T154</f>
        <v>0</v>
      </c>
      <c r="G56" s="255">
        <f>BugetComplet!U94+BugetComplet!U104+BugetComplet!U114+BugetComplet!U124+BugetComplet!U134+BugetComplet!U144+BugetComplet!U154</f>
        <v>0</v>
      </c>
      <c r="H56" s="255">
        <f>BugetComplet!V94+BugetComplet!V104+BugetComplet!V114+BugetComplet!V124+BugetComplet!V134+BugetComplet!V144+BugetComplet!V154</f>
        <v>1958283.04</v>
      </c>
    </row>
    <row r="57" spans="1:8" ht="26.1" customHeight="1">
      <c r="A57" s="131"/>
      <c r="B57" s="169" t="s">
        <v>83</v>
      </c>
      <c r="C57" s="255">
        <f>BugetComplet!Q95+BugetComplet!Q105+BugetComplet!Q115+BugetComplet!Q125+BugetComplet!Q135+BugetComplet!Q145+BugetComplet!Q155</f>
        <v>0</v>
      </c>
      <c r="D57" s="255">
        <f>BugetComplet!R95+BugetComplet!R105+BugetComplet!R115+BugetComplet!R125+BugetComplet!R135+BugetComplet!R145+BugetComplet!R155</f>
        <v>0</v>
      </c>
      <c r="E57" s="255">
        <f>BugetComplet!S95+BugetComplet!S105+BugetComplet!S115+BugetComplet!S125+BugetComplet!S135+BugetComplet!S145+BugetComplet!S155</f>
        <v>0</v>
      </c>
      <c r="F57" s="255">
        <f>BugetComplet!T95+BugetComplet!T105+BugetComplet!T115+BugetComplet!T125+BugetComplet!T135+BugetComplet!T145+BugetComplet!T155</f>
        <v>0</v>
      </c>
      <c r="G57" s="255">
        <f>BugetComplet!U95+BugetComplet!U105+BugetComplet!U115+BugetComplet!U125+BugetComplet!U135+BugetComplet!U145+BugetComplet!U155</f>
        <v>0</v>
      </c>
      <c r="H57" s="255">
        <f>BugetComplet!V95+BugetComplet!V105+BugetComplet!V115+BugetComplet!V125+BugetComplet!V135+BugetComplet!V145+BugetComplet!V155</f>
        <v>0</v>
      </c>
    </row>
    <row r="58" spans="1:8" ht="26.1" customHeight="1">
      <c r="A58" s="131"/>
      <c r="B58" s="169" t="s">
        <v>84</v>
      </c>
      <c r="C58" s="255">
        <f>BugetComplet!Q96+BugetComplet!Q106+BugetComplet!Q116+BugetComplet!Q126+BugetComplet!Q136+BugetComplet!Q146+BugetComplet!Q156</f>
        <v>145256</v>
      </c>
      <c r="D58" s="255">
        <f>BugetComplet!R96+BugetComplet!R106+BugetComplet!R116+BugetComplet!R126+BugetComplet!R136+BugetComplet!R146+BugetComplet!R156</f>
        <v>0</v>
      </c>
      <c r="E58" s="255">
        <f>BugetComplet!S96+BugetComplet!S106+BugetComplet!S116+BugetComplet!S126+BugetComplet!S136+BugetComplet!S146+BugetComplet!S156</f>
        <v>0</v>
      </c>
      <c r="F58" s="255">
        <f>BugetComplet!T96+BugetComplet!T106+BugetComplet!T116+BugetComplet!T126+BugetComplet!T136+BugetComplet!T146+BugetComplet!T156</f>
        <v>986858.72200343688</v>
      </c>
      <c r="G58" s="255">
        <f>BugetComplet!U96+BugetComplet!U106+BugetComplet!U116+BugetComplet!U126+BugetComplet!U136+BugetComplet!U146+BugetComplet!U156</f>
        <v>1162888.1682292169</v>
      </c>
      <c r="H58" s="255">
        <f>BugetComplet!V96+BugetComplet!V106+BugetComplet!V116+BugetComplet!V126+BugetComplet!V136+BugetComplet!V146+BugetComplet!V156</f>
        <v>2295002.8902326538</v>
      </c>
    </row>
    <row r="59" spans="1:8" ht="36" customHeight="1">
      <c r="A59" s="137" t="str">
        <f>BugetComplet!F$157</f>
        <v>1.1.4</v>
      </c>
      <c r="B59" s="139" t="str">
        <f>BugetComplet!G$157</f>
        <v>Представление пакета профилактических услуг для РС (в том числе мужчин и ТГ)</v>
      </c>
      <c r="C59" s="255">
        <f>BugetComplet!Q$157</f>
        <v>9048240</v>
      </c>
      <c r="D59" s="255">
        <f>BugetComplet!R$157</f>
        <v>10179270</v>
      </c>
      <c r="E59" s="255">
        <f>BugetComplet!S$157</f>
        <v>11310300</v>
      </c>
      <c r="F59" s="255">
        <f>BugetComplet!T$157</f>
        <v>4536864</v>
      </c>
      <c r="G59" s="255">
        <f>BugetComplet!U$157</f>
        <v>5954634</v>
      </c>
      <c r="H59" s="255">
        <f>BugetComplet!V$157</f>
        <v>41029308</v>
      </c>
    </row>
    <row r="60" spans="1:8" ht="26.1" customHeight="1">
      <c r="A60" s="131"/>
      <c r="B60" s="168" t="s">
        <v>79</v>
      </c>
      <c r="C60" s="255">
        <f>BugetComplet!Q158+BugetComplet!Q168+BugetComplet!Q178</f>
        <v>11638320</v>
      </c>
      <c r="D60" s="255">
        <f>BugetComplet!R158+BugetComplet!R168+BugetComplet!R178</f>
        <v>13174050</v>
      </c>
      <c r="E60" s="255">
        <f>BugetComplet!S158+BugetComplet!S168+BugetComplet!S178</f>
        <v>14547900</v>
      </c>
      <c r="F60" s="255">
        <f>BugetComplet!T158+BugetComplet!T168+BugetComplet!T178</f>
        <v>18105000</v>
      </c>
      <c r="G60" s="255">
        <f>BugetComplet!U158+BugetComplet!U168+BugetComplet!U178</f>
        <v>20852699.999999996</v>
      </c>
      <c r="H60" s="255">
        <f>BugetComplet!V158+BugetComplet!V168+BugetComplet!V178</f>
        <v>78317970</v>
      </c>
    </row>
    <row r="61" spans="1:8" ht="26.1" customHeight="1">
      <c r="A61" s="131"/>
      <c r="B61" s="169" t="s">
        <v>80</v>
      </c>
      <c r="C61" s="255">
        <f>BugetComplet!Q159+BugetComplet!Q169+BugetComplet!Q179</f>
        <v>9048240</v>
      </c>
      <c r="D61" s="255">
        <f>BugetComplet!R159+BugetComplet!R169+BugetComplet!R179</f>
        <v>10179270</v>
      </c>
      <c r="E61" s="255">
        <f>BugetComplet!S159+BugetComplet!S169+BugetComplet!S179</f>
        <v>11310300</v>
      </c>
      <c r="F61" s="255">
        <f>BugetComplet!T159+BugetComplet!T169+BugetComplet!T179</f>
        <v>4536864</v>
      </c>
      <c r="G61" s="255">
        <f>BugetComplet!U159+BugetComplet!U169+BugetComplet!U179</f>
        <v>5954634</v>
      </c>
      <c r="H61" s="255">
        <f>BugetComplet!V159+BugetComplet!V169+BugetComplet!V179</f>
        <v>41029308</v>
      </c>
    </row>
    <row r="62" spans="1:8" ht="26.1" customHeight="1">
      <c r="A62" s="131"/>
      <c r="B62" s="169" t="s">
        <v>429</v>
      </c>
      <c r="C62" s="255">
        <f>BugetComplet!Q160+BugetComplet!Q170+BugetComplet!Q180</f>
        <v>0</v>
      </c>
      <c r="D62" s="255">
        <f>BugetComplet!R160+BugetComplet!R170+BugetComplet!R180</f>
        <v>0</v>
      </c>
      <c r="E62" s="255">
        <f>BugetComplet!S160+BugetComplet!S170+BugetComplet!S180</f>
        <v>0</v>
      </c>
      <c r="F62" s="255">
        <f>BugetComplet!T160+BugetComplet!T170+BugetComplet!T180</f>
        <v>0</v>
      </c>
      <c r="G62" s="255">
        <f>BugetComplet!U160+BugetComplet!U170+BugetComplet!U180</f>
        <v>0</v>
      </c>
      <c r="H62" s="255">
        <f>BugetComplet!V160+BugetComplet!V170+BugetComplet!V180</f>
        <v>0</v>
      </c>
    </row>
    <row r="63" spans="1:8" ht="26.1" customHeight="1">
      <c r="A63" s="131"/>
      <c r="B63" s="169" t="s">
        <v>133</v>
      </c>
      <c r="C63" s="255">
        <f>BugetComplet!Q161+BugetComplet!Q171+BugetComplet!Q181</f>
        <v>0</v>
      </c>
      <c r="D63" s="255">
        <f>BugetComplet!R161+BugetComplet!R171+BugetComplet!R181</f>
        <v>0</v>
      </c>
      <c r="E63" s="255">
        <f>BugetComplet!S161+BugetComplet!S171+BugetComplet!S181</f>
        <v>0</v>
      </c>
      <c r="F63" s="255">
        <f>BugetComplet!T161+BugetComplet!T171+BugetComplet!T181</f>
        <v>0</v>
      </c>
      <c r="G63" s="255">
        <f>BugetComplet!U161+BugetComplet!U171+BugetComplet!U181</f>
        <v>0</v>
      </c>
      <c r="H63" s="255">
        <f>BugetComplet!V161+BugetComplet!V171+BugetComplet!V181</f>
        <v>0</v>
      </c>
    </row>
    <row r="64" spans="1:8" ht="26.1" customHeight="1">
      <c r="A64" s="131"/>
      <c r="B64" s="169" t="s">
        <v>81</v>
      </c>
      <c r="C64" s="255">
        <f>BugetComplet!Q162+BugetComplet!Q172+BugetComplet!Q182</f>
        <v>0</v>
      </c>
      <c r="D64" s="255">
        <f>BugetComplet!R162+BugetComplet!R172+BugetComplet!R182</f>
        <v>0</v>
      </c>
      <c r="E64" s="255">
        <f>BugetComplet!S162+BugetComplet!S172+BugetComplet!S182</f>
        <v>0</v>
      </c>
      <c r="F64" s="255">
        <f>BugetComplet!T162+BugetComplet!T172+BugetComplet!T182</f>
        <v>0</v>
      </c>
      <c r="G64" s="255">
        <f>BugetComplet!U162+BugetComplet!U172+BugetComplet!U182</f>
        <v>0</v>
      </c>
      <c r="H64" s="255">
        <f>BugetComplet!V162+BugetComplet!V172+BugetComplet!V182</f>
        <v>0</v>
      </c>
    </row>
    <row r="65" spans="1:8" ht="26.1" customHeight="1">
      <c r="A65" s="131"/>
      <c r="B65" s="169" t="s">
        <v>134</v>
      </c>
      <c r="C65" s="255">
        <f>BugetComplet!Q163+BugetComplet!Q173+BugetComplet!Q183</f>
        <v>1890360</v>
      </c>
      <c r="D65" s="255">
        <f>BugetComplet!R163+BugetComplet!R173+BugetComplet!R183</f>
        <v>2551986</v>
      </c>
      <c r="E65" s="255">
        <f>BugetComplet!S163+BugetComplet!S173+BugetComplet!S183</f>
        <v>3308130</v>
      </c>
      <c r="F65" s="255">
        <f>BugetComplet!T163+BugetComplet!T173+BugetComplet!T183</f>
        <v>4536864</v>
      </c>
      <c r="G65" s="255">
        <f>BugetComplet!U163+BugetComplet!U173+BugetComplet!U183</f>
        <v>5954634</v>
      </c>
      <c r="H65" s="255">
        <f>BugetComplet!V163+BugetComplet!V173+BugetComplet!V183</f>
        <v>18241974</v>
      </c>
    </row>
    <row r="66" spans="1:8" ht="26.1" customHeight="1">
      <c r="A66" s="131"/>
      <c r="B66" s="169" t="s">
        <v>82</v>
      </c>
      <c r="C66" s="255">
        <f>BugetComplet!Q164+BugetComplet!Q174+BugetComplet!Q184</f>
        <v>5671080</v>
      </c>
      <c r="D66" s="255">
        <f>BugetComplet!R164+BugetComplet!R174+BugetComplet!R184</f>
        <v>5954634</v>
      </c>
      <c r="E66" s="255">
        <f>BugetComplet!S164+BugetComplet!S174+BugetComplet!S184</f>
        <v>6143670</v>
      </c>
      <c r="F66" s="255">
        <f>BugetComplet!T164+BugetComplet!T174+BugetComplet!T184</f>
        <v>0</v>
      </c>
      <c r="G66" s="255">
        <f>BugetComplet!U164+BugetComplet!U174+BugetComplet!U184</f>
        <v>0</v>
      </c>
      <c r="H66" s="255">
        <f>BugetComplet!V164+BugetComplet!V174+BugetComplet!V184</f>
        <v>17769384</v>
      </c>
    </row>
    <row r="67" spans="1:8" ht="26.1" customHeight="1">
      <c r="A67" s="131"/>
      <c r="B67" s="169" t="s">
        <v>90</v>
      </c>
      <c r="C67" s="255">
        <f>BugetComplet!Q165+BugetComplet!Q175+BugetComplet!Q185</f>
        <v>1486800</v>
      </c>
      <c r="D67" s="255">
        <f>BugetComplet!R165+BugetComplet!R175+BugetComplet!R185</f>
        <v>1672650</v>
      </c>
      <c r="E67" s="255">
        <f>BugetComplet!S165+BugetComplet!S175+BugetComplet!S185</f>
        <v>1858500</v>
      </c>
      <c r="F67" s="255">
        <f>BugetComplet!T165+BugetComplet!T175+BugetComplet!T185</f>
        <v>0</v>
      </c>
      <c r="G67" s="255">
        <f>BugetComplet!U165+BugetComplet!U175+BugetComplet!U185</f>
        <v>0</v>
      </c>
      <c r="H67" s="255">
        <f>BugetComplet!V165+BugetComplet!V175+BugetComplet!V185</f>
        <v>5017950</v>
      </c>
    </row>
    <row r="68" spans="1:8" ht="26.1" customHeight="1">
      <c r="A68" s="131"/>
      <c r="B68" s="169" t="s">
        <v>83</v>
      </c>
      <c r="C68" s="255">
        <f>BugetComplet!Q166+BugetComplet!Q176+BugetComplet!Q186</f>
        <v>0</v>
      </c>
      <c r="D68" s="255">
        <f>BugetComplet!R166+BugetComplet!R176+BugetComplet!R186</f>
        <v>0</v>
      </c>
      <c r="E68" s="255">
        <f>BugetComplet!S166+BugetComplet!S176+BugetComplet!S186</f>
        <v>0</v>
      </c>
      <c r="F68" s="255">
        <f>BugetComplet!T166+BugetComplet!T176+BugetComplet!T186</f>
        <v>0</v>
      </c>
      <c r="G68" s="255">
        <f>BugetComplet!U166+BugetComplet!U176+BugetComplet!U186</f>
        <v>0</v>
      </c>
      <c r="H68" s="255">
        <f>BugetComplet!V166+BugetComplet!V176+BugetComplet!V186</f>
        <v>0</v>
      </c>
    </row>
    <row r="69" spans="1:8" ht="26.1" customHeight="1">
      <c r="A69" s="131"/>
      <c r="B69" s="169" t="s">
        <v>84</v>
      </c>
      <c r="C69" s="255">
        <f>BugetComplet!Q167+BugetComplet!Q177+BugetComplet!Q187</f>
        <v>2590080</v>
      </c>
      <c r="D69" s="255">
        <f>BugetComplet!R167+BugetComplet!R177+BugetComplet!R187</f>
        <v>2994780</v>
      </c>
      <c r="E69" s="255">
        <f>BugetComplet!S167+BugetComplet!S177+BugetComplet!S187</f>
        <v>3237600</v>
      </c>
      <c r="F69" s="255">
        <f>BugetComplet!T167+BugetComplet!T177+BugetComplet!T187</f>
        <v>13568136</v>
      </c>
      <c r="G69" s="255">
        <f>BugetComplet!U167+BugetComplet!U177+BugetComplet!U187</f>
        <v>14898065.999999996</v>
      </c>
      <c r="H69" s="255">
        <f>BugetComplet!V167+BugetComplet!V177+BugetComplet!V187</f>
        <v>37288662</v>
      </c>
    </row>
    <row r="70" spans="1:8" ht="36" customHeight="1">
      <c r="A70" s="137" t="str">
        <f>BugetComplet!F$188</f>
        <v>1.1.5</v>
      </c>
      <c r="B70" s="139" t="str">
        <f>BugetComplet!G$188</f>
        <v>Предоставление профилактических услуг для заключенных</v>
      </c>
      <c r="C70" s="255">
        <f>BugetComplet!Q$188</f>
        <v>2883956.46</v>
      </c>
      <c r="D70" s="255">
        <f>BugetComplet!R$188</f>
        <v>3289676.46</v>
      </c>
      <c r="E70" s="255">
        <f>BugetComplet!S$188</f>
        <v>3695396.46</v>
      </c>
      <c r="F70" s="255">
        <f>BugetComplet!T$188</f>
        <v>1695539.6640000001</v>
      </c>
      <c r="G70" s="255">
        <f>BugetComplet!U$188</f>
        <v>2190425.58</v>
      </c>
      <c r="H70" s="255">
        <f>BugetComplet!V$188</f>
        <v>13754994.624</v>
      </c>
    </row>
    <row r="71" spans="1:8" ht="26.1" customHeight="1">
      <c r="A71" s="131"/>
      <c r="B71" s="168" t="s">
        <v>79</v>
      </c>
      <c r="C71" s="255">
        <f>BugetComplet!Q189+BugetComplet!Q199+BugetComplet!Q209</f>
        <v>2883956.46</v>
      </c>
      <c r="D71" s="255">
        <f>BugetComplet!R189+BugetComplet!R199+BugetComplet!R209</f>
        <v>3289676.46</v>
      </c>
      <c r="E71" s="255">
        <f>BugetComplet!S189+BugetComplet!S199+BugetComplet!S209</f>
        <v>3695396.46</v>
      </c>
      <c r="F71" s="255">
        <f>BugetComplet!T189+BugetComplet!T199+BugetComplet!T209</f>
        <v>4101116.4600000004</v>
      </c>
      <c r="G71" s="255">
        <f>BugetComplet!U189+BugetComplet!U199+BugetComplet!U209</f>
        <v>4506836.46</v>
      </c>
      <c r="H71" s="255">
        <f>BugetComplet!V189+BugetComplet!V199+BugetComplet!V209</f>
        <v>18476982.300000001</v>
      </c>
    </row>
    <row r="72" spans="1:8" ht="26.1" customHeight="1">
      <c r="A72" s="131"/>
      <c r="B72" s="169" t="s">
        <v>80</v>
      </c>
      <c r="C72" s="255">
        <f>BugetComplet!Q190+BugetComplet!Q200+BugetComplet!Q210</f>
        <v>2883956.46</v>
      </c>
      <c r="D72" s="255">
        <f>BugetComplet!R190+BugetComplet!R200+BugetComplet!R210</f>
        <v>3289676.46</v>
      </c>
      <c r="E72" s="255">
        <f>BugetComplet!S190+BugetComplet!S200+BugetComplet!S210</f>
        <v>3695396.46</v>
      </c>
      <c r="F72" s="255">
        <f>BugetComplet!T190+BugetComplet!T200+BugetComplet!T210</f>
        <v>1695539.6640000001</v>
      </c>
      <c r="G72" s="255">
        <f>BugetComplet!U190+BugetComplet!U200+BugetComplet!U210</f>
        <v>2190425.58</v>
      </c>
      <c r="H72" s="255">
        <f>BugetComplet!V190+BugetComplet!V200+BugetComplet!V210</f>
        <v>13754994.624</v>
      </c>
    </row>
    <row r="73" spans="1:8" ht="26.1" customHeight="1">
      <c r="A73" s="131"/>
      <c r="B73" s="169" t="s">
        <v>429</v>
      </c>
      <c r="C73" s="255">
        <f>BugetComplet!Q191+BugetComplet!Q201+BugetComplet!Q211</f>
        <v>0</v>
      </c>
      <c r="D73" s="255">
        <f>BugetComplet!R191+BugetComplet!R201+BugetComplet!R211</f>
        <v>0</v>
      </c>
      <c r="E73" s="255">
        <f>BugetComplet!S191+BugetComplet!S201+BugetComplet!S211</f>
        <v>0</v>
      </c>
      <c r="F73" s="255">
        <f>BugetComplet!T191+BugetComplet!T201+BugetComplet!T211</f>
        <v>0</v>
      </c>
      <c r="G73" s="255">
        <f>BugetComplet!U191+BugetComplet!U201+BugetComplet!U211</f>
        <v>0</v>
      </c>
      <c r="H73" s="255">
        <f>BugetComplet!V191+BugetComplet!V201+BugetComplet!V211</f>
        <v>0</v>
      </c>
    </row>
    <row r="74" spans="1:8" ht="26.1" customHeight="1">
      <c r="A74" s="131"/>
      <c r="B74" s="169" t="s">
        <v>133</v>
      </c>
      <c r="C74" s="255">
        <f>BugetComplet!Q192+BugetComplet!Q202+BugetComplet!Q212</f>
        <v>0</v>
      </c>
      <c r="D74" s="255">
        <f>BugetComplet!R192+BugetComplet!R202+BugetComplet!R212</f>
        <v>0</v>
      </c>
      <c r="E74" s="255">
        <f>BugetComplet!S192+BugetComplet!S202+BugetComplet!S212</f>
        <v>0</v>
      </c>
      <c r="F74" s="255">
        <f>BugetComplet!T192+BugetComplet!T202+BugetComplet!T212</f>
        <v>0</v>
      </c>
      <c r="G74" s="255">
        <f>BugetComplet!U192+BugetComplet!U202+BugetComplet!U212</f>
        <v>0</v>
      </c>
      <c r="H74" s="255">
        <f>BugetComplet!V192+BugetComplet!V202+BugetComplet!V212</f>
        <v>0</v>
      </c>
    </row>
    <row r="75" spans="1:8" ht="26.1" customHeight="1">
      <c r="A75" s="131"/>
      <c r="B75" s="169" t="s">
        <v>81</v>
      </c>
      <c r="C75" s="255">
        <f>BugetComplet!Q193+BugetComplet!Q203+BugetComplet!Q213</f>
        <v>511207.1999999999</v>
      </c>
      <c r="D75" s="255">
        <f>BugetComplet!R193+BugetComplet!R203+BugetComplet!R213</f>
        <v>880218.18359999999</v>
      </c>
      <c r="E75" s="255">
        <f>BugetComplet!S193+BugetComplet!S203+BugetComplet!S213</f>
        <v>1249358.6447999999</v>
      </c>
      <c r="F75" s="255">
        <f>BugetComplet!T193+BugetComplet!T203+BugetComplet!T213</f>
        <v>1695539.6640000001</v>
      </c>
      <c r="G75" s="255">
        <f>BugetComplet!U193+BugetComplet!U203+BugetComplet!U213</f>
        <v>2190425.58</v>
      </c>
      <c r="H75" s="255">
        <f>BugetComplet!V193+BugetComplet!V203+BugetComplet!V213</f>
        <v>6526749.2724000001</v>
      </c>
    </row>
    <row r="76" spans="1:8" ht="26.1" customHeight="1">
      <c r="A76" s="131"/>
      <c r="B76" s="169" t="s">
        <v>134</v>
      </c>
      <c r="C76" s="255">
        <f>BugetComplet!Q194+BugetComplet!Q204+BugetComplet!Q214</f>
        <v>0</v>
      </c>
      <c r="D76" s="255">
        <f>BugetComplet!R194+BugetComplet!R204+BugetComplet!R214</f>
        <v>0</v>
      </c>
      <c r="E76" s="255">
        <f>BugetComplet!S194+BugetComplet!S204+BugetComplet!S214</f>
        <v>0</v>
      </c>
      <c r="F76" s="255">
        <f>BugetComplet!T194+BugetComplet!T204+BugetComplet!T214</f>
        <v>0</v>
      </c>
      <c r="G76" s="255">
        <f>BugetComplet!U194+BugetComplet!U204+BugetComplet!U214</f>
        <v>0</v>
      </c>
      <c r="H76" s="255">
        <f>BugetComplet!V194+BugetComplet!V204+BugetComplet!V214</f>
        <v>0</v>
      </c>
    </row>
    <row r="77" spans="1:8" ht="26.1" customHeight="1">
      <c r="A77" s="131"/>
      <c r="B77" s="169" t="s">
        <v>82</v>
      </c>
      <c r="C77" s="255">
        <f>BugetComplet!Q195+BugetComplet!Q205+BugetComplet!Q215</f>
        <v>1521014.7119999998</v>
      </c>
      <c r="D77" s="255">
        <f>BugetComplet!R195+BugetComplet!R205+BugetComplet!R215</f>
        <v>1436007.7284000001</v>
      </c>
      <c r="E77" s="255">
        <f>BugetComplet!S195+BugetComplet!S205+BugetComplet!S215</f>
        <v>1350871.2672000001</v>
      </c>
      <c r="F77" s="255">
        <f>BugetComplet!T195+BugetComplet!T205+BugetComplet!T215</f>
        <v>0</v>
      </c>
      <c r="G77" s="255">
        <f>BugetComplet!U195+BugetComplet!U205+BugetComplet!U215</f>
        <v>0</v>
      </c>
      <c r="H77" s="255">
        <f>BugetComplet!V195+BugetComplet!V205+BugetComplet!V215</f>
        <v>4307893.7075999994</v>
      </c>
    </row>
    <row r="78" spans="1:8" ht="26.1" customHeight="1">
      <c r="A78" s="131"/>
      <c r="B78" s="169" t="s">
        <v>90</v>
      </c>
      <c r="C78" s="255">
        <f>BugetComplet!Q196+BugetComplet!Q206+BugetComplet!Q216</f>
        <v>851734.54799999995</v>
      </c>
      <c r="D78" s="255">
        <f>BugetComplet!R196+BugetComplet!R206+BugetComplet!R216</f>
        <v>973450.54799999995</v>
      </c>
      <c r="E78" s="255">
        <f>BugetComplet!S196+BugetComplet!S206+BugetComplet!S216</f>
        <v>1095166.5480000002</v>
      </c>
      <c r="F78" s="255">
        <f>BugetComplet!T196+BugetComplet!T206+BugetComplet!T216</f>
        <v>0</v>
      </c>
      <c r="G78" s="255">
        <f>BugetComplet!U196+BugetComplet!U206+BugetComplet!U216</f>
        <v>0</v>
      </c>
      <c r="H78" s="255">
        <f>BugetComplet!V196+BugetComplet!V206+BugetComplet!V216</f>
        <v>2920351.6439999999</v>
      </c>
    </row>
    <row r="79" spans="1:8" ht="26.1" customHeight="1">
      <c r="A79" s="131"/>
      <c r="B79" s="169" t="s">
        <v>83</v>
      </c>
      <c r="C79" s="255">
        <f>BugetComplet!Q197+BugetComplet!Q207+BugetComplet!Q217</f>
        <v>0</v>
      </c>
      <c r="D79" s="255">
        <f>BugetComplet!R197+BugetComplet!R207+BugetComplet!R217</f>
        <v>0</v>
      </c>
      <c r="E79" s="255">
        <f>BugetComplet!S197+BugetComplet!S207+BugetComplet!S217</f>
        <v>0</v>
      </c>
      <c r="F79" s="255">
        <f>BugetComplet!T197+BugetComplet!T207+BugetComplet!T217</f>
        <v>0</v>
      </c>
      <c r="G79" s="255">
        <f>BugetComplet!U197+BugetComplet!U207+BugetComplet!U217</f>
        <v>0</v>
      </c>
      <c r="H79" s="255">
        <f>BugetComplet!V197+BugetComplet!V207+BugetComplet!V217</f>
        <v>0</v>
      </c>
    </row>
    <row r="80" spans="1:8" ht="26.1" customHeight="1">
      <c r="A80" s="131"/>
      <c r="B80" s="169" t="s">
        <v>84</v>
      </c>
      <c r="C80" s="255">
        <f>BugetComplet!Q198+BugetComplet!Q208+BugetComplet!Q218</f>
        <v>0</v>
      </c>
      <c r="D80" s="255">
        <f>BugetComplet!R198+BugetComplet!R208+BugetComplet!R218</f>
        <v>0</v>
      </c>
      <c r="E80" s="255">
        <f>BugetComplet!S198+BugetComplet!S208+BugetComplet!S218</f>
        <v>0</v>
      </c>
      <c r="F80" s="255">
        <f>BugetComplet!T198+BugetComplet!T208+BugetComplet!T218</f>
        <v>2405576.7960000001</v>
      </c>
      <c r="G80" s="255">
        <f>BugetComplet!U198+BugetComplet!U208+BugetComplet!U218</f>
        <v>2316410.8799999999</v>
      </c>
      <c r="H80" s="255">
        <f>BugetComplet!V198+BugetComplet!V208+BugetComplet!V218</f>
        <v>4721987.676</v>
      </c>
    </row>
    <row r="81" spans="1:13" ht="30">
      <c r="A81" s="129" t="str">
        <f>BugetComplet!F$219</f>
        <v>1.2</v>
      </c>
      <c r="B81" s="128" t="str">
        <f>BugetComplet!G$219</f>
        <v>Внедрить и расширить усилия по профилактике ВИЧ-инфекции с помощью комбинированных эффективных доказательных подходов</v>
      </c>
      <c r="C81" s="256">
        <f>BugetComplet!Q$219</f>
        <v>2752441.0999999996</v>
      </c>
      <c r="D81" s="256">
        <f>BugetComplet!R$219</f>
        <v>3029191.2</v>
      </c>
      <c r="E81" s="256">
        <f>BugetComplet!S$219</f>
        <v>3486435.9</v>
      </c>
      <c r="F81" s="256">
        <f>BugetComplet!T$219</f>
        <v>2233786.65</v>
      </c>
      <c r="G81" s="256">
        <f>BugetComplet!U$219</f>
        <v>2919439.84</v>
      </c>
      <c r="H81" s="256">
        <f>BugetComplet!V$219</f>
        <v>14421294.689999999</v>
      </c>
      <c r="I81" s="258"/>
      <c r="J81" s="258"/>
      <c r="K81" s="258"/>
      <c r="L81" s="258"/>
      <c r="M81" s="258"/>
    </row>
    <row r="82" spans="1:13" ht="26.1" customHeight="1">
      <c r="A82" s="131"/>
      <c r="B82" s="168" t="s">
        <v>79</v>
      </c>
      <c r="C82" s="255">
        <f>C93+C104+C115+C126+C137</f>
        <v>5152441.0999999996</v>
      </c>
      <c r="D82" s="255">
        <f t="shared" ref="D82:H82" si="4">D93+D104+D115+D126+D137</f>
        <v>5669191.2000000002</v>
      </c>
      <c r="E82" s="255">
        <f t="shared" si="4"/>
        <v>6410435.9000000004</v>
      </c>
      <c r="F82" s="255">
        <f t="shared" si="4"/>
        <v>7783633.7000000011</v>
      </c>
      <c r="G82" s="255">
        <f t="shared" si="4"/>
        <v>8964860.8000000007</v>
      </c>
      <c r="H82" s="255">
        <f t="shared" si="4"/>
        <v>33980562.700000003</v>
      </c>
    </row>
    <row r="83" spans="1:13" ht="26.1" customHeight="1">
      <c r="A83" s="131"/>
      <c r="B83" s="169" t="s">
        <v>80</v>
      </c>
      <c r="C83" s="255">
        <f t="shared" ref="C83:H91" si="5">C94+C105+C116+C127+C138</f>
        <v>2752441.1</v>
      </c>
      <c r="D83" s="255">
        <f t="shared" si="5"/>
        <v>3029191.1999999997</v>
      </c>
      <c r="E83" s="255">
        <f t="shared" si="5"/>
        <v>3486435.9</v>
      </c>
      <c r="F83" s="255">
        <f t="shared" si="5"/>
        <v>2233786.65</v>
      </c>
      <c r="G83" s="255">
        <f t="shared" si="5"/>
        <v>2919439.84</v>
      </c>
      <c r="H83" s="255">
        <f t="shared" si="5"/>
        <v>14421294.689999999</v>
      </c>
    </row>
    <row r="84" spans="1:13" ht="26.1" customHeight="1">
      <c r="A84" s="131"/>
      <c r="B84" s="169" t="s">
        <v>429</v>
      </c>
      <c r="C84" s="255">
        <f t="shared" si="5"/>
        <v>194754</v>
      </c>
      <c r="D84" s="255">
        <f t="shared" si="5"/>
        <v>285305.99999999994</v>
      </c>
      <c r="E84" s="255">
        <f t="shared" si="5"/>
        <v>421134</v>
      </c>
      <c r="F84" s="255">
        <f t="shared" si="5"/>
        <v>626934</v>
      </c>
      <c r="G84" s="255">
        <f t="shared" si="5"/>
        <v>935634</v>
      </c>
      <c r="H84" s="255">
        <f t="shared" si="5"/>
        <v>2463762</v>
      </c>
    </row>
    <row r="85" spans="1:13" ht="26.1" customHeight="1">
      <c r="A85" s="131"/>
      <c r="B85" s="169" t="s">
        <v>133</v>
      </c>
      <c r="C85" s="255">
        <f t="shared" si="5"/>
        <v>89736</v>
      </c>
      <c r="D85" s="255">
        <f t="shared" si="5"/>
        <v>131679</v>
      </c>
      <c r="E85" s="255">
        <f t="shared" si="5"/>
        <v>194593.5</v>
      </c>
      <c r="F85" s="255">
        <f t="shared" si="5"/>
        <v>289918.5</v>
      </c>
      <c r="G85" s="255">
        <f t="shared" si="5"/>
        <v>432906</v>
      </c>
      <c r="H85" s="255">
        <f t="shared" si="5"/>
        <v>1138833</v>
      </c>
    </row>
    <row r="86" spans="1:13" ht="26.1" customHeight="1">
      <c r="A86" s="131"/>
      <c r="B86" s="169" t="s">
        <v>81</v>
      </c>
      <c r="C86" s="255">
        <f t="shared" si="5"/>
        <v>0</v>
      </c>
      <c r="D86" s="255">
        <f t="shared" si="5"/>
        <v>0</v>
      </c>
      <c r="E86" s="255">
        <f t="shared" si="5"/>
        <v>0</v>
      </c>
      <c r="F86" s="255">
        <f t="shared" si="5"/>
        <v>0</v>
      </c>
      <c r="G86" s="255">
        <f t="shared" si="5"/>
        <v>0</v>
      </c>
      <c r="H86" s="255">
        <f t="shared" si="5"/>
        <v>0</v>
      </c>
    </row>
    <row r="87" spans="1:13" ht="26.1" customHeight="1">
      <c r="A87" s="131"/>
      <c r="B87" s="169" t="s">
        <v>134</v>
      </c>
      <c r="C87" s="255">
        <f t="shared" si="5"/>
        <v>14629.999999999998</v>
      </c>
      <c r="D87" s="255">
        <f t="shared" si="5"/>
        <v>21944.999999999996</v>
      </c>
      <c r="E87" s="255">
        <f t="shared" si="5"/>
        <v>32917.5</v>
      </c>
      <c r="F87" s="255">
        <f t="shared" si="5"/>
        <v>1316934.1499999999</v>
      </c>
      <c r="G87" s="255">
        <f t="shared" si="5"/>
        <v>1550899.8399999999</v>
      </c>
      <c r="H87" s="255">
        <f t="shared" si="5"/>
        <v>2937326.4899999998</v>
      </c>
    </row>
    <row r="88" spans="1:13" ht="26.1" customHeight="1">
      <c r="A88" s="131"/>
      <c r="B88" s="169" t="s">
        <v>82</v>
      </c>
      <c r="C88" s="255">
        <f t="shared" si="5"/>
        <v>1708000.63</v>
      </c>
      <c r="D88" s="255">
        <f t="shared" si="5"/>
        <v>1858823.8199999998</v>
      </c>
      <c r="E88" s="255">
        <f t="shared" si="5"/>
        <v>2003786.6099999999</v>
      </c>
      <c r="F88" s="255">
        <f t="shared" si="5"/>
        <v>0</v>
      </c>
      <c r="G88" s="255">
        <f t="shared" si="5"/>
        <v>0</v>
      </c>
      <c r="H88" s="255">
        <f t="shared" si="5"/>
        <v>5570611.0600000005</v>
      </c>
    </row>
    <row r="89" spans="1:13" ht="26.1" customHeight="1">
      <c r="A89" s="131"/>
      <c r="B89" s="169" t="s">
        <v>90</v>
      </c>
      <c r="C89" s="255">
        <f t="shared" si="5"/>
        <v>665320.47</v>
      </c>
      <c r="D89" s="255">
        <f t="shared" si="5"/>
        <v>731437.38</v>
      </c>
      <c r="E89" s="255">
        <f t="shared" si="5"/>
        <v>834004.28999999992</v>
      </c>
      <c r="F89" s="255">
        <f t="shared" si="5"/>
        <v>0</v>
      </c>
      <c r="G89" s="255">
        <f t="shared" si="5"/>
        <v>0</v>
      </c>
      <c r="H89" s="255">
        <f t="shared" si="5"/>
        <v>2230762.1399999997</v>
      </c>
    </row>
    <row r="90" spans="1:13" ht="26.1" customHeight="1">
      <c r="A90" s="131"/>
      <c r="B90" s="169" t="s">
        <v>83</v>
      </c>
      <c r="C90" s="255">
        <f t="shared" si="5"/>
        <v>80000</v>
      </c>
      <c r="D90" s="255">
        <f t="shared" si="5"/>
        <v>0</v>
      </c>
      <c r="E90" s="255">
        <f t="shared" si="5"/>
        <v>0</v>
      </c>
      <c r="F90" s="255">
        <f t="shared" si="5"/>
        <v>0</v>
      </c>
      <c r="G90" s="255">
        <f t="shared" si="5"/>
        <v>0</v>
      </c>
      <c r="H90" s="255">
        <f t="shared" si="5"/>
        <v>80000</v>
      </c>
    </row>
    <row r="91" spans="1:13" ht="26.1" customHeight="1">
      <c r="A91" s="131"/>
      <c r="B91" s="169" t="s">
        <v>84</v>
      </c>
      <c r="C91" s="255">
        <f t="shared" si="5"/>
        <v>2400000</v>
      </c>
      <c r="D91" s="255">
        <f t="shared" si="5"/>
        <v>2640000.0000000005</v>
      </c>
      <c r="E91" s="255">
        <f t="shared" si="5"/>
        <v>2924000.0000000009</v>
      </c>
      <c r="F91" s="255">
        <f t="shared" si="5"/>
        <v>5549847.0500000007</v>
      </c>
      <c r="G91" s="255">
        <f t="shared" si="5"/>
        <v>6045420.9600000009</v>
      </c>
      <c r="H91" s="255">
        <f t="shared" si="5"/>
        <v>19559268.010000002</v>
      </c>
    </row>
    <row r="92" spans="1:13" ht="36" customHeight="1">
      <c r="A92" s="137" t="str">
        <f>BugetComplet!F$220</f>
        <v>1.2.1</v>
      </c>
      <c r="B92" s="139" t="str">
        <f>BugetComplet!G$220</f>
        <v>Обеспечить всеобщий доступ к ДКП</v>
      </c>
      <c r="C92" s="255">
        <f>BugetComplet!Q$220</f>
        <v>662067</v>
      </c>
      <c r="D92" s="255">
        <f>BugetComplet!R$220</f>
        <v>836377</v>
      </c>
      <c r="E92" s="255">
        <f>BugetComplet!S$220</f>
        <v>1242092</v>
      </c>
      <c r="F92" s="255">
        <f>BugetComplet!T$220</f>
        <v>946895</v>
      </c>
      <c r="G92" s="255">
        <f>BugetComplet!U$220</f>
        <v>1423520</v>
      </c>
      <c r="H92" s="255">
        <f>BugetComplet!V$220</f>
        <v>5110951</v>
      </c>
    </row>
    <row r="93" spans="1:13" ht="26.1" customHeight="1">
      <c r="A93" s="131"/>
      <c r="B93" s="168" t="s">
        <v>79</v>
      </c>
      <c r="C93" s="255">
        <f>BugetComplet!Q221+BugetComplet!Q231+BugetComplet!Q241+BugetComplet!Q251+BugetComplet!Q271+BugetComplet!Q261</f>
        <v>662067</v>
      </c>
      <c r="D93" s="255">
        <f>BugetComplet!R221+BugetComplet!R231+BugetComplet!R241+BugetComplet!R251+BugetComplet!R271+BugetComplet!R261</f>
        <v>836377</v>
      </c>
      <c r="E93" s="255">
        <f>BugetComplet!S221+BugetComplet!S231+BugetComplet!S241+BugetComplet!S251+BugetComplet!S271+BugetComplet!S261</f>
        <v>1242092</v>
      </c>
      <c r="F93" s="255">
        <f>BugetComplet!T221+BugetComplet!T231+BugetComplet!T241+BugetComplet!T251+BugetComplet!T271+BugetComplet!T261</f>
        <v>2003842</v>
      </c>
      <c r="G93" s="255">
        <f>BugetComplet!U221+BugetComplet!U231+BugetComplet!U241+BugetComplet!U251+BugetComplet!U271+BugetComplet!U261</f>
        <v>2640467</v>
      </c>
      <c r="H93" s="255">
        <f>BugetComplet!V221+BugetComplet!V231+BugetComplet!V241+BugetComplet!V251+BugetComplet!V271+BugetComplet!V261</f>
        <v>7384845</v>
      </c>
    </row>
    <row r="94" spans="1:13" ht="26.1" customHeight="1">
      <c r="A94" s="131"/>
      <c r="B94" s="169" t="s">
        <v>80</v>
      </c>
      <c r="C94" s="255">
        <f>BugetComplet!Q222+BugetComplet!Q232+BugetComplet!Q242+BugetComplet!Q252+BugetComplet!Q272+BugetComplet!Q262</f>
        <v>662067</v>
      </c>
      <c r="D94" s="255">
        <f>BugetComplet!R222+BugetComplet!R232+BugetComplet!R242+BugetComplet!R252+BugetComplet!R272+BugetComplet!R262</f>
        <v>836377</v>
      </c>
      <c r="E94" s="255">
        <f>BugetComplet!S222+BugetComplet!S232+BugetComplet!S242+BugetComplet!S252+BugetComplet!S272+BugetComplet!S262</f>
        <v>1242092</v>
      </c>
      <c r="F94" s="255">
        <f>BugetComplet!T222+BugetComplet!T232+BugetComplet!T242+BugetComplet!T252+BugetComplet!T272+BugetComplet!T262</f>
        <v>946895</v>
      </c>
      <c r="G94" s="255">
        <f>BugetComplet!U222+BugetComplet!U232+BugetComplet!U242+BugetComplet!U252+BugetComplet!U272+BugetComplet!U262</f>
        <v>1423520</v>
      </c>
      <c r="H94" s="255">
        <f>BugetComplet!V222+BugetComplet!V232+BugetComplet!V242+BugetComplet!V252+BugetComplet!V272+BugetComplet!V262</f>
        <v>5110951</v>
      </c>
    </row>
    <row r="95" spans="1:13" ht="26.1" customHeight="1">
      <c r="A95" s="131"/>
      <c r="B95" s="169" t="s">
        <v>429</v>
      </c>
      <c r="C95" s="255">
        <f>BugetComplet!Q223+BugetComplet!Q233+BugetComplet!Q243+BugetComplet!Q253+BugetComplet!Q273+BugetComplet!Q263</f>
        <v>181104</v>
      </c>
      <c r="D95" s="255">
        <f>BugetComplet!R223+BugetComplet!R233+BugetComplet!R243+BugetComplet!R253+BugetComplet!R273+BugetComplet!R263</f>
        <v>271655.99999999994</v>
      </c>
      <c r="E95" s="255">
        <f>BugetComplet!S223+BugetComplet!S233+BugetComplet!S243+BugetComplet!S253+BugetComplet!S273+BugetComplet!S263</f>
        <v>407484</v>
      </c>
      <c r="F95" s="255">
        <f>BugetComplet!T223+BugetComplet!T233+BugetComplet!T243+BugetComplet!T253+BugetComplet!T273+BugetComplet!T263</f>
        <v>613284</v>
      </c>
      <c r="G95" s="255">
        <f>BugetComplet!U223+BugetComplet!U233+BugetComplet!U243+BugetComplet!U253+BugetComplet!U273+BugetComplet!U263</f>
        <v>921984</v>
      </c>
      <c r="H95" s="255">
        <f>BugetComplet!V223+BugetComplet!V233+BugetComplet!V243+BugetComplet!V253+BugetComplet!V273+BugetComplet!V263</f>
        <v>2395512</v>
      </c>
    </row>
    <row r="96" spans="1:13" ht="26.1" customHeight="1">
      <c r="A96" s="131"/>
      <c r="B96" s="169" t="s">
        <v>133</v>
      </c>
      <c r="C96" s="255">
        <f>BugetComplet!Q224+BugetComplet!Q234+BugetComplet!Q244+BugetComplet!Q254+BugetComplet!Q274+BugetComplet!Q264</f>
        <v>83886</v>
      </c>
      <c r="D96" s="255">
        <f>BugetComplet!R224+BugetComplet!R234+BugetComplet!R244+BugetComplet!R254+BugetComplet!R274+BugetComplet!R264</f>
        <v>125829</v>
      </c>
      <c r="E96" s="255">
        <f>BugetComplet!S224+BugetComplet!S234+BugetComplet!S244+BugetComplet!S254+BugetComplet!S274+BugetComplet!S264</f>
        <v>188743.5</v>
      </c>
      <c r="F96" s="255">
        <f>BugetComplet!T224+BugetComplet!T234+BugetComplet!T244+BugetComplet!T254+BugetComplet!T274+BugetComplet!T264</f>
        <v>284068.5</v>
      </c>
      <c r="G96" s="255">
        <f>BugetComplet!U224+BugetComplet!U234+BugetComplet!U244+BugetComplet!U254+BugetComplet!U274+BugetComplet!U264</f>
        <v>427056</v>
      </c>
      <c r="H96" s="255">
        <f>BugetComplet!V224+BugetComplet!V234+BugetComplet!V244+BugetComplet!V254+BugetComplet!V274+BugetComplet!V264</f>
        <v>1109583</v>
      </c>
    </row>
    <row r="97" spans="1:8" ht="26.1" customHeight="1">
      <c r="A97" s="131"/>
      <c r="B97" s="169" t="s">
        <v>81</v>
      </c>
      <c r="C97" s="255">
        <f>BugetComplet!Q225+BugetComplet!Q235+BugetComplet!Q245+BugetComplet!Q255+BugetComplet!Q275+BugetComplet!Q265</f>
        <v>0</v>
      </c>
      <c r="D97" s="255">
        <f>BugetComplet!R225+BugetComplet!R235+BugetComplet!R245+BugetComplet!R255+BugetComplet!R275+BugetComplet!R265</f>
        <v>0</v>
      </c>
      <c r="E97" s="255">
        <f>BugetComplet!S225+BugetComplet!S235+BugetComplet!S245+BugetComplet!S255+BugetComplet!S275+BugetComplet!S265</f>
        <v>0</v>
      </c>
      <c r="F97" s="255">
        <f>BugetComplet!T225+BugetComplet!T235+BugetComplet!T245+BugetComplet!T255+BugetComplet!T275+BugetComplet!T265</f>
        <v>0</v>
      </c>
      <c r="G97" s="255">
        <f>BugetComplet!U225+BugetComplet!U235+BugetComplet!U245+BugetComplet!U255+BugetComplet!U275+BugetComplet!U265</f>
        <v>0</v>
      </c>
      <c r="H97" s="255">
        <f>BugetComplet!V225+BugetComplet!V235+BugetComplet!V245+BugetComplet!V255+BugetComplet!V275+BugetComplet!V265</f>
        <v>0</v>
      </c>
    </row>
    <row r="98" spans="1:8" ht="26.1" customHeight="1">
      <c r="A98" s="131"/>
      <c r="B98" s="169" t="s">
        <v>134</v>
      </c>
      <c r="C98" s="255">
        <f>BugetComplet!Q226+BugetComplet!Q236+BugetComplet!Q246+BugetComplet!Q256+BugetComplet!Q276+BugetComplet!Q266</f>
        <v>14629.999999999998</v>
      </c>
      <c r="D98" s="255">
        <f>BugetComplet!R226+BugetComplet!R236+BugetComplet!R246+BugetComplet!R256+BugetComplet!R276+BugetComplet!R266</f>
        <v>21944.999999999996</v>
      </c>
      <c r="E98" s="255">
        <f>BugetComplet!S226+BugetComplet!S236+BugetComplet!S246+BugetComplet!S256+BugetComplet!S276+BugetComplet!S266</f>
        <v>32917.5</v>
      </c>
      <c r="F98" s="255">
        <f>BugetComplet!T226+BugetComplet!T236+BugetComplet!T246+BugetComplet!T256+BugetComplet!T276+BugetComplet!T266</f>
        <v>49542.5</v>
      </c>
      <c r="G98" s="255">
        <f>BugetComplet!U226+BugetComplet!U236+BugetComplet!U246+BugetComplet!U256+BugetComplet!U276+BugetComplet!U266</f>
        <v>74479.999999999985</v>
      </c>
      <c r="H98" s="255">
        <f>BugetComplet!V226+BugetComplet!V236+BugetComplet!V246+BugetComplet!V256+BugetComplet!V276+BugetComplet!V266</f>
        <v>193515</v>
      </c>
    </row>
    <row r="99" spans="1:8" ht="26.1" customHeight="1">
      <c r="A99" s="131"/>
      <c r="B99" s="169" t="s">
        <v>82</v>
      </c>
      <c r="C99" s="255">
        <f>BugetComplet!Q227+BugetComplet!Q237+BugetComplet!Q247+BugetComplet!Q257+BugetComplet!Q277+BugetComplet!Q267</f>
        <v>204797</v>
      </c>
      <c r="D99" s="255">
        <f>BugetComplet!R227+BugetComplet!R237+BugetComplet!R247+BugetComplet!R257+BugetComplet!R277+BugetComplet!R267</f>
        <v>296947</v>
      </c>
      <c r="E99" s="255">
        <f>BugetComplet!S227+BugetComplet!S237+BugetComplet!S247+BugetComplet!S257+BugetComplet!S277+BugetComplet!S267</f>
        <v>434147</v>
      </c>
      <c r="F99" s="255">
        <f>BugetComplet!T227+BugetComplet!T237+BugetComplet!T247+BugetComplet!T257+BugetComplet!T277+BugetComplet!T267</f>
        <v>0</v>
      </c>
      <c r="G99" s="255">
        <f>BugetComplet!U227+BugetComplet!U237+BugetComplet!U247+BugetComplet!U257+BugetComplet!U277+BugetComplet!U267</f>
        <v>0</v>
      </c>
      <c r="H99" s="255">
        <f>BugetComplet!V227+BugetComplet!V237+BugetComplet!V247+BugetComplet!V257+BugetComplet!V277+BugetComplet!V267</f>
        <v>935891</v>
      </c>
    </row>
    <row r="100" spans="1:8" ht="26.1" customHeight="1">
      <c r="A100" s="131"/>
      <c r="B100" s="169" t="s">
        <v>90</v>
      </c>
      <c r="C100" s="255">
        <f>BugetComplet!Q228+BugetComplet!Q238+BugetComplet!Q248+BugetComplet!Q258+BugetComplet!Q278+BugetComplet!Q268</f>
        <v>97650</v>
      </c>
      <c r="D100" s="255">
        <f>BugetComplet!R228+BugetComplet!R238+BugetComplet!R248+BugetComplet!R258+BugetComplet!R278+BugetComplet!R268</f>
        <v>120000</v>
      </c>
      <c r="E100" s="255">
        <f>BugetComplet!S228+BugetComplet!S238+BugetComplet!S248+BugetComplet!S258+BugetComplet!S278+BugetComplet!S268</f>
        <v>178800</v>
      </c>
      <c r="F100" s="255">
        <f>BugetComplet!T228+BugetComplet!T238+BugetComplet!T248+BugetComplet!T258+BugetComplet!T278+BugetComplet!T268</f>
        <v>0</v>
      </c>
      <c r="G100" s="255">
        <f>BugetComplet!U228+BugetComplet!U238+BugetComplet!U248+BugetComplet!U258+BugetComplet!U278+BugetComplet!U268</f>
        <v>0</v>
      </c>
      <c r="H100" s="255">
        <f>BugetComplet!V228+BugetComplet!V238+BugetComplet!V248+BugetComplet!V258+BugetComplet!V278+BugetComplet!V268</f>
        <v>396450</v>
      </c>
    </row>
    <row r="101" spans="1:8" ht="26.1" customHeight="1">
      <c r="A101" s="131"/>
      <c r="B101" s="169" t="s">
        <v>83</v>
      </c>
      <c r="C101" s="255">
        <f>BugetComplet!Q229+BugetComplet!Q239+BugetComplet!Q249+BugetComplet!Q259+BugetComplet!Q279+BugetComplet!Q269</f>
        <v>80000</v>
      </c>
      <c r="D101" s="255">
        <f>BugetComplet!R229+BugetComplet!R239+BugetComplet!R249+BugetComplet!R259+BugetComplet!R279+BugetComplet!R269</f>
        <v>0</v>
      </c>
      <c r="E101" s="255">
        <f>BugetComplet!S229+BugetComplet!S239+BugetComplet!S249+BugetComplet!S259+BugetComplet!S279+BugetComplet!S269</f>
        <v>0</v>
      </c>
      <c r="F101" s="255">
        <f>BugetComplet!T229+BugetComplet!T239+BugetComplet!T249+BugetComplet!T259+BugetComplet!T279+BugetComplet!T269</f>
        <v>0</v>
      </c>
      <c r="G101" s="255">
        <f>BugetComplet!U229+BugetComplet!U239+BugetComplet!U249+BugetComplet!U259+BugetComplet!U279+BugetComplet!U269</f>
        <v>0</v>
      </c>
      <c r="H101" s="255">
        <f>BugetComplet!V229+BugetComplet!V239+BugetComplet!V249+BugetComplet!V259+BugetComplet!V279+BugetComplet!V269</f>
        <v>80000</v>
      </c>
    </row>
    <row r="102" spans="1:8" ht="26.1" customHeight="1">
      <c r="A102" s="131"/>
      <c r="B102" s="169" t="s">
        <v>84</v>
      </c>
      <c r="C102" s="255">
        <f>BugetComplet!Q230+BugetComplet!Q240+BugetComplet!Q250+BugetComplet!Q260+BugetComplet!Q280+BugetComplet!Q270</f>
        <v>0</v>
      </c>
      <c r="D102" s="255">
        <f>BugetComplet!R230+BugetComplet!R240+BugetComplet!R250+BugetComplet!R260+BugetComplet!R280+BugetComplet!R270</f>
        <v>0</v>
      </c>
      <c r="E102" s="255">
        <f>BugetComplet!S230+BugetComplet!S240+BugetComplet!S250+BugetComplet!S260+BugetComplet!S280+BugetComplet!S270</f>
        <v>0</v>
      </c>
      <c r="F102" s="255">
        <f>BugetComplet!T230+BugetComplet!T240+BugetComplet!T250+BugetComplet!T260+BugetComplet!T280+BugetComplet!T270</f>
        <v>1056947</v>
      </c>
      <c r="G102" s="255">
        <f>BugetComplet!U230+BugetComplet!U240+BugetComplet!U250+BugetComplet!U260+BugetComplet!U280+BugetComplet!U270</f>
        <v>1216947</v>
      </c>
      <c r="H102" s="255">
        <f>BugetComplet!V230+BugetComplet!V240+BugetComplet!V250+BugetComplet!V260+BugetComplet!V280+BugetComplet!V270</f>
        <v>2273894</v>
      </c>
    </row>
    <row r="103" spans="1:8" ht="36" customHeight="1">
      <c r="A103" s="137" t="str">
        <f>BugetComplet!F$281</f>
        <v>1.2.2</v>
      </c>
      <c r="B103" s="139" t="str">
        <f>BugetComplet!G$281</f>
        <v>Обеспечение ПКП всех случаев рисков инфицирования с ВИЧ, обратившихся за ПКП</v>
      </c>
      <c r="C103" s="255">
        <f>BugetComplet!Q$281</f>
        <v>39500</v>
      </c>
      <c r="D103" s="255">
        <f>BugetComplet!R$281</f>
        <v>69500</v>
      </c>
      <c r="E103" s="255">
        <f>BugetComplet!S$281</f>
        <v>19500</v>
      </c>
      <c r="F103" s="255">
        <f>BugetComplet!T$281</f>
        <v>19500</v>
      </c>
      <c r="G103" s="255">
        <f>BugetComplet!U$281</f>
        <v>19500</v>
      </c>
      <c r="H103" s="255">
        <f>BugetComplet!V$281</f>
        <v>167500</v>
      </c>
    </row>
    <row r="104" spans="1:8" ht="26.1" customHeight="1">
      <c r="A104" s="131"/>
      <c r="B104" s="168" t="s">
        <v>79</v>
      </c>
      <c r="C104" s="255">
        <f>BugetComplet!Q282+BugetComplet!Q292+BugetComplet!Q302</f>
        <v>39500</v>
      </c>
      <c r="D104" s="255">
        <f>BugetComplet!R282+BugetComplet!R292+BugetComplet!R302</f>
        <v>69500</v>
      </c>
      <c r="E104" s="255">
        <f>BugetComplet!S282+BugetComplet!S292+BugetComplet!S302</f>
        <v>39500</v>
      </c>
      <c r="F104" s="255">
        <f>BugetComplet!T282+BugetComplet!T292+BugetComplet!T302</f>
        <v>19500</v>
      </c>
      <c r="G104" s="255">
        <f>BugetComplet!U282+BugetComplet!U292+BugetComplet!U302</f>
        <v>19500</v>
      </c>
      <c r="H104" s="255">
        <f>BugetComplet!V282+BugetComplet!V292+BugetComplet!V302</f>
        <v>187500</v>
      </c>
    </row>
    <row r="105" spans="1:8" ht="26.1" customHeight="1">
      <c r="A105" s="131"/>
      <c r="B105" s="169" t="s">
        <v>80</v>
      </c>
      <c r="C105" s="255">
        <f>BugetComplet!Q283+BugetComplet!Q293+BugetComplet!Q303</f>
        <v>39500</v>
      </c>
      <c r="D105" s="255">
        <f>BugetComplet!R283+BugetComplet!R293+BugetComplet!R303</f>
        <v>69500</v>
      </c>
      <c r="E105" s="255">
        <f>BugetComplet!S283+BugetComplet!S293+BugetComplet!S303</f>
        <v>19500</v>
      </c>
      <c r="F105" s="255">
        <f>BugetComplet!T283+BugetComplet!T293+BugetComplet!T303</f>
        <v>19500</v>
      </c>
      <c r="G105" s="255">
        <f>BugetComplet!U283+BugetComplet!U293+BugetComplet!U303</f>
        <v>19500</v>
      </c>
      <c r="H105" s="255">
        <f>BugetComplet!V283+BugetComplet!V293+BugetComplet!V303</f>
        <v>167500</v>
      </c>
    </row>
    <row r="106" spans="1:8" ht="26.1" customHeight="1">
      <c r="A106" s="131"/>
      <c r="B106" s="169" t="s">
        <v>429</v>
      </c>
      <c r="C106" s="255">
        <f>BugetComplet!Q284+BugetComplet!Q294+BugetComplet!Q304</f>
        <v>13650</v>
      </c>
      <c r="D106" s="255">
        <f>BugetComplet!R284+BugetComplet!R294+BugetComplet!R304</f>
        <v>13650</v>
      </c>
      <c r="E106" s="255">
        <f>BugetComplet!S284+BugetComplet!S294+BugetComplet!S304</f>
        <v>13650</v>
      </c>
      <c r="F106" s="255">
        <f>BugetComplet!T284+BugetComplet!T294+BugetComplet!T304</f>
        <v>13650</v>
      </c>
      <c r="G106" s="255">
        <f>BugetComplet!U284+BugetComplet!U294+BugetComplet!U304</f>
        <v>13650</v>
      </c>
      <c r="H106" s="255">
        <f>BugetComplet!V284+BugetComplet!V294+BugetComplet!V304</f>
        <v>68250</v>
      </c>
    </row>
    <row r="107" spans="1:8" ht="26.1" customHeight="1">
      <c r="A107" s="131"/>
      <c r="B107" s="169" t="s">
        <v>133</v>
      </c>
      <c r="C107" s="255">
        <f>BugetComplet!Q285+BugetComplet!Q295+BugetComplet!Q305</f>
        <v>5850</v>
      </c>
      <c r="D107" s="255">
        <f>BugetComplet!R285+BugetComplet!R295+BugetComplet!R305</f>
        <v>5850</v>
      </c>
      <c r="E107" s="255">
        <f>BugetComplet!S285+BugetComplet!S295+BugetComplet!S305</f>
        <v>5850</v>
      </c>
      <c r="F107" s="255">
        <f>BugetComplet!T285+BugetComplet!T295+BugetComplet!T305</f>
        <v>5850</v>
      </c>
      <c r="G107" s="255">
        <f>BugetComplet!U285+BugetComplet!U295+BugetComplet!U305</f>
        <v>5850</v>
      </c>
      <c r="H107" s="255">
        <f>BugetComplet!V285+BugetComplet!V295+BugetComplet!V305</f>
        <v>29250</v>
      </c>
    </row>
    <row r="108" spans="1:8" ht="26.1" customHeight="1">
      <c r="A108" s="131"/>
      <c r="B108" s="169" t="s">
        <v>81</v>
      </c>
      <c r="C108" s="255">
        <f>BugetComplet!Q286+BugetComplet!Q296+BugetComplet!Q306</f>
        <v>0</v>
      </c>
      <c r="D108" s="255">
        <f>BugetComplet!R286+BugetComplet!R296+BugetComplet!R306</f>
        <v>0</v>
      </c>
      <c r="E108" s="255">
        <f>BugetComplet!S286+BugetComplet!S296+BugetComplet!S306</f>
        <v>0</v>
      </c>
      <c r="F108" s="255">
        <f>BugetComplet!T286+BugetComplet!T296+BugetComplet!T306</f>
        <v>0</v>
      </c>
      <c r="G108" s="255">
        <f>BugetComplet!U286+BugetComplet!U296+BugetComplet!U306</f>
        <v>0</v>
      </c>
      <c r="H108" s="255">
        <f>BugetComplet!V286+BugetComplet!V296+BugetComplet!V306</f>
        <v>0</v>
      </c>
    </row>
    <row r="109" spans="1:8" ht="26.1" customHeight="1">
      <c r="A109" s="131"/>
      <c r="B109" s="169" t="s">
        <v>134</v>
      </c>
      <c r="C109" s="255">
        <f>BugetComplet!Q287+BugetComplet!Q297+BugetComplet!Q307</f>
        <v>0</v>
      </c>
      <c r="D109" s="255">
        <f>BugetComplet!R287+BugetComplet!R297+BugetComplet!R307</f>
        <v>0</v>
      </c>
      <c r="E109" s="255">
        <f>BugetComplet!S287+BugetComplet!S297+BugetComplet!S307</f>
        <v>0</v>
      </c>
      <c r="F109" s="255">
        <f>BugetComplet!T287+BugetComplet!T297+BugetComplet!T307</f>
        <v>0</v>
      </c>
      <c r="G109" s="255">
        <f>BugetComplet!U287+BugetComplet!U297+BugetComplet!U307</f>
        <v>0</v>
      </c>
      <c r="H109" s="255">
        <f>BugetComplet!V287+BugetComplet!V297+BugetComplet!V307</f>
        <v>0</v>
      </c>
    </row>
    <row r="110" spans="1:8" ht="26.1" customHeight="1">
      <c r="A110" s="131"/>
      <c r="B110" s="169" t="s">
        <v>82</v>
      </c>
      <c r="C110" s="255">
        <f>BugetComplet!Q288+BugetComplet!Q298+BugetComplet!Q308</f>
        <v>20000</v>
      </c>
      <c r="D110" s="255">
        <f>BugetComplet!R288+BugetComplet!R298+BugetComplet!R308</f>
        <v>50000</v>
      </c>
      <c r="E110" s="255">
        <f>BugetComplet!S288+BugetComplet!S298+BugetComplet!S308</f>
        <v>0</v>
      </c>
      <c r="F110" s="255">
        <f>BugetComplet!T288+BugetComplet!T298+BugetComplet!T308</f>
        <v>0</v>
      </c>
      <c r="G110" s="255">
        <f>BugetComplet!U288+BugetComplet!U298+BugetComplet!U308</f>
        <v>0</v>
      </c>
      <c r="H110" s="255">
        <f>BugetComplet!V288+BugetComplet!V298+BugetComplet!V308</f>
        <v>70000</v>
      </c>
    </row>
    <row r="111" spans="1:8" ht="26.1" customHeight="1">
      <c r="A111" s="131"/>
      <c r="B111" s="169" t="s">
        <v>90</v>
      </c>
      <c r="C111" s="255">
        <f>BugetComplet!Q289+BugetComplet!Q299+BugetComplet!Q309</f>
        <v>0</v>
      </c>
      <c r="D111" s="255">
        <f>BugetComplet!R289+BugetComplet!R299+BugetComplet!R309</f>
        <v>0</v>
      </c>
      <c r="E111" s="255">
        <f>BugetComplet!S289+BugetComplet!S299+BugetComplet!S309</f>
        <v>0</v>
      </c>
      <c r="F111" s="255">
        <f>BugetComplet!T289+BugetComplet!T299+BugetComplet!T309</f>
        <v>0</v>
      </c>
      <c r="G111" s="255">
        <f>BugetComplet!U289+BugetComplet!U299+BugetComplet!U309</f>
        <v>0</v>
      </c>
      <c r="H111" s="255">
        <f>BugetComplet!V289+BugetComplet!V299+BugetComplet!V309</f>
        <v>0</v>
      </c>
    </row>
    <row r="112" spans="1:8" ht="26.1" customHeight="1">
      <c r="A112" s="131"/>
      <c r="B112" s="169" t="s">
        <v>83</v>
      </c>
      <c r="C112" s="255">
        <f>BugetComplet!Q290+BugetComplet!Q300+BugetComplet!Q310</f>
        <v>0</v>
      </c>
      <c r="D112" s="255">
        <f>BugetComplet!R290+BugetComplet!R300+BugetComplet!R310</f>
        <v>0</v>
      </c>
      <c r="E112" s="255">
        <f>BugetComplet!S290+BugetComplet!S300+BugetComplet!S310</f>
        <v>0</v>
      </c>
      <c r="F112" s="255">
        <f>BugetComplet!T290+BugetComplet!T300+BugetComplet!T310</f>
        <v>0</v>
      </c>
      <c r="G112" s="255">
        <f>BugetComplet!U290+BugetComplet!U300+BugetComplet!U310</f>
        <v>0</v>
      </c>
      <c r="H112" s="255">
        <f>BugetComplet!V290+BugetComplet!V300+BugetComplet!V310</f>
        <v>0</v>
      </c>
    </row>
    <row r="113" spans="1:8" ht="26.1" customHeight="1">
      <c r="A113" s="131"/>
      <c r="B113" s="169" t="s">
        <v>84</v>
      </c>
      <c r="C113" s="255">
        <f>BugetComplet!Q291+BugetComplet!Q301+BugetComplet!Q311</f>
        <v>0</v>
      </c>
      <c r="D113" s="255">
        <f>BugetComplet!R291+BugetComplet!R301+BugetComplet!R311</f>
        <v>0</v>
      </c>
      <c r="E113" s="255">
        <f>BugetComplet!S291+BugetComplet!S301+BugetComplet!S311</f>
        <v>20000</v>
      </c>
      <c r="F113" s="255">
        <f>BugetComplet!T291+BugetComplet!T301+BugetComplet!T311</f>
        <v>0</v>
      </c>
      <c r="G113" s="255">
        <f>BugetComplet!U291+BugetComplet!U301+BugetComplet!U311</f>
        <v>0</v>
      </c>
      <c r="H113" s="255">
        <f>BugetComplet!V291+BugetComplet!V301+BugetComplet!V311</f>
        <v>20000</v>
      </c>
    </row>
    <row r="114" spans="1:8" ht="36" customHeight="1">
      <c r="A114" s="137" t="str">
        <f>BugetComplet!F$312</f>
        <v>1.2.3</v>
      </c>
      <c r="B114" s="139" t="str">
        <f>BugetComplet!G$312</f>
        <v>Предоставление мобильных услуг по профилактике и тестированию  среди всех групп</v>
      </c>
      <c r="C114" s="255">
        <f>BugetComplet!Q$312</f>
        <v>592200</v>
      </c>
      <c r="D114" s="255">
        <f>BugetComplet!R$312</f>
        <v>592200</v>
      </c>
      <c r="E114" s="255">
        <f>BugetComplet!S$312</f>
        <v>592200</v>
      </c>
      <c r="F114" s="255">
        <f>BugetComplet!T$312</f>
        <v>0</v>
      </c>
      <c r="G114" s="255">
        <f>BugetComplet!U$312</f>
        <v>0</v>
      </c>
      <c r="H114" s="255">
        <f>BugetComplet!V$312</f>
        <v>1776600</v>
      </c>
    </row>
    <row r="115" spans="1:8" ht="26.1" customHeight="1">
      <c r="A115" s="131"/>
      <c r="B115" s="168" t="s">
        <v>79</v>
      </c>
      <c r="C115" s="255">
        <f>BugetComplet!Q313</f>
        <v>592200</v>
      </c>
      <c r="D115" s="255">
        <f>BugetComplet!R313</f>
        <v>592200</v>
      </c>
      <c r="E115" s="255">
        <f>BugetComplet!S313</f>
        <v>592200</v>
      </c>
      <c r="F115" s="255">
        <f>BugetComplet!T313</f>
        <v>592200</v>
      </c>
      <c r="G115" s="255">
        <f>BugetComplet!U313</f>
        <v>592200</v>
      </c>
      <c r="H115" s="255">
        <f>BugetComplet!V313</f>
        <v>2961000</v>
      </c>
    </row>
    <row r="116" spans="1:8" ht="26.1" customHeight="1">
      <c r="A116" s="131"/>
      <c r="B116" s="169" t="s">
        <v>80</v>
      </c>
      <c r="C116" s="255">
        <f>BugetComplet!Q314</f>
        <v>592200</v>
      </c>
      <c r="D116" s="255">
        <f>BugetComplet!R314</f>
        <v>592200</v>
      </c>
      <c r="E116" s="255">
        <f>BugetComplet!S314</f>
        <v>592200</v>
      </c>
      <c r="F116" s="255">
        <f>BugetComplet!T314</f>
        <v>0</v>
      </c>
      <c r="G116" s="255">
        <f>BugetComplet!U314</f>
        <v>0</v>
      </c>
      <c r="H116" s="255">
        <f>BugetComplet!V314</f>
        <v>1776600</v>
      </c>
    </row>
    <row r="117" spans="1:8" ht="26.1" customHeight="1">
      <c r="A117" s="131"/>
      <c r="B117" s="169" t="s">
        <v>429</v>
      </c>
      <c r="C117" s="255">
        <f>BugetComplet!Q315</f>
        <v>0</v>
      </c>
      <c r="D117" s="255">
        <f>BugetComplet!R315</f>
        <v>0</v>
      </c>
      <c r="E117" s="255">
        <f>BugetComplet!S315</f>
        <v>0</v>
      </c>
      <c r="F117" s="255">
        <f>BugetComplet!T315</f>
        <v>0</v>
      </c>
      <c r="G117" s="255">
        <f>BugetComplet!U315</f>
        <v>0</v>
      </c>
      <c r="H117" s="255">
        <f>BugetComplet!V315</f>
        <v>0</v>
      </c>
    </row>
    <row r="118" spans="1:8" ht="26.1" customHeight="1">
      <c r="A118" s="131"/>
      <c r="B118" s="169" t="s">
        <v>133</v>
      </c>
      <c r="C118" s="255">
        <f>BugetComplet!Q316</f>
        <v>0</v>
      </c>
      <c r="D118" s="255">
        <f>BugetComplet!R316</f>
        <v>0</v>
      </c>
      <c r="E118" s="255">
        <f>BugetComplet!S316</f>
        <v>0</v>
      </c>
      <c r="F118" s="255">
        <f>BugetComplet!T316</f>
        <v>0</v>
      </c>
      <c r="G118" s="255">
        <f>BugetComplet!U316</f>
        <v>0</v>
      </c>
      <c r="H118" s="255">
        <f>BugetComplet!V316</f>
        <v>0</v>
      </c>
    </row>
    <row r="119" spans="1:8" ht="26.1" customHeight="1">
      <c r="A119" s="131"/>
      <c r="B119" s="169" t="s">
        <v>81</v>
      </c>
      <c r="C119" s="255">
        <f>BugetComplet!Q317</f>
        <v>0</v>
      </c>
      <c r="D119" s="255">
        <f>BugetComplet!R317</f>
        <v>0</v>
      </c>
      <c r="E119" s="255">
        <f>BugetComplet!S317</f>
        <v>0</v>
      </c>
      <c r="F119" s="255">
        <f>BugetComplet!T317</f>
        <v>0</v>
      </c>
      <c r="G119" s="255">
        <f>BugetComplet!U317</f>
        <v>0</v>
      </c>
      <c r="H119" s="255">
        <f>BugetComplet!V317</f>
        <v>0</v>
      </c>
    </row>
    <row r="120" spans="1:8" ht="26.1" customHeight="1">
      <c r="A120" s="131"/>
      <c r="B120" s="169" t="s">
        <v>134</v>
      </c>
      <c r="C120" s="255">
        <f>BugetComplet!Q318</f>
        <v>0</v>
      </c>
      <c r="D120" s="255">
        <f>BugetComplet!R318</f>
        <v>0</v>
      </c>
      <c r="E120" s="255">
        <f>BugetComplet!S318</f>
        <v>0</v>
      </c>
      <c r="F120" s="255">
        <f>BugetComplet!T318</f>
        <v>0</v>
      </c>
      <c r="G120" s="255">
        <f>BugetComplet!U318</f>
        <v>0</v>
      </c>
      <c r="H120" s="255">
        <f>BugetComplet!V318</f>
        <v>0</v>
      </c>
    </row>
    <row r="121" spans="1:8" ht="26.1" customHeight="1">
      <c r="A121" s="131"/>
      <c r="B121" s="169" t="s">
        <v>82</v>
      </c>
      <c r="C121" s="255">
        <f>BugetComplet!Q319</f>
        <v>394800</v>
      </c>
      <c r="D121" s="255">
        <f>BugetComplet!R319</f>
        <v>394800</v>
      </c>
      <c r="E121" s="255">
        <f>BugetComplet!S319</f>
        <v>394800</v>
      </c>
      <c r="F121" s="255">
        <f>BugetComplet!T319</f>
        <v>0</v>
      </c>
      <c r="G121" s="255">
        <f>BugetComplet!U319</f>
        <v>0</v>
      </c>
      <c r="H121" s="255">
        <f>BugetComplet!V319</f>
        <v>1184400</v>
      </c>
    </row>
    <row r="122" spans="1:8" ht="26.1" customHeight="1">
      <c r="A122" s="131"/>
      <c r="B122" s="169" t="s">
        <v>90</v>
      </c>
      <c r="C122" s="255">
        <f>BugetComplet!Q320</f>
        <v>197400</v>
      </c>
      <c r="D122" s="255">
        <f>BugetComplet!R320</f>
        <v>197400</v>
      </c>
      <c r="E122" s="255">
        <f>BugetComplet!S320</f>
        <v>197400</v>
      </c>
      <c r="F122" s="255">
        <f>BugetComplet!T320</f>
        <v>0</v>
      </c>
      <c r="G122" s="255">
        <f>BugetComplet!U320</f>
        <v>0</v>
      </c>
      <c r="H122" s="255">
        <f>BugetComplet!V320</f>
        <v>592200</v>
      </c>
    </row>
    <row r="123" spans="1:8" ht="26.1" customHeight="1">
      <c r="A123" s="131"/>
      <c r="B123" s="169" t="s">
        <v>83</v>
      </c>
      <c r="C123" s="255">
        <f>BugetComplet!Q321</f>
        <v>0</v>
      </c>
      <c r="D123" s="255">
        <f>BugetComplet!R321</f>
        <v>0</v>
      </c>
      <c r="E123" s="255">
        <f>BugetComplet!S321</f>
        <v>0</v>
      </c>
      <c r="F123" s="255">
        <f>BugetComplet!T321</f>
        <v>0</v>
      </c>
      <c r="G123" s="255">
        <f>BugetComplet!U321</f>
        <v>0</v>
      </c>
      <c r="H123" s="255">
        <f>BugetComplet!V321</f>
        <v>0</v>
      </c>
    </row>
    <row r="124" spans="1:8" ht="26.1" customHeight="1">
      <c r="A124" s="131"/>
      <c r="B124" s="169" t="s">
        <v>84</v>
      </c>
      <c r="C124" s="255">
        <f>BugetComplet!Q322</f>
        <v>0</v>
      </c>
      <c r="D124" s="255">
        <f>BugetComplet!R322</f>
        <v>0</v>
      </c>
      <c r="E124" s="255">
        <f>BugetComplet!S322</f>
        <v>0</v>
      </c>
      <c r="F124" s="255">
        <f>BugetComplet!T322</f>
        <v>592200</v>
      </c>
      <c r="G124" s="255">
        <f>BugetComplet!U322</f>
        <v>592200</v>
      </c>
      <c r="H124" s="255">
        <f>BugetComplet!V322</f>
        <v>1184400</v>
      </c>
    </row>
    <row r="125" spans="1:8" ht="36" customHeight="1">
      <c r="A125" s="137" t="str">
        <f>BugetComplet!F$323</f>
        <v>1.2.4</v>
      </c>
      <c r="B125" s="139" t="str">
        <f>BugetComplet!G$323</f>
        <v>Предоставление профилактических услуг посредством других альтернативных источников</v>
      </c>
      <c r="C125" s="255">
        <f>BugetComplet!Q$323</f>
        <v>1234234.8999999999</v>
      </c>
      <c r="D125" s="255">
        <f>BugetComplet!R$323</f>
        <v>1380124.5999999999</v>
      </c>
      <c r="E125" s="255">
        <f>BugetComplet!S$323</f>
        <v>1526014.2999999998</v>
      </c>
      <c r="F125" s="255">
        <f>BugetComplet!T$323</f>
        <v>1267391.6499999999</v>
      </c>
      <c r="G125" s="255">
        <f>BugetComplet!U$323</f>
        <v>1476419.8399999999</v>
      </c>
      <c r="H125" s="255">
        <f>BugetComplet!V$323</f>
        <v>6884185.2899999991</v>
      </c>
    </row>
    <row r="126" spans="1:8" ht="26.1" customHeight="1">
      <c r="A126" s="131"/>
      <c r="B126" s="168" t="s">
        <v>79</v>
      </c>
      <c r="C126" s="255">
        <f>BugetComplet!Q324</f>
        <v>1234234.8999999999</v>
      </c>
      <c r="D126" s="255">
        <f>BugetComplet!R324</f>
        <v>1380124.5999999999</v>
      </c>
      <c r="E126" s="255">
        <f>BugetComplet!S324</f>
        <v>1526014.2999999998</v>
      </c>
      <c r="F126" s="255">
        <f>BugetComplet!T324</f>
        <v>1810559.5</v>
      </c>
      <c r="G126" s="255">
        <f>BugetComplet!U324</f>
        <v>2109171.1999999997</v>
      </c>
      <c r="H126" s="255">
        <f>BugetComplet!V324</f>
        <v>8060104.5</v>
      </c>
    </row>
    <row r="127" spans="1:8" ht="26.1" customHeight="1">
      <c r="A127" s="131"/>
      <c r="B127" s="169" t="s">
        <v>80</v>
      </c>
      <c r="C127" s="255">
        <f>BugetComplet!Q325</f>
        <v>1234234.8999999999</v>
      </c>
      <c r="D127" s="255">
        <f>BugetComplet!R325</f>
        <v>1380124.5999999999</v>
      </c>
      <c r="E127" s="255">
        <f>BugetComplet!S325</f>
        <v>1526014.2999999998</v>
      </c>
      <c r="F127" s="255">
        <f>BugetComplet!T325</f>
        <v>1267391.6499999999</v>
      </c>
      <c r="G127" s="255">
        <f>BugetComplet!U325</f>
        <v>1476419.8399999999</v>
      </c>
      <c r="H127" s="255">
        <f>BugetComplet!V325</f>
        <v>6884185.2899999991</v>
      </c>
    </row>
    <row r="128" spans="1:8" ht="26.1" customHeight="1">
      <c r="A128" s="131"/>
      <c r="B128" s="169" t="s">
        <v>429</v>
      </c>
      <c r="C128" s="255">
        <f>BugetComplet!Q326</f>
        <v>0</v>
      </c>
      <c r="D128" s="255">
        <f>BugetComplet!R326</f>
        <v>0</v>
      </c>
      <c r="E128" s="255">
        <f>BugetComplet!S326</f>
        <v>0</v>
      </c>
      <c r="F128" s="255">
        <f>BugetComplet!T326</f>
        <v>0</v>
      </c>
      <c r="G128" s="255">
        <f>BugetComplet!U326</f>
        <v>0</v>
      </c>
      <c r="H128" s="255">
        <f>BugetComplet!V326</f>
        <v>0</v>
      </c>
    </row>
    <row r="129" spans="1:8" ht="26.1" customHeight="1">
      <c r="A129" s="131"/>
      <c r="B129" s="169" t="s">
        <v>133</v>
      </c>
      <c r="C129" s="255">
        <f>BugetComplet!Q327</f>
        <v>0</v>
      </c>
      <c r="D129" s="255">
        <f>BugetComplet!R327</f>
        <v>0</v>
      </c>
      <c r="E129" s="255">
        <f>BugetComplet!S327</f>
        <v>0</v>
      </c>
      <c r="F129" s="255">
        <f>BugetComplet!T327</f>
        <v>0</v>
      </c>
      <c r="G129" s="255">
        <f>BugetComplet!U327</f>
        <v>0</v>
      </c>
      <c r="H129" s="255">
        <f>BugetComplet!V327</f>
        <v>0</v>
      </c>
    </row>
    <row r="130" spans="1:8" ht="26.1" customHeight="1">
      <c r="A130" s="131"/>
      <c r="B130" s="169" t="s">
        <v>81</v>
      </c>
      <c r="C130" s="255">
        <f>BugetComplet!Q328</f>
        <v>0</v>
      </c>
      <c r="D130" s="255">
        <f>BugetComplet!R328</f>
        <v>0</v>
      </c>
      <c r="E130" s="255">
        <f>BugetComplet!S328</f>
        <v>0</v>
      </c>
      <c r="F130" s="255">
        <f>BugetComplet!T328</f>
        <v>0</v>
      </c>
      <c r="G130" s="255">
        <f>BugetComplet!U328</f>
        <v>0</v>
      </c>
      <c r="H130" s="255">
        <f>BugetComplet!V328</f>
        <v>0</v>
      </c>
    </row>
    <row r="131" spans="1:8" ht="26.1" customHeight="1">
      <c r="A131" s="131"/>
      <c r="B131" s="169" t="s">
        <v>134</v>
      </c>
      <c r="C131" s="255">
        <f>BugetComplet!Q329</f>
        <v>0</v>
      </c>
      <c r="D131" s="255">
        <f>BugetComplet!R329</f>
        <v>0</v>
      </c>
      <c r="E131" s="255">
        <f>BugetComplet!S329</f>
        <v>0</v>
      </c>
      <c r="F131" s="255">
        <f>BugetComplet!T329</f>
        <v>1267391.6499999999</v>
      </c>
      <c r="G131" s="255">
        <f>BugetComplet!U329</f>
        <v>1476419.8399999999</v>
      </c>
      <c r="H131" s="255">
        <f>BugetComplet!V329</f>
        <v>2743811.4899999998</v>
      </c>
    </row>
    <row r="132" spans="1:8" ht="26.1" customHeight="1">
      <c r="A132" s="131"/>
      <c r="B132" s="169" t="s">
        <v>82</v>
      </c>
      <c r="C132" s="255">
        <f>BugetComplet!Q330</f>
        <v>863964.42999999993</v>
      </c>
      <c r="D132" s="255">
        <f>BugetComplet!R330</f>
        <v>966087.21999999986</v>
      </c>
      <c r="E132" s="255">
        <f>BugetComplet!S330</f>
        <v>1068210.0099999998</v>
      </c>
      <c r="F132" s="255">
        <f>BugetComplet!T330</f>
        <v>0</v>
      </c>
      <c r="G132" s="255">
        <f>BugetComplet!U330</f>
        <v>0</v>
      </c>
      <c r="H132" s="255">
        <f>BugetComplet!V330</f>
        <v>2898261.6599999997</v>
      </c>
    </row>
    <row r="133" spans="1:8" ht="26.1" customHeight="1">
      <c r="A133" s="131"/>
      <c r="B133" s="169" t="s">
        <v>90</v>
      </c>
      <c r="C133" s="255">
        <f>BugetComplet!Q331</f>
        <v>370270.47</v>
      </c>
      <c r="D133" s="255">
        <f>BugetComplet!R331</f>
        <v>414037.38</v>
      </c>
      <c r="E133" s="255">
        <f>BugetComplet!S331</f>
        <v>457804.28999999992</v>
      </c>
      <c r="F133" s="255">
        <f>BugetComplet!T331</f>
        <v>0</v>
      </c>
      <c r="G133" s="255">
        <f>BugetComplet!U331</f>
        <v>0</v>
      </c>
      <c r="H133" s="255">
        <f>BugetComplet!V331</f>
        <v>1242112.1399999999</v>
      </c>
    </row>
    <row r="134" spans="1:8" ht="26.1" customHeight="1">
      <c r="A134" s="131"/>
      <c r="B134" s="169" t="s">
        <v>83</v>
      </c>
      <c r="C134" s="255">
        <f>BugetComplet!Q332</f>
        <v>0</v>
      </c>
      <c r="D134" s="255">
        <f>BugetComplet!R332</f>
        <v>0</v>
      </c>
      <c r="E134" s="255">
        <f>BugetComplet!S332</f>
        <v>0</v>
      </c>
      <c r="F134" s="255">
        <f>BugetComplet!T332</f>
        <v>0</v>
      </c>
      <c r="G134" s="255">
        <f>BugetComplet!U332</f>
        <v>0</v>
      </c>
      <c r="H134" s="255">
        <f>BugetComplet!V332</f>
        <v>0</v>
      </c>
    </row>
    <row r="135" spans="1:8" ht="26.1" customHeight="1">
      <c r="A135" s="131"/>
      <c r="B135" s="169" t="s">
        <v>84</v>
      </c>
      <c r="C135" s="255">
        <f>BugetComplet!Q333</f>
        <v>0</v>
      </c>
      <c r="D135" s="255">
        <f>BugetComplet!R333</f>
        <v>0</v>
      </c>
      <c r="E135" s="255">
        <f>BugetComplet!S333</f>
        <v>0</v>
      </c>
      <c r="F135" s="255">
        <f>BugetComplet!T333</f>
        <v>543167.85000000009</v>
      </c>
      <c r="G135" s="255">
        <f>BugetComplet!U333</f>
        <v>632751.35999999987</v>
      </c>
      <c r="H135" s="255">
        <f>BugetComplet!V333</f>
        <v>1175919.21</v>
      </c>
    </row>
    <row r="136" spans="1:8" ht="36" customHeight="1">
      <c r="A136" s="137" t="str">
        <f>BugetComplet!F$334</f>
        <v>1.2.5</v>
      </c>
      <c r="B136" s="139" t="str">
        <f>BugetComplet!G$334</f>
        <v>Поддержка и развитие инновационных профилактических проектов</v>
      </c>
      <c r="C136" s="255">
        <f>BugetComplet!Q$334</f>
        <v>224439.2</v>
      </c>
      <c r="D136" s="255">
        <f>BugetComplet!R$334</f>
        <v>150989.6</v>
      </c>
      <c r="E136" s="255">
        <f>BugetComplet!S$334</f>
        <v>106629.6</v>
      </c>
      <c r="F136" s="255">
        <f>BugetComplet!T$334</f>
        <v>0</v>
      </c>
      <c r="G136" s="255">
        <f>BugetComplet!U$334</f>
        <v>0</v>
      </c>
      <c r="H136" s="255">
        <f>BugetComplet!V$334</f>
        <v>482058.4</v>
      </c>
    </row>
    <row r="137" spans="1:8" ht="26.1" customHeight="1">
      <c r="A137" s="131"/>
      <c r="B137" s="168" t="s">
        <v>79</v>
      </c>
      <c r="C137" s="255">
        <f>BugetComplet!Q335+BugetComplet!Q345+BugetComplet!Q355+BugetComplet!Q365+BugetComplet!Q375</f>
        <v>2624439.2000000002</v>
      </c>
      <c r="D137" s="255">
        <f>BugetComplet!R335+BugetComplet!R345+BugetComplet!R355+BugetComplet!R365+BugetComplet!R375</f>
        <v>2790989.6000000006</v>
      </c>
      <c r="E137" s="255">
        <f>BugetComplet!S335+BugetComplet!S345+BugetComplet!S355+BugetComplet!S365+BugetComplet!S375</f>
        <v>3010629.600000001</v>
      </c>
      <c r="F137" s="255">
        <f>BugetComplet!T335+BugetComplet!T345+BugetComplet!T355+BugetComplet!T365+BugetComplet!T375</f>
        <v>3357532.2000000011</v>
      </c>
      <c r="G137" s="255">
        <f>BugetComplet!U335+BugetComplet!U345+BugetComplet!U355+BugetComplet!U365+BugetComplet!U375</f>
        <v>3603522.6000000015</v>
      </c>
      <c r="H137" s="255">
        <f>BugetComplet!V335+BugetComplet!V345+BugetComplet!V355+BugetComplet!V365+BugetComplet!V375</f>
        <v>15387113.200000003</v>
      </c>
    </row>
    <row r="138" spans="1:8" ht="26.1" customHeight="1">
      <c r="A138" s="131"/>
      <c r="B138" s="169" t="s">
        <v>80</v>
      </c>
      <c r="C138" s="255">
        <f>BugetComplet!Q336+BugetComplet!Q346+BugetComplet!Q356+BugetComplet!Q366+BugetComplet!Q376</f>
        <v>224439.2</v>
      </c>
      <c r="D138" s="255">
        <f>BugetComplet!R336+BugetComplet!R346+BugetComplet!R356+BugetComplet!R366+BugetComplet!R376</f>
        <v>150989.6</v>
      </c>
      <c r="E138" s="255">
        <f>BugetComplet!S336+BugetComplet!S346+BugetComplet!S356+BugetComplet!S366+BugetComplet!S376</f>
        <v>106629.6</v>
      </c>
      <c r="F138" s="255">
        <f>BugetComplet!T336+BugetComplet!T346+BugetComplet!T356+BugetComplet!T366+BugetComplet!T376</f>
        <v>0</v>
      </c>
      <c r="G138" s="255">
        <f>BugetComplet!U336+BugetComplet!U346+BugetComplet!U356+BugetComplet!U366+BugetComplet!U376</f>
        <v>0</v>
      </c>
      <c r="H138" s="255">
        <f>BugetComplet!V336+BugetComplet!V346+BugetComplet!V356+BugetComplet!V366+BugetComplet!V376</f>
        <v>482058.4</v>
      </c>
    </row>
    <row r="139" spans="1:8" ht="26.1" customHeight="1">
      <c r="A139" s="131"/>
      <c r="B139" s="169" t="s">
        <v>429</v>
      </c>
      <c r="C139" s="255">
        <f>BugetComplet!Q337+BugetComplet!Q347+BugetComplet!Q357+BugetComplet!Q367+BugetComplet!Q377</f>
        <v>0</v>
      </c>
      <c r="D139" s="255">
        <f>BugetComplet!R337+BugetComplet!R347+BugetComplet!R357+BugetComplet!R367+BugetComplet!R377</f>
        <v>0</v>
      </c>
      <c r="E139" s="255">
        <f>BugetComplet!S337+BugetComplet!S347+BugetComplet!S357+BugetComplet!S367+BugetComplet!S377</f>
        <v>0</v>
      </c>
      <c r="F139" s="255">
        <f>BugetComplet!T337+BugetComplet!T347+BugetComplet!T357+BugetComplet!T367+BugetComplet!T377</f>
        <v>0</v>
      </c>
      <c r="G139" s="255">
        <f>BugetComplet!U337+BugetComplet!U347+BugetComplet!U357+BugetComplet!U367+BugetComplet!U377</f>
        <v>0</v>
      </c>
      <c r="H139" s="255">
        <f>BugetComplet!V337+BugetComplet!V347+BugetComplet!V357+BugetComplet!V367+BugetComplet!V377</f>
        <v>0</v>
      </c>
    </row>
    <row r="140" spans="1:8" ht="26.1" customHeight="1">
      <c r="A140" s="131"/>
      <c r="B140" s="169" t="s">
        <v>133</v>
      </c>
      <c r="C140" s="255">
        <f>BugetComplet!Q338+BugetComplet!Q348+BugetComplet!Q358+BugetComplet!Q368+BugetComplet!Q378</f>
        <v>0</v>
      </c>
      <c r="D140" s="255">
        <f>BugetComplet!R338+BugetComplet!R348+BugetComplet!R358+BugetComplet!R368+BugetComplet!R378</f>
        <v>0</v>
      </c>
      <c r="E140" s="255">
        <f>BugetComplet!S338+BugetComplet!S348+BugetComplet!S358+BugetComplet!S368+BugetComplet!S378</f>
        <v>0</v>
      </c>
      <c r="F140" s="255">
        <f>BugetComplet!T338+BugetComplet!T348+BugetComplet!T358+BugetComplet!T368+BugetComplet!T378</f>
        <v>0</v>
      </c>
      <c r="G140" s="255">
        <f>BugetComplet!U338+BugetComplet!U348+BugetComplet!U358+BugetComplet!U368+BugetComplet!U378</f>
        <v>0</v>
      </c>
      <c r="H140" s="255">
        <f>BugetComplet!V338+BugetComplet!V348+BugetComplet!V358+BugetComplet!V368+BugetComplet!V378</f>
        <v>0</v>
      </c>
    </row>
    <row r="141" spans="1:8" ht="26.1" customHeight="1">
      <c r="A141" s="131"/>
      <c r="B141" s="169" t="s">
        <v>81</v>
      </c>
      <c r="C141" s="255">
        <f>BugetComplet!Q339+BugetComplet!Q349+BugetComplet!Q359+BugetComplet!Q369+BugetComplet!Q379</f>
        <v>0</v>
      </c>
      <c r="D141" s="255">
        <f>BugetComplet!R339+BugetComplet!R349+BugetComplet!R359+BugetComplet!R369+BugetComplet!R379</f>
        <v>0</v>
      </c>
      <c r="E141" s="255">
        <f>BugetComplet!S339+BugetComplet!S349+BugetComplet!S359+BugetComplet!S369+BugetComplet!S379</f>
        <v>0</v>
      </c>
      <c r="F141" s="255">
        <f>BugetComplet!T339+BugetComplet!T349+BugetComplet!T359+BugetComplet!T369+BugetComplet!T379</f>
        <v>0</v>
      </c>
      <c r="G141" s="255">
        <f>BugetComplet!U339+BugetComplet!U349+BugetComplet!U359+BugetComplet!U369+BugetComplet!U379</f>
        <v>0</v>
      </c>
      <c r="H141" s="255">
        <f>BugetComplet!V339+BugetComplet!V349+BugetComplet!V359+BugetComplet!V369+BugetComplet!V379</f>
        <v>0</v>
      </c>
    </row>
    <row r="142" spans="1:8" ht="26.1" customHeight="1">
      <c r="A142" s="131"/>
      <c r="B142" s="169" t="s">
        <v>134</v>
      </c>
      <c r="C142" s="255">
        <f>BugetComplet!Q340+BugetComplet!Q350+BugetComplet!Q360+BugetComplet!Q370+BugetComplet!Q380</f>
        <v>0</v>
      </c>
      <c r="D142" s="255">
        <f>BugetComplet!R340+BugetComplet!R350+BugetComplet!R360+BugetComplet!R370+BugetComplet!R380</f>
        <v>0</v>
      </c>
      <c r="E142" s="255">
        <f>BugetComplet!S340+BugetComplet!S350+BugetComplet!S360+BugetComplet!S370+BugetComplet!S380</f>
        <v>0</v>
      </c>
      <c r="F142" s="255">
        <f>BugetComplet!T340+BugetComplet!T350+BugetComplet!T360+BugetComplet!T370+BugetComplet!T380</f>
        <v>0</v>
      </c>
      <c r="G142" s="255">
        <f>BugetComplet!U340+BugetComplet!U350+BugetComplet!U360+BugetComplet!U370+BugetComplet!U380</f>
        <v>0</v>
      </c>
      <c r="H142" s="255">
        <f>BugetComplet!V340+BugetComplet!V350+BugetComplet!V360+BugetComplet!V370+BugetComplet!V380</f>
        <v>0</v>
      </c>
    </row>
    <row r="143" spans="1:8" ht="26.1" customHeight="1">
      <c r="A143" s="131"/>
      <c r="B143" s="169" t="s">
        <v>82</v>
      </c>
      <c r="C143" s="255">
        <f>BugetComplet!Q341+BugetComplet!Q351+BugetComplet!Q361+BugetComplet!Q371+BugetComplet!Q381</f>
        <v>224439.2</v>
      </c>
      <c r="D143" s="255">
        <f>BugetComplet!R341+BugetComplet!R351+BugetComplet!R361+BugetComplet!R371+BugetComplet!R381</f>
        <v>150989.6</v>
      </c>
      <c r="E143" s="255">
        <f>BugetComplet!S341+BugetComplet!S351+BugetComplet!S361+BugetComplet!S371+BugetComplet!S381</f>
        <v>106629.6</v>
      </c>
      <c r="F143" s="255">
        <f>BugetComplet!T341+BugetComplet!T351+BugetComplet!T361+BugetComplet!T371+BugetComplet!T381</f>
        <v>0</v>
      </c>
      <c r="G143" s="255">
        <f>BugetComplet!U341+BugetComplet!U351+BugetComplet!U361+BugetComplet!U371+BugetComplet!U381</f>
        <v>0</v>
      </c>
      <c r="H143" s="255">
        <f>BugetComplet!V341+BugetComplet!V351+BugetComplet!V361+BugetComplet!V371+BugetComplet!V381</f>
        <v>482058.4</v>
      </c>
    </row>
    <row r="144" spans="1:8" ht="26.1" customHeight="1">
      <c r="A144" s="131"/>
      <c r="B144" s="169" t="s">
        <v>90</v>
      </c>
      <c r="C144" s="255">
        <f>BugetComplet!Q342+BugetComplet!Q352+BugetComplet!Q362+BugetComplet!Q372+BugetComplet!Q382</f>
        <v>0</v>
      </c>
      <c r="D144" s="255">
        <f>BugetComplet!R342+BugetComplet!R352+BugetComplet!R362+BugetComplet!R372+BugetComplet!R382</f>
        <v>0</v>
      </c>
      <c r="E144" s="255">
        <f>BugetComplet!S342+BugetComplet!S352+BugetComplet!S362+BugetComplet!S372+BugetComplet!S382</f>
        <v>0</v>
      </c>
      <c r="F144" s="255">
        <f>BugetComplet!T342+BugetComplet!T352+BugetComplet!T362+BugetComplet!T372+BugetComplet!T382</f>
        <v>0</v>
      </c>
      <c r="G144" s="255">
        <f>BugetComplet!U342+BugetComplet!U352+BugetComplet!U362+BugetComplet!U372+BugetComplet!U382</f>
        <v>0</v>
      </c>
      <c r="H144" s="255">
        <f>BugetComplet!V342+BugetComplet!V352+BugetComplet!V362+BugetComplet!V372+BugetComplet!V382</f>
        <v>0</v>
      </c>
    </row>
    <row r="145" spans="1:13" ht="26.1" customHeight="1">
      <c r="A145" s="131"/>
      <c r="B145" s="169" t="s">
        <v>83</v>
      </c>
      <c r="C145" s="255">
        <f>BugetComplet!Q343+BugetComplet!Q353+BugetComplet!Q363+BugetComplet!Q373+BugetComplet!Q383</f>
        <v>0</v>
      </c>
      <c r="D145" s="255">
        <f>BugetComplet!R343+BugetComplet!R353+BugetComplet!R363+BugetComplet!R373+BugetComplet!R383</f>
        <v>0</v>
      </c>
      <c r="E145" s="255">
        <f>BugetComplet!S343+BugetComplet!S353+BugetComplet!S363+BugetComplet!S373+BugetComplet!S383</f>
        <v>0</v>
      </c>
      <c r="F145" s="255">
        <f>BugetComplet!T343+BugetComplet!T353+BugetComplet!T363+BugetComplet!T373+BugetComplet!T383</f>
        <v>0</v>
      </c>
      <c r="G145" s="255">
        <f>BugetComplet!U343+BugetComplet!U353+BugetComplet!U363+BugetComplet!U373+BugetComplet!U383</f>
        <v>0</v>
      </c>
      <c r="H145" s="255">
        <f>BugetComplet!V343+BugetComplet!V353+BugetComplet!V363+BugetComplet!V373+BugetComplet!V383</f>
        <v>0</v>
      </c>
    </row>
    <row r="146" spans="1:13" ht="26.1" customHeight="1">
      <c r="A146" s="131"/>
      <c r="B146" s="169" t="s">
        <v>84</v>
      </c>
      <c r="C146" s="255">
        <f>BugetComplet!Q344+BugetComplet!Q354+BugetComplet!Q364+BugetComplet!Q374+BugetComplet!Q384</f>
        <v>2400000</v>
      </c>
      <c r="D146" s="255">
        <f>BugetComplet!R344+BugetComplet!R354+BugetComplet!R364+BugetComplet!R374+BugetComplet!R384</f>
        <v>2640000.0000000005</v>
      </c>
      <c r="E146" s="255">
        <f>BugetComplet!S344+BugetComplet!S354+BugetComplet!S364+BugetComplet!S374+BugetComplet!S384</f>
        <v>2904000.0000000009</v>
      </c>
      <c r="F146" s="255">
        <f>BugetComplet!T344+BugetComplet!T354+BugetComplet!T364+BugetComplet!T374+BugetComplet!T384</f>
        <v>3357532.2000000011</v>
      </c>
      <c r="G146" s="255">
        <f>BugetComplet!U344+BugetComplet!U354+BugetComplet!U364+BugetComplet!U374+BugetComplet!U384</f>
        <v>3603522.6000000015</v>
      </c>
      <c r="H146" s="255">
        <f>BugetComplet!V344+BugetComplet!V354+BugetComplet!V364+BugetComplet!V374+BugetComplet!V384</f>
        <v>14905054.800000003</v>
      </c>
    </row>
    <row r="147" spans="1:13">
      <c r="A147" s="129" t="str">
        <f>BugetComplet!F$395</f>
        <v>1.3</v>
      </c>
      <c r="B147" s="128" t="str">
        <f>BugetComplet!G$395</f>
        <v>Обеспечение мероприятий для ликвидации передачи ВИЧ от матери ребенку</v>
      </c>
      <c r="C147" s="256">
        <f>BugetComplet!Q$395</f>
        <v>4137796</v>
      </c>
      <c r="D147" s="256">
        <f>BugetComplet!R$395</f>
        <v>3914110</v>
      </c>
      <c r="E147" s="256">
        <f>BugetComplet!S$395</f>
        <v>4077906</v>
      </c>
      <c r="F147" s="256">
        <f>BugetComplet!T$395</f>
        <v>3968240</v>
      </c>
      <c r="G147" s="256">
        <f>BugetComplet!U$395</f>
        <v>4002010</v>
      </c>
      <c r="H147" s="256">
        <f>BugetComplet!V$395</f>
        <v>20100062</v>
      </c>
      <c r="I147" s="258"/>
      <c r="J147" s="258"/>
      <c r="K147" s="258"/>
      <c r="L147" s="258"/>
      <c r="M147" s="258"/>
    </row>
    <row r="148" spans="1:13" ht="26.1" customHeight="1">
      <c r="A148" s="131"/>
      <c r="B148" s="168" t="s">
        <v>79</v>
      </c>
      <c r="C148" s="255">
        <f>C159+C170+C181</f>
        <v>4137796</v>
      </c>
      <c r="D148" s="255">
        <f t="shared" ref="D148:H148" si="6">D159+D170+D181</f>
        <v>3914110</v>
      </c>
      <c r="E148" s="255">
        <f t="shared" si="6"/>
        <v>4077906</v>
      </c>
      <c r="F148" s="255">
        <f t="shared" si="6"/>
        <v>4020420</v>
      </c>
      <c r="G148" s="255">
        <f t="shared" si="6"/>
        <v>4197586</v>
      </c>
      <c r="H148" s="255">
        <f t="shared" si="6"/>
        <v>20347818</v>
      </c>
    </row>
    <row r="149" spans="1:13" ht="26.1" customHeight="1">
      <c r="A149" s="131"/>
      <c r="B149" s="169" t="s">
        <v>80</v>
      </c>
      <c r="C149" s="255">
        <f t="shared" ref="C149:H157" si="7">C160+C171+C182</f>
        <v>4137796</v>
      </c>
      <c r="D149" s="255">
        <f t="shared" si="7"/>
        <v>3914110</v>
      </c>
      <c r="E149" s="255">
        <f t="shared" si="7"/>
        <v>4077906</v>
      </c>
      <c r="F149" s="255">
        <f t="shared" si="7"/>
        <v>3968240</v>
      </c>
      <c r="G149" s="255">
        <f t="shared" si="7"/>
        <v>4002010</v>
      </c>
      <c r="H149" s="255">
        <f t="shared" si="7"/>
        <v>20100062</v>
      </c>
    </row>
    <row r="150" spans="1:13" ht="26.1" customHeight="1">
      <c r="A150" s="131"/>
      <c r="B150" s="169" t="s">
        <v>429</v>
      </c>
      <c r="C150" s="255">
        <f t="shared" si="7"/>
        <v>3158965</v>
      </c>
      <c r="D150" s="255">
        <f t="shared" si="7"/>
        <v>3173385</v>
      </c>
      <c r="E150" s="255">
        <f t="shared" si="7"/>
        <v>3187805</v>
      </c>
      <c r="F150" s="255">
        <f t="shared" si="7"/>
        <v>3202225</v>
      </c>
      <c r="G150" s="255">
        <f t="shared" si="7"/>
        <v>3220205</v>
      </c>
      <c r="H150" s="255">
        <f t="shared" si="7"/>
        <v>15942585</v>
      </c>
    </row>
    <row r="151" spans="1:13" ht="26.1" customHeight="1">
      <c r="A151" s="131"/>
      <c r="B151" s="169" t="s">
        <v>133</v>
      </c>
      <c r="C151" s="255">
        <f t="shared" si="7"/>
        <v>624985</v>
      </c>
      <c r="D151" s="255">
        <f t="shared" si="7"/>
        <v>634085</v>
      </c>
      <c r="E151" s="255">
        <f t="shared" si="7"/>
        <v>644175</v>
      </c>
      <c r="F151" s="255">
        <f t="shared" si="7"/>
        <v>734115</v>
      </c>
      <c r="G151" s="255">
        <f t="shared" si="7"/>
        <v>748805</v>
      </c>
      <c r="H151" s="255">
        <f t="shared" si="7"/>
        <v>3386165</v>
      </c>
    </row>
    <row r="152" spans="1:13" ht="26.1" customHeight="1">
      <c r="A152" s="131"/>
      <c r="B152" s="169" t="s">
        <v>81</v>
      </c>
      <c r="C152" s="255">
        <f t="shared" si="7"/>
        <v>0</v>
      </c>
      <c r="D152" s="255">
        <f t="shared" si="7"/>
        <v>0</v>
      </c>
      <c r="E152" s="255">
        <f t="shared" si="7"/>
        <v>0</v>
      </c>
      <c r="F152" s="255">
        <f t="shared" si="7"/>
        <v>0</v>
      </c>
      <c r="G152" s="255">
        <f t="shared" si="7"/>
        <v>0</v>
      </c>
      <c r="H152" s="255">
        <f t="shared" si="7"/>
        <v>0</v>
      </c>
    </row>
    <row r="153" spans="1:13" ht="26.1" customHeight="1">
      <c r="A153" s="131"/>
      <c r="B153" s="169" t="s">
        <v>134</v>
      </c>
      <c r="C153" s="255">
        <f t="shared" si="7"/>
        <v>30250</v>
      </c>
      <c r="D153" s="255">
        <f t="shared" si="7"/>
        <v>30800</v>
      </c>
      <c r="E153" s="255">
        <f t="shared" si="7"/>
        <v>31350</v>
      </c>
      <c r="F153" s="255">
        <f t="shared" si="7"/>
        <v>31900</v>
      </c>
      <c r="G153" s="255">
        <f t="shared" si="7"/>
        <v>33000</v>
      </c>
      <c r="H153" s="255">
        <f t="shared" si="7"/>
        <v>157300</v>
      </c>
    </row>
    <row r="154" spans="1:13" ht="26.1" customHeight="1">
      <c r="A154" s="131"/>
      <c r="B154" s="169" t="s">
        <v>82</v>
      </c>
      <c r="C154" s="255">
        <f t="shared" si="7"/>
        <v>247756</v>
      </c>
      <c r="D154" s="255">
        <f t="shared" si="7"/>
        <v>0</v>
      </c>
      <c r="E154" s="255">
        <f t="shared" si="7"/>
        <v>135576</v>
      </c>
      <c r="F154" s="255">
        <f t="shared" si="7"/>
        <v>0</v>
      </c>
      <c r="G154" s="255">
        <f t="shared" si="7"/>
        <v>0</v>
      </c>
      <c r="H154" s="255">
        <f t="shared" si="7"/>
        <v>383332</v>
      </c>
    </row>
    <row r="155" spans="1:13" ht="26.1" customHeight="1">
      <c r="A155" s="131"/>
      <c r="B155" s="169" t="s">
        <v>90</v>
      </c>
      <c r="C155" s="255">
        <f t="shared" si="7"/>
        <v>75840</v>
      </c>
      <c r="D155" s="255">
        <f t="shared" si="7"/>
        <v>75840</v>
      </c>
      <c r="E155" s="255">
        <f t="shared" si="7"/>
        <v>79000</v>
      </c>
      <c r="F155" s="255">
        <f t="shared" si="7"/>
        <v>0</v>
      </c>
      <c r="G155" s="255">
        <f t="shared" si="7"/>
        <v>0</v>
      </c>
      <c r="H155" s="255">
        <f t="shared" si="7"/>
        <v>230680</v>
      </c>
    </row>
    <row r="156" spans="1:13" ht="26.1" customHeight="1">
      <c r="A156" s="131"/>
      <c r="B156" s="169" t="s">
        <v>83</v>
      </c>
      <c r="C156" s="255">
        <f t="shared" si="7"/>
        <v>0</v>
      </c>
      <c r="D156" s="255">
        <f t="shared" si="7"/>
        <v>0</v>
      </c>
      <c r="E156" s="255">
        <f t="shared" si="7"/>
        <v>0</v>
      </c>
      <c r="F156" s="255">
        <f t="shared" si="7"/>
        <v>0</v>
      </c>
      <c r="G156" s="255">
        <f t="shared" si="7"/>
        <v>0</v>
      </c>
      <c r="H156" s="255">
        <f t="shared" si="7"/>
        <v>0</v>
      </c>
    </row>
    <row r="157" spans="1:13" ht="26.1" customHeight="1">
      <c r="A157" s="131"/>
      <c r="B157" s="169" t="s">
        <v>84</v>
      </c>
      <c r="C157" s="255">
        <f t="shared" si="7"/>
        <v>0</v>
      </c>
      <c r="D157" s="255">
        <f t="shared" si="7"/>
        <v>0</v>
      </c>
      <c r="E157" s="255">
        <f t="shared" si="7"/>
        <v>0</v>
      </c>
      <c r="F157" s="255">
        <f t="shared" si="7"/>
        <v>52180</v>
      </c>
      <c r="G157" s="255">
        <f t="shared" si="7"/>
        <v>195576</v>
      </c>
      <c r="H157" s="255">
        <f t="shared" si="7"/>
        <v>247756</v>
      </c>
    </row>
    <row r="158" spans="1:13" ht="36" customHeight="1">
      <c r="A158" s="137" t="str">
        <f>BugetComplet!F$396</f>
        <v>1.3.1</v>
      </c>
      <c r="B158" s="139" t="str">
        <f>BugetComplet!G$396</f>
        <v>Укрепление систем здравохранения для ликвидации передачи ВИЧ от матери ребенку</v>
      </c>
      <c r="C158" s="255">
        <f>BugetComplet!Q$396</f>
        <v>2074506</v>
      </c>
      <c r="D158" s="255">
        <f>BugetComplet!R$396</f>
        <v>1866950</v>
      </c>
      <c r="E158" s="255">
        <f>BugetComplet!S$396</f>
        <v>2042726</v>
      </c>
      <c r="F158" s="255">
        <f>BugetComplet!T$396</f>
        <v>1947350</v>
      </c>
      <c r="G158" s="255">
        <f>BugetComplet!U$396</f>
        <v>1987550</v>
      </c>
      <c r="H158" s="255">
        <f>BugetComplet!V$396</f>
        <v>9919082</v>
      </c>
      <c r="I158" s="258"/>
      <c r="J158" s="258"/>
      <c r="K158" s="258"/>
      <c r="L158" s="258"/>
      <c r="M158" s="258"/>
    </row>
    <row r="159" spans="1:13" ht="26.1" customHeight="1">
      <c r="A159" s="131"/>
      <c r="B159" s="168" t="s">
        <v>79</v>
      </c>
      <c r="C159" s="255">
        <f>BugetComplet!Q397+BugetComplet!Q407+BugetComplet!Q417+BugetComplet!Q427+BugetComplet!Q437+BugetComplet!Q447</f>
        <v>2074506</v>
      </c>
      <c r="D159" s="255">
        <f>BugetComplet!R397+BugetComplet!R407+BugetComplet!R417+BugetComplet!R427+BugetComplet!R437+BugetComplet!R447</f>
        <v>1866950</v>
      </c>
      <c r="E159" s="255">
        <f>BugetComplet!S397+BugetComplet!S407+BugetComplet!S417+BugetComplet!S427+BugetComplet!S437+BugetComplet!S447</f>
        <v>2042726</v>
      </c>
      <c r="F159" s="255">
        <f>BugetComplet!T397+BugetComplet!T407+BugetComplet!T417+BugetComplet!T427+BugetComplet!T437+BugetComplet!T447</f>
        <v>1999530</v>
      </c>
      <c r="G159" s="255">
        <f>BugetComplet!U397+BugetComplet!U407+BugetComplet!U417+BugetComplet!U427+BugetComplet!U437+BugetComplet!U447</f>
        <v>2183126</v>
      </c>
      <c r="H159" s="255">
        <f>BugetComplet!V397+BugetComplet!V407+BugetComplet!V417+BugetComplet!V427+BugetComplet!V437+BugetComplet!V447</f>
        <v>10166838</v>
      </c>
    </row>
    <row r="160" spans="1:13" ht="26.1" customHeight="1">
      <c r="A160" s="131"/>
      <c r="B160" s="169" t="s">
        <v>80</v>
      </c>
      <c r="C160" s="255">
        <f>BugetComplet!Q398+BugetComplet!Q408+BugetComplet!Q418+BugetComplet!Q428+BugetComplet!Q438+BugetComplet!Q448</f>
        <v>2074506</v>
      </c>
      <c r="D160" s="255">
        <f>BugetComplet!R398+BugetComplet!R408+BugetComplet!R418+BugetComplet!R428+BugetComplet!R438+BugetComplet!R448</f>
        <v>1866950</v>
      </c>
      <c r="E160" s="255">
        <f>BugetComplet!S398+BugetComplet!S408+BugetComplet!S418+BugetComplet!S428+BugetComplet!S438+BugetComplet!S448</f>
        <v>2042726</v>
      </c>
      <c r="F160" s="255">
        <f>BugetComplet!T398+BugetComplet!T408+BugetComplet!T418+BugetComplet!T428+BugetComplet!T438+BugetComplet!T448</f>
        <v>1947350</v>
      </c>
      <c r="G160" s="255">
        <f>BugetComplet!U398+BugetComplet!U408+BugetComplet!U418+BugetComplet!U428+BugetComplet!U438+BugetComplet!U448</f>
        <v>1987550</v>
      </c>
      <c r="H160" s="255">
        <f>BugetComplet!V398+BugetComplet!V408+BugetComplet!V418+BugetComplet!V428+BugetComplet!V438+BugetComplet!V448</f>
        <v>9919082</v>
      </c>
    </row>
    <row r="161" spans="1:13" ht="26.1" customHeight="1">
      <c r="A161" s="131"/>
      <c r="B161" s="169" t="s">
        <v>429</v>
      </c>
      <c r="C161" s="255">
        <f>BugetComplet!Q399+BugetComplet!Q409+BugetComplet!Q419+BugetComplet!Q429+BugetComplet!Q439+BugetComplet!Q449</f>
        <v>1278725</v>
      </c>
      <c r="D161" s="255">
        <f>BugetComplet!R399+BugetComplet!R409+BugetComplet!R419+BugetComplet!R429+BugetComplet!R439+BugetComplet!R449</f>
        <v>1306865</v>
      </c>
      <c r="E161" s="255">
        <f>BugetComplet!S399+BugetComplet!S409+BugetComplet!S419+BugetComplet!S429+BugetComplet!S439+BugetComplet!S449</f>
        <v>1335005</v>
      </c>
      <c r="F161" s="255">
        <f>BugetComplet!T399+BugetComplet!T409+BugetComplet!T419+BugetComplet!T429+BugetComplet!T439+BugetComplet!T449</f>
        <v>1363145</v>
      </c>
      <c r="G161" s="255">
        <f>BugetComplet!U399+BugetComplet!U409+BugetComplet!U419+BugetComplet!U429+BugetComplet!U439+BugetComplet!U449</f>
        <v>1391285</v>
      </c>
      <c r="H161" s="255">
        <f>BugetComplet!V399+BugetComplet!V409+BugetComplet!V419+BugetComplet!V429+BugetComplet!V439+BugetComplet!V449</f>
        <v>6675025</v>
      </c>
    </row>
    <row r="162" spans="1:13" ht="26.1" customHeight="1">
      <c r="A162" s="131"/>
      <c r="B162" s="169" t="s">
        <v>133</v>
      </c>
      <c r="C162" s="255">
        <f>BugetComplet!Q400+BugetComplet!Q410+BugetComplet!Q420+BugetComplet!Q430+BugetComplet!Q440+BugetComplet!Q450</f>
        <v>548025</v>
      </c>
      <c r="D162" s="255">
        <f>BugetComplet!R400+BugetComplet!R410+BugetComplet!R420+BugetComplet!R430+BugetComplet!R440+BugetComplet!R450</f>
        <v>560085</v>
      </c>
      <c r="E162" s="255">
        <f>BugetComplet!S400+BugetComplet!S410+BugetComplet!S420+BugetComplet!S430+BugetComplet!S440+BugetComplet!S450</f>
        <v>572145</v>
      </c>
      <c r="F162" s="255">
        <f>BugetComplet!T400+BugetComplet!T410+BugetComplet!T420+BugetComplet!T430+BugetComplet!T440+BugetComplet!T450</f>
        <v>584205</v>
      </c>
      <c r="G162" s="255">
        <f>BugetComplet!U400+BugetComplet!U410+BugetComplet!U420+BugetComplet!U430+BugetComplet!U440+BugetComplet!U450</f>
        <v>596265</v>
      </c>
      <c r="H162" s="255">
        <f>BugetComplet!V400+BugetComplet!V410+BugetComplet!V420+BugetComplet!V430+BugetComplet!V440+BugetComplet!V450</f>
        <v>2860725</v>
      </c>
    </row>
    <row r="163" spans="1:13" ht="26.1" customHeight="1">
      <c r="A163" s="131"/>
      <c r="B163" s="169" t="s">
        <v>81</v>
      </c>
      <c r="C163" s="255">
        <f>BugetComplet!Q401+BugetComplet!Q411+BugetComplet!Q421+BugetComplet!Q431+BugetComplet!Q441+BugetComplet!Q451</f>
        <v>0</v>
      </c>
      <c r="D163" s="255">
        <f>BugetComplet!R401+BugetComplet!R411+BugetComplet!R421+BugetComplet!R431+BugetComplet!R441+BugetComplet!R451</f>
        <v>0</v>
      </c>
      <c r="E163" s="255">
        <f>BugetComplet!S401+BugetComplet!S411+BugetComplet!S421+BugetComplet!S431+BugetComplet!S441+BugetComplet!S451</f>
        <v>0</v>
      </c>
      <c r="F163" s="255">
        <f>BugetComplet!T401+BugetComplet!T411+BugetComplet!T421+BugetComplet!T431+BugetComplet!T441+BugetComplet!T451</f>
        <v>0</v>
      </c>
      <c r="G163" s="255">
        <f>BugetComplet!U401+BugetComplet!U411+BugetComplet!U421+BugetComplet!U431+BugetComplet!U441+BugetComplet!U451</f>
        <v>0</v>
      </c>
      <c r="H163" s="255">
        <f>BugetComplet!V401+BugetComplet!V411+BugetComplet!V421+BugetComplet!V431+BugetComplet!V441+BugetComplet!V451</f>
        <v>0</v>
      </c>
    </row>
    <row r="164" spans="1:13" ht="26.1" customHeight="1">
      <c r="A164" s="131"/>
      <c r="B164" s="169" t="s">
        <v>134</v>
      </c>
      <c r="C164" s="255">
        <f>BugetComplet!Q402+BugetComplet!Q412+BugetComplet!Q422+BugetComplet!Q432+BugetComplet!Q442+BugetComplet!Q452</f>
        <v>0</v>
      </c>
      <c r="D164" s="255">
        <f>BugetComplet!R402+BugetComplet!R412+BugetComplet!R422+BugetComplet!R432+BugetComplet!R442+BugetComplet!R452</f>
        <v>0</v>
      </c>
      <c r="E164" s="255">
        <f>BugetComplet!S402+BugetComplet!S412+BugetComplet!S422+BugetComplet!S432+BugetComplet!S442+BugetComplet!S452</f>
        <v>0</v>
      </c>
      <c r="F164" s="255">
        <f>BugetComplet!T402+BugetComplet!T412+BugetComplet!T422+BugetComplet!T432+BugetComplet!T442+BugetComplet!T452</f>
        <v>0</v>
      </c>
      <c r="G164" s="255">
        <f>BugetComplet!U402+BugetComplet!U412+BugetComplet!U422+BugetComplet!U432+BugetComplet!U442+BugetComplet!U452</f>
        <v>0</v>
      </c>
      <c r="H164" s="255">
        <f>BugetComplet!V402+BugetComplet!V412+BugetComplet!V422+BugetComplet!V432+BugetComplet!V442+BugetComplet!V452</f>
        <v>0</v>
      </c>
    </row>
    <row r="165" spans="1:13" ht="26.1" customHeight="1">
      <c r="A165" s="131"/>
      <c r="B165" s="169" t="s">
        <v>82</v>
      </c>
      <c r="C165" s="255">
        <f>BugetComplet!Q403+BugetComplet!Q413+BugetComplet!Q423+BugetComplet!Q433+BugetComplet!Q443+BugetComplet!Q453</f>
        <v>247756</v>
      </c>
      <c r="D165" s="255">
        <f>BugetComplet!R403+BugetComplet!R413+BugetComplet!R423+BugetComplet!R433+BugetComplet!R443+BugetComplet!R453</f>
        <v>0</v>
      </c>
      <c r="E165" s="255">
        <f>BugetComplet!S403+BugetComplet!S413+BugetComplet!S423+BugetComplet!S433+BugetComplet!S443+BugetComplet!S453</f>
        <v>135576</v>
      </c>
      <c r="F165" s="255">
        <f>BugetComplet!T403+BugetComplet!T413+BugetComplet!T423+BugetComplet!T433+BugetComplet!T443+BugetComplet!T453</f>
        <v>0</v>
      </c>
      <c r="G165" s="255">
        <f>BugetComplet!U403+BugetComplet!U413+BugetComplet!U423+BugetComplet!U433+BugetComplet!U443+BugetComplet!U453</f>
        <v>0</v>
      </c>
      <c r="H165" s="255">
        <f>BugetComplet!V403+BugetComplet!V413+BugetComplet!V423+BugetComplet!V433+BugetComplet!V443+BugetComplet!V453</f>
        <v>383332</v>
      </c>
    </row>
    <row r="166" spans="1:13" ht="26.1" customHeight="1">
      <c r="A166" s="131"/>
      <c r="B166" s="169" t="s">
        <v>90</v>
      </c>
      <c r="C166" s="255">
        <f>BugetComplet!Q404+BugetComplet!Q414+BugetComplet!Q424+BugetComplet!Q434+BugetComplet!Q444+BugetComplet!Q454</f>
        <v>0</v>
      </c>
      <c r="D166" s="255">
        <f>BugetComplet!R404+BugetComplet!R414+BugetComplet!R424+BugetComplet!R434+BugetComplet!R444+BugetComplet!R454</f>
        <v>0</v>
      </c>
      <c r="E166" s="255">
        <f>BugetComplet!S404+BugetComplet!S414+BugetComplet!S424+BugetComplet!S434+BugetComplet!S444+BugetComplet!S454</f>
        <v>0</v>
      </c>
      <c r="F166" s="255">
        <f>BugetComplet!T404+BugetComplet!T414+BugetComplet!T424+BugetComplet!T434+BugetComplet!T444+BugetComplet!T454</f>
        <v>0</v>
      </c>
      <c r="G166" s="255">
        <f>BugetComplet!U404+BugetComplet!U414+BugetComplet!U424+BugetComplet!U434+BugetComplet!U444+BugetComplet!U454</f>
        <v>0</v>
      </c>
      <c r="H166" s="255">
        <f>BugetComplet!V404+BugetComplet!V414+BugetComplet!V424+BugetComplet!V434+BugetComplet!V444+BugetComplet!V454</f>
        <v>0</v>
      </c>
    </row>
    <row r="167" spans="1:13" ht="26.1" customHeight="1">
      <c r="A167" s="131"/>
      <c r="B167" s="169" t="s">
        <v>83</v>
      </c>
      <c r="C167" s="255">
        <f>BugetComplet!Q405+BugetComplet!Q415+BugetComplet!Q425+BugetComplet!Q435+BugetComplet!Q445+BugetComplet!Q455</f>
        <v>0</v>
      </c>
      <c r="D167" s="255">
        <f>BugetComplet!R405+BugetComplet!R415+BugetComplet!R425+BugetComplet!R435+BugetComplet!R445+BugetComplet!R455</f>
        <v>0</v>
      </c>
      <c r="E167" s="255">
        <f>BugetComplet!S405+BugetComplet!S415+BugetComplet!S425+BugetComplet!S435+BugetComplet!S445+BugetComplet!S455</f>
        <v>0</v>
      </c>
      <c r="F167" s="255">
        <f>BugetComplet!T405+BugetComplet!T415+BugetComplet!T425+BugetComplet!T435+BugetComplet!T445+BugetComplet!T455</f>
        <v>0</v>
      </c>
      <c r="G167" s="255">
        <f>BugetComplet!U405+BugetComplet!U415+BugetComplet!U425+BugetComplet!U435+BugetComplet!U445+BugetComplet!U455</f>
        <v>0</v>
      </c>
      <c r="H167" s="255">
        <f>BugetComplet!V405+BugetComplet!V415+BugetComplet!V425+BugetComplet!V435+BugetComplet!V445+BugetComplet!V455</f>
        <v>0</v>
      </c>
    </row>
    <row r="168" spans="1:13" ht="26.1" customHeight="1">
      <c r="A168" s="131"/>
      <c r="B168" s="169" t="s">
        <v>84</v>
      </c>
      <c r="C168" s="255">
        <f>BugetComplet!Q406+BugetComplet!Q416+BugetComplet!Q426+BugetComplet!Q436+BugetComplet!Q446+BugetComplet!Q456</f>
        <v>0</v>
      </c>
      <c r="D168" s="255">
        <f>BugetComplet!R406+BugetComplet!R416+BugetComplet!R426+BugetComplet!R436+BugetComplet!R446+BugetComplet!R456</f>
        <v>0</v>
      </c>
      <c r="E168" s="255">
        <f>BugetComplet!S406+BugetComplet!S416+BugetComplet!S426+BugetComplet!S436+BugetComplet!S446+BugetComplet!S456</f>
        <v>0</v>
      </c>
      <c r="F168" s="255">
        <f>BugetComplet!T406+BugetComplet!T416+BugetComplet!T426+BugetComplet!T436+BugetComplet!T446+BugetComplet!T456</f>
        <v>52180</v>
      </c>
      <c r="G168" s="255">
        <f>BugetComplet!U406+BugetComplet!U416+BugetComplet!U426+BugetComplet!U436+BugetComplet!U446+BugetComplet!U456</f>
        <v>195576</v>
      </c>
      <c r="H168" s="255">
        <f>BugetComplet!V406+BugetComplet!V416+BugetComplet!V426+BugetComplet!V436+BugetComplet!V446+BugetComplet!V456</f>
        <v>247756</v>
      </c>
    </row>
    <row r="169" spans="1:13" ht="36" customHeight="1">
      <c r="A169" s="137" t="str">
        <f>BugetComplet!F$457</f>
        <v>1.3.2</v>
      </c>
      <c r="B169" s="139" t="str">
        <f>BugetComplet!G$457</f>
        <v>Обеспечение универсального доступа к тестирования на ВИЧ и ИППП для беременных женщин</v>
      </c>
      <c r="C169" s="255">
        <f>BugetComplet!Q$457</f>
        <v>1767040</v>
      </c>
      <c r="D169" s="255">
        <f>BugetComplet!R$457</f>
        <v>1747160</v>
      </c>
      <c r="E169" s="255">
        <f>BugetComplet!S$457</f>
        <v>1727680</v>
      </c>
      <c r="F169" s="255">
        <f>BugetComplet!T$457</f>
        <v>1709640</v>
      </c>
      <c r="G169" s="255">
        <f>BugetComplet!U$457</f>
        <v>1691960</v>
      </c>
      <c r="H169" s="255">
        <f>BugetComplet!V$457</f>
        <v>8643480</v>
      </c>
      <c r="I169" s="258"/>
      <c r="J169" s="258"/>
      <c r="K169" s="258"/>
      <c r="L169" s="258"/>
      <c r="M169" s="258"/>
    </row>
    <row r="170" spans="1:13" ht="26.1" customHeight="1">
      <c r="A170" s="131"/>
      <c r="B170" s="168" t="s">
        <v>79</v>
      </c>
      <c r="C170" s="255">
        <f>BugetComplet!Q458+BugetComplet!Q468</f>
        <v>1767040</v>
      </c>
      <c r="D170" s="255">
        <f>BugetComplet!R458+BugetComplet!R468</f>
        <v>1747160</v>
      </c>
      <c r="E170" s="255">
        <f>BugetComplet!S458+BugetComplet!S468</f>
        <v>1727680</v>
      </c>
      <c r="F170" s="255">
        <f>BugetComplet!T458+BugetComplet!T468</f>
        <v>1709640</v>
      </c>
      <c r="G170" s="255">
        <f>BugetComplet!U458+BugetComplet!U468</f>
        <v>1691960</v>
      </c>
      <c r="H170" s="255">
        <f>BugetComplet!V458+BugetComplet!V468</f>
        <v>8643480</v>
      </c>
    </row>
    <row r="171" spans="1:13" ht="26.1" customHeight="1">
      <c r="A171" s="131"/>
      <c r="B171" s="169" t="s">
        <v>80</v>
      </c>
      <c r="C171" s="255">
        <f>BugetComplet!Q459+BugetComplet!Q469</f>
        <v>1767040</v>
      </c>
      <c r="D171" s="255">
        <f>BugetComplet!R459+BugetComplet!R469</f>
        <v>1747160</v>
      </c>
      <c r="E171" s="255">
        <f>BugetComplet!S459+BugetComplet!S469</f>
        <v>1727680</v>
      </c>
      <c r="F171" s="255">
        <f>BugetComplet!T459+BugetComplet!T469</f>
        <v>1709640</v>
      </c>
      <c r="G171" s="255">
        <f>BugetComplet!U459+BugetComplet!U469</f>
        <v>1691960</v>
      </c>
      <c r="H171" s="255">
        <f>BugetComplet!V459+BugetComplet!V469</f>
        <v>8643480</v>
      </c>
    </row>
    <row r="172" spans="1:13" ht="26.1" customHeight="1">
      <c r="A172" s="131"/>
      <c r="B172" s="169" t="s">
        <v>429</v>
      </c>
      <c r="C172" s="255">
        <f>BugetComplet!Q460+BugetComplet!Q470</f>
        <v>1704240</v>
      </c>
      <c r="D172" s="255">
        <f>BugetComplet!R460+BugetComplet!R470</f>
        <v>1687320</v>
      </c>
      <c r="E172" s="255">
        <f>BugetComplet!S460+BugetComplet!S470</f>
        <v>1670400</v>
      </c>
      <c r="F172" s="255">
        <f>BugetComplet!T460+BugetComplet!T470</f>
        <v>1653480</v>
      </c>
      <c r="G172" s="255">
        <f>BugetComplet!U460+BugetComplet!U470</f>
        <v>1636920</v>
      </c>
      <c r="H172" s="255">
        <f>BugetComplet!V460+BugetComplet!V470</f>
        <v>8352360</v>
      </c>
    </row>
    <row r="173" spans="1:13" ht="26.1" customHeight="1">
      <c r="A173" s="131"/>
      <c r="B173" s="169" t="s">
        <v>133</v>
      </c>
      <c r="C173" s="255">
        <f>BugetComplet!Q461+BugetComplet!Q471</f>
        <v>62800</v>
      </c>
      <c r="D173" s="255">
        <f>BugetComplet!R461+BugetComplet!R471</f>
        <v>59840</v>
      </c>
      <c r="E173" s="255">
        <f>BugetComplet!S461+BugetComplet!S471</f>
        <v>57280</v>
      </c>
      <c r="F173" s="255">
        <f>BugetComplet!T461+BugetComplet!T471</f>
        <v>56160</v>
      </c>
      <c r="G173" s="255">
        <f>BugetComplet!U461+BugetComplet!U471</f>
        <v>55040</v>
      </c>
      <c r="H173" s="255">
        <f>BugetComplet!V461+BugetComplet!V471</f>
        <v>291120</v>
      </c>
    </row>
    <row r="174" spans="1:13" ht="26.1" customHeight="1">
      <c r="A174" s="131"/>
      <c r="B174" s="169" t="s">
        <v>81</v>
      </c>
      <c r="C174" s="255">
        <f>BugetComplet!Q462+BugetComplet!Q472</f>
        <v>0</v>
      </c>
      <c r="D174" s="255">
        <f>BugetComplet!R462+BugetComplet!R472</f>
        <v>0</v>
      </c>
      <c r="E174" s="255">
        <f>BugetComplet!S462+BugetComplet!S472</f>
        <v>0</v>
      </c>
      <c r="F174" s="255">
        <f>BugetComplet!T462+BugetComplet!T472</f>
        <v>0</v>
      </c>
      <c r="G174" s="255">
        <f>BugetComplet!U462+BugetComplet!U472</f>
        <v>0</v>
      </c>
      <c r="H174" s="255">
        <f>BugetComplet!V462+BugetComplet!V472</f>
        <v>0</v>
      </c>
    </row>
    <row r="175" spans="1:13" ht="26.1" customHeight="1">
      <c r="A175" s="131"/>
      <c r="B175" s="169" t="s">
        <v>134</v>
      </c>
      <c r="C175" s="255">
        <f>BugetComplet!Q463+BugetComplet!Q473</f>
        <v>0</v>
      </c>
      <c r="D175" s="255">
        <f>BugetComplet!R463+BugetComplet!R473</f>
        <v>0</v>
      </c>
      <c r="E175" s="255">
        <f>BugetComplet!S463+BugetComplet!S473</f>
        <v>0</v>
      </c>
      <c r="F175" s="255">
        <f>BugetComplet!T463+BugetComplet!T473</f>
        <v>0</v>
      </c>
      <c r="G175" s="255">
        <f>BugetComplet!U463+BugetComplet!U473</f>
        <v>0</v>
      </c>
      <c r="H175" s="255">
        <f>BugetComplet!V463+BugetComplet!V473</f>
        <v>0</v>
      </c>
    </row>
    <row r="176" spans="1:13" ht="26.1" customHeight="1">
      <c r="A176" s="131"/>
      <c r="B176" s="169" t="s">
        <v>82</v>
      </c>
      <c r="C176" s="255">
        <f>BugetComplet!Q464+BugetComplet!Q474</f>
        <v>0</v>
      </c>
      <c r="D176" s="255">
        <f>BugetComplet!R464+BugetComplet!R474</f>
        <v>0</v>
      </c>
      <c r="E176" s="255">
        <f>BugetComplet!S464+BugetComplet!S474</f>
        <v>0</v>
      </c>
      <c r="F176" s="255">
        <f>BugetComplet!T464+BugetComplet!T474</f>
        <v>0</v>
      </c>
      <c r="G176" s="255">
        <f>BugetComplet!U464+BugetComplet!U474</f>
        <v>0</v>
      </c>
      <c r="H176" s="255">
        <f>BugetComplet!V464+BugetComplet!V474</f>
        <v>0</v>
      </c>
    </row>
    <row r="177" spans="1:13" ht="26.1" customHeight="1">
      <c r="A177" s="131"/>
      <c r="B177" s="169" t="s">
        <v>90</v>
      </c>
      <c r="C177" s="255">
        <f>BugetComplet!Q465+BugetComplet!Q475</f>
        <v>0</v>
      </c>
      <c r="D177" s="255">
        <f>BugetComplet!R465+BugetComplet!R475</f>
        <v>0</v>
      </c>
      <c r="E177" s="255">
        <f>BugetComplet!S465+BugetComplet!S475</f>
        <v>0</v>
      </c>
      <c r="F177" s="255">
        <f>BugetComplet!T465+BugetComplet!T475</f>
        <v>0</v>
      </c>
      <c r="G177" s="255">
        <f>BugetComplet!U465+BugetComplet!U475</f>
        <v>0</v>
      </c>
      <c r="H177" s="255">
        <f>BugetComplet!V465+BugetComplet!V475</f>
        <v>0</v>
      </c>
    </row>
    <row r="178" spans="1:13" ht="26.1" customHeight="1">
      <c r="A178" s="131"/>
      <c r="B178" s="169" t="s">
        <v>83</v>
      </c>
      <c r="C178" s="255">
        <f>BugetComplet!Q466+BugetComplet!Q476</f>
        <v>0</v>
      </c>
      <c r="D178" s="255">
        <f>BugetComplet!R466+BugetComplet!R476</f>
        <v>0</v>
      </c>
      <c r="E178" s="255">
        <f>BugetComplet!S466+BugetComplet!S476</f>
        <v>0</v>
      </c>
      <c r="F178" s="255">
        <f>BugetComplet!T466+BugetComplet!T476</f>
        <v>0</v>
      </c>
      <c r="G178" s="255">
        <f>BugetComplet!U466+BugetComplet!U476</f>
        <v>0</v>
      </c>
      <c r="H178" s="255">
        <f>BugetComplet!V466+BugetComplet!V476</f>
        <v>0</v>
      </c>
    </row>
    <row r="179" spans="1:13" ht="26.1" customHeight="1">
      <c r="A179" s="131"/>
      <c r="B179" s="169" t="s">
        <v>84</v>
      </c>
      <c r="C179" s="255">
        <f>BugetComplet!Q467+BugetComplet!Q477</f>
        <v>0</v>
      </c>
      <c r="D179" s="255">
        <f>BugetComplet!R467+BugetComplet!R477</f>
        <v>0</v>
      </c>
      <c r="E179" s="255">
        <f>BugetComplet!S467+BugetComplet!S477</f>
        <v>0</v>
      </c>
      <c r="F179" s="255">
        <f>BugetComplet!T467+BugetComplet!T477</f>
        <v>0</v>
      </c>
      <c r="G179" s="255">
        <f>BugetComplet!U467+BugetComplet!U477</f>
        <v>0</v>
      </c>
      <c r="H179" s="255">
        <f>BugetComplet!V467+BugetComplet!V477</f>
        <v>0</v>
      </c>
    </row>
    <row r="180" spans="1:13" ht="36" customHeight="1">
      <c r="A180" s="137" t="str">
        <f>BugetComplet!F$478</f>
        <v>1.3.3</v>
      </c>
      <c r="B180" s="139" t="str">
        <f>BugetComplet!G$478</f>
        <v>Обеспечение  универсального доступа к тестированию новорожденных</v>
      </c>
      <c r="C180" s="255">
        <f>BugetComplet!Q$478</f>
        <v>296250</v>
      </c>
      <c r="D180" s="255">
        <f>BugetComplet!R$478</f>
        <v>300000</v>
      </c>
      <c r="E180" s="255">
        <f>BugetComplet!S$478</f>
        <v>307500</v>
      </c>
      <c r="F180" s="255">
        <f>BugetComplet!T$478</f>
        <v>311250</v>
      </c>
      <c r="G180" s="255">
        <f>BugetComplet!U$478</f>
        <v>322500</v>
      </c>
      <c r="H180" s="255">
        <f>BugetComplet!V$478</f>
        <v>1537500</v>
      </c>
      <c r="I180" s="258"/>
      <c r="J180" s="258"/>
      <c r="K180" s="258"/>
      <c r="L180" s="258"/>
      <c r="M180" s="258"/>
    </row>
    <row r="181" spans="1:13" ht="26.1" customHeight="1">
      <c r="A181" s="131"/>
      <c r="B181" s="168" t="s">
        <v>79</v>
      </c>
      <c r="C181" s="255">
        <f>BugetComplet!Q479+BugetComplet!Q489+BugetComplet!Q499</f>
        <v>296250</v>
      </c>
      <c r="D181" s="255">
        <f>BugetComplet!R479+BugetComplet!R489+BugetComplet!R499</f>
        <v>300000</v>
      </c>
      <c r="E181" s="255">
        <f>BugetComplet!S479+BugetComplet!S489+BugetComplet!S499</f>
        <v>307500</v>
      </c>
      <c r="F181" s="255">
        <f>BugetComplet!T479+BugetComplet!T489+BugetComplet!T499</f>
        <v>311250</v>
      </c>
      <c r="G181" s="255">
        <f>BugetComplet!U479+BugetComplet!U489+BugetComplet!U499</f>
        <v>322500</v>
      </c>
      <c r="H181" s="255">
        <f>BugetComplet!V479+BugetComplet!V489+BugetComplet!V499</f>
        <v>1537500</v>
      </c>
    </row>
    <row r="182" spans="1:13" ht="26.1" customHeight="1">
      <c r="A182" s="131"/>
      <c r="B182" s="169" t="s">
        <v>80</v>
      </c>
      <c r="C182" s="255">
        <f>BugetComplet!Q480+BugetComplet!Q490+BugetComplet!Q500</f>
        <v>296250</v>
      </c>
      <c r="D182" s="255">
        <f>BugetComplet!R480+BugetComplet!R490+BugetComplet!R500</f>
        <v>300000</v>
      </c>
      <c r="E182" s="255">
        <f>BugetComplet!S480+BugetComplet!S490+BugetComplet!S500</f>
        <v>307500</v>
      </c>
      <c r="F182" s="255">
        <f>BugetComplet!T480+BugetComplet!T490+BugetComplet!T500</f>
        <v>311250</v>
      </c>
      <c r="G182" s="255">
        <f>BugetComplet!U480+BugetComplet!U490+BugetComplet!U500</f>
        <v>322500</v>
      </c>
      <c r="H182" s="255">
        <f>BugetComplet!V480+BugetComplet!V490+BugetComplet!V500</f>
        <v>1537500</v>
      </c>
    </row>
    <row r="183" spans="1:13" ht="26.1" customHeight="1">
      <c r="A183" s="131"/>
      <c r="B183" s="169" t="s">
        <v>429</v>
      </c>
      <c r="C183" s="255">
        <f>BugetComplet!Q481+BugetComplet!Q491+BugetComplet!Q501</f>
        <v>176000</v>
      </c>
      <c r="D183" s="255">
        <f>BugetComplet!R481+BugetComplet!R491+BugetComplet!R501</f>
        <v>179200</v>
      </c>
      <c r="E183" s="255">
        <f>BugetComplet!S481+BugetComplet!S491+BugetComplet!S501</f>
        <v>182400</v>
      </c>
      <c r="F183" s="255">
        <f>BugetComplet!T481+BugetComplet!T491+BugetComplet!T501</f>
        <v>185600</v>
      </c>
      <c r="G183" s="255">
        <f>BugetComplet!U481+BugetComplet!U491+BugetComplet!U501</f>
        <v>192000</v>
      </c>
      <c r="H183" s="255">
        <f>BugetComplet!V481+BugetComplet!V491+BugetComplet!V501</f>
        <v>915200</v>
      </c>
    </row>
    <row r="184" spans="1:13" ht="26.1" customHeight="1">
      <c r="A184" s="131"/>
      <c r="B184" s="169" t="s">
        <v>133</v>
      </c>
      <c r="C184" s="255">
        <f>BugetComplet!Q482+BugetComplet!Q492+BugetComplet!Q502</f>
        <v>14160</v>
      </c>
      <c r="D184" s="255">
        <f>BugetComplet!R482+BugetComplet!R492+BugetComplet!R502</f>
        <v>14160</v>
      </c>
      <c r="E184" s="255">
        <f>BugetComplet!S482+BugetComplet!S492+BugetComplet!S502</f>
        <v>14750</v>
      </c>
      <c r="F184" s="255">
        <f>BugetComplet!T482+BugetComplet!T492+BugetComplet!T502</f>
        <v>93750</v>
      </c>
      <c r="G184" s="255">
        <f>BugetComplet!U482+BugetComplet!U492+BugetComplet!U502</f>
        <v>97500</v>
      </c>
      <c r="H184" s="255">
        <f>BugetComplet!V482+BugetComplet!V492+BugetComplet!V502</f>
        <v>234320</v>
      </c>
    </row>
    <row r="185" spans="1:13" ht="26.1" customHeight="1">
      <c r="A185" s="131"/>
      <c r="B185" s="169" t="s">
        <v>81</v>
      </c>
      <c r="C185" s="255">
        <f>BugetComplet!Q483+BugetComplet!Q493+BugetComplet!Q503</f>
        <v>0</v>
      </c>
      <c r="D185" s="255">
        <f>BugetComplet!R483+BugetComplet!R493+BugetComplet!R503</f>
        <v>0</v>
      </c>
      <c r="E185" s="255">
        <f>BugetComplet!S483+BugetComplet!S493+BugetComplet!S503</f>
        <v>0</v>
      </c>
      <c r="F185" s="255">
        <f>BugetComplet!T483+BugetComplet!T493+BugetComplet!T503</f>
        <v>0</v>
      </c>
      <c r="G185" s="255">
        <f>BugetComplet!U483+BugetComplet!U493+BugetComplet!U503</f>
        <v>0</v>
      </c>
      <c r="H185" s="255">
        <f>BugetComplet!V483+BugetComplet!V493+BugetComplet!V503</f>
        <v>0</v>
      </c>
    </row>
    <row r="186" spans="1:13" ht="26.1" customHeight="1">
      <c r="A186" s="131"/>
      <c r="B186" s="169" t="s">
        <v>134</v>
      </c>
      <c r="C186" s="255">
        <f>BugetComplet!Q484+BugetComplet!Q494+BugetComplet!Q504</f>
        <v>30250</v>
      </c>
      <c r="D186" s="255">
        <f>BugetComplet!R484+BugetComplet!R494+BugetComplet!R504</f>
        <v>30800</v>
      </c>
      <c r="E186" s="255">
        <f>BugetComplet!S484+BugetComplet!S494+BugetComplet!S504</f>
        <v>31350</v>
      </c>
      <c r="F186" s="255">
        <f>BugetComplet!T484+BugetComplet!T494+BugetComplet!T504</f>
        <v>31900</v>
      </c>
      <c r="G186" s="255">
        <f>BugetComplet!U484+BugetComplet!U494+BugetComplet!U504</f>
        <v>33000</v>
      </c>
      <c r="H186" s="255">
        <f>BugetComplet!V484+BugetComplet!V494+BugetComplet!V504</f>
        <v>157300</v>
      </c>
    </row>
    <row r="187" spans="1:13" ht="26.1" customHeight="1">
      <c r="A187" s="131"/>
      <c r="B187" s="169" t="s">
        <v>82</v>
      </c>
      <c r="C187" s="255">
        <f>BugetComplet!Q485+BugetComplet!Q495+BugetComplet!Q505</f>
        <v>0</v>
      </c>
      <c r="D187" s="255">
        <f>BugetComplet!R485+BugetComplet!R495+BugetComplet!R505</f>
        <v>0</v>
      </c>
      <c r="E187" s="255">
        <f>BugetComplet!S485+BugetComplet!S495+BugetComplet!S505</f>
        <v>0</v>
      </c>
      <c r="F187" s="255">
        <f>BugetComplet!T485+BugetComplet!T495+BugetComplet!T505</f>
        <v>0</v>
      </c>
      <c r="G187" s="255">
        <f>BugetComplet!U485+BugetComplet!U495+BugetComplet!U505</f>
        <v>0</v>
      </c>
      <c r="H187" s="255">
        <f>BugetComplet!V485+BugetComplet!V495+BugetComplet!V505</f>
        <v>0</v>
      </c>
    </row>
    <row r="188" spans="1:13" ht="26.1" customHeight="1">
      <c r="A188" s="131"/>
      <c r="B188" s="169" t="s">
        <v>90</v>
      </c>
      <c r="C188" s="255">
        <f>BugetComplet!Q486+BugetComplet!Q496+BugetComplet!Q506</f>
        <v>75840</v>
      </c>
      <c r="D188" s="255">
        <f>BugetComplet!R486+BugetComplet!R496+BugetComplet!R506</f>
        <v>75840</v>
      </c>
      <c r="E188" s="255">
        <f>BugetComplet!S486+BugetComplet!S496+BugetComplet!S506</f>
        <v>79000</v>
      </c>
      <c r="F188" s="255">
        <f>BugetComplet!T486+BugetComplet!T496+BugetComplet!T506</f>
        <v>0</v>
      </c>
      <c r="G188" s="255">
        <f>BugetComplet!U486+BugetComplet!U496+BugetComplet!U506</f>
        <v>0</v>
      </c>
      <c r="H188" s="255">
        <f>BugetComplet!V486+BugetComplet!V496+BugetComplet!V506</f>
        <v>230680</v>
      </c>
    </row>
    <row r="189" spans="1:13" ht="26.1" customHeight="1">
      <c r="A189" s="131"/>
      <c r="B189" s="169" t="s">
        <v>83</v>
      </c>
      <c r="C189" s="255">
        <f>BugetComplet!Q487+BugetComplet!Q497+BugetComplet!Q507</f>
        <v>0</v>
      </c>
      <c r="D189" s="255">
        <f>BugetComplet!R487+BugetComplet!R497+BugetComplet!R507</f>
        <v>0</v>
      </c>
      <c r="E189" s="255">
        <f>BugetComplet!S487+BugetComplet!S497+BugetComplet!S507</f>
        <v>0</v>
      </c>
      <c r="F189" s="255">
        <f>BugetComplet!T487+BugetComplet!T497+BugetComplet!T507</f>
        <v>0</v>
      </c>
      <c r="G189" s="255">
        <f>BugetComplet!U487+BugetComplet!U497+BugetComplet!U507</f>
        <v>0</v>
      </c>
      <c r="H189" s="255">
        <f>BugetComplet!V487+BugetComplet!V497+BugetComplet!V507</f>
        <v>0</v>
      </c>
    </row>
    <row r="190" spans="1:13" ht="26.1" customHeight="1">
      <c r="A190" s="131"/>
      <c r="B190" s="169" t="s">
        <v>84</v>
      </c>
      <c r="C190" s="255">
        <f>BugetComplet!Q488+BugetComplet!Q498+BugetComplet!Q508</f>
        <v>0</v>
      </c>
      <c r="D190" s="255">
        <f>BugetComplet!R488+BugetComplet!R498+BugetComplet!R508</f>
        <v>0</v>
      </c>
      <c r="E190" s="255">
        <f>BugetComplet!S488+BugetComplet!S498+BugetComplet!S508</f>
        <v>0</v>
      </c>
      <c r="F190" s="255">
        <f>BugetComplet!T488+BugetComplet!T498+BugetComplet!T508</f>
        <v>0</v>
      </c>
      <c r="G190" s="255">
        <f>BugetComplet!U488+BugetComplet!U498+BugetComplet!U508</f>
        <v>0</v>
      </c>
      <c r="H190" s="255">
        <f>BugetComplet!V488+BugetComplet!V498+BugetComplet!V508</f>
        <v>0</v>
      </c>
    </row>
    <row r="191" spans="1:13" ht="36">
      <c r="A191" s="134" t="str">
        <f>BugetComplet!F$509</f>
        <v>2.</v>
      </c>
      <c r="B191" s="136" t="str">
        <f>BugetComplet!G$509</f>
        <v xml:space="preserve">90/90/90 Повышение доступа к медицинской помощи и улучшение показателей здоровья людей, живущих с ВИЧ </v>
      </c>
      <c r="C191" s="254">
        <f>BugetComplet!Q$509</f>
        <v>119002628.66496883</v>
      </c>
      <c r="D191" s="254">
        <f>BugetComplet!R$509</f>
        <v>124908454.85818654</v>
      </c>
      <c r="E191" s="254">
        <f>BugetComplet!S$509</f>
        <v>127945262.48652601</v>
      </c>
      <c r="F191" s="254">
        <f>BugetComplet!T$509</f>
        <v>123652361.22213948</v>
      </c>
      <c r="G191" s="254">
        <f>BugetComplet!U$509</f>
        <v>128524745.04538926</v>
      </c>
      <c r="H191" s="254">
        <f>BugetComplet!V$509</f>
        <v>624033452.27721012</v>
      </c>
      <c r="I191" s="258"/>
      <c r="J191" s="258"/>
      <c r="K191" s="258"/>
      <c r="L191" s="258"/>
      <c r="M191" s="258"/>
    </row>
    <row r="192" spans="1:13" ht="26.1" customHeight="1">
      <c r="A192" s="131"/>
      <c r="B192" s="168" t="s">
        <v>79</v>
      </c>
      <c r="C192" s="255">
        <f t="shared" ref="C192:H201" si="8">C203+C269+C313+C379</f>
        <v>121033128.66496883</v>
      </c>
      <c r="D192" s="255">
        <f t="shared" si="8"/>
        <v>134878969.85818654</v>
      </c>
      <c r="E192" s="255">
        <f t="shared" si="8"/>
        <v>130342400.48652603</v>
      </c>
      <c r="F192" s="255">
        <f t="shared" si="8"/>
        <v>138236309.72948447</v>
      </c>
      <c r="G192" s="255">
        <f t="shared" si="8"/>
        <v>143392674.02456126</v>
      </c>
      <c r="H192" s="255">
        <f t="shared" si="8"/>
        <v>667883482.76372719</v>
      </c>
      <c r="I192" s="258"/>
      <c r="J192" s="258"/>
      <c r="K192" s="258"/>
      <c r="L192" s="258"/>
      <c r="M192" s="258"/>
    </row>
    <row r="193" spans="1:13" ht="26.1" customHeight="1">
      <c r="A193" s="131"/>
      <c r="B193" s="169" t="s">
        <v>80</v>
      </c>
      <c r="C193" s="255">
        <f t="shared" si="8"/>
        <v>119002628.66496883</v>
      </c>
      <c r="D193" s="255">
        <f t="shared" si="8"/>
        <v>124908454.85818654</v>
      </c>
      <c r="E193" s="255">
        <f t="shared" si="8"/>
        <v>127944860.48652601</v>
      </c>
      <c r="F193" s="255">
        <f t="shared" si="8"/>
        <v>123652361.22213948</v>
      </c>
      <c r="G193" s="255">
        <f t="shared" si="8"/>
        <v>128524745.04538926</v>
      </c>
      <c r="H193" s="255">
        <f t="shared" si="8"/>
        <v>624033050.27721012</v>
      </c>
      <c r="I193" s="258"/>
      <c r="J193" s="258"/>
      <c r="K193" s="258"/>
      <c r="L193" s="258"/>
      <c r="M193" s="258"/>
    </row>
    <row r="194" spans="1:13" ht="26.1" customHeight="1">
      <c r="A194" s="131"/>
      <c r="B194" s="169" t="s">
        <v>429</v>
      </c>
      <c r="C194" s="255">
        <f t="shared" si="8"/>
        <v>27904785.3207618</v>
      </c>
      <c r="D194" s="255">
        <f t="shared" si="8"/>
        <v>30105797.770027231</v>
      </c>
      <c r="E194" s="255">
        <f t="shared" si="8"/>
        <v>33096566.772854201</v>
      </c>
      <c r="F194" s="255">
        <f t="shared" si="8"/>
        <v>36891021.479988873</v>
      </c>
      <c r="G194" s="255">
        <f t="shared" si="8"/>
        <v>40822854.681192011</v>
      </c>
      <c r="H194" s="255">
        <f t="shared" si="8"/>
        <v>168821026.02482414</v>
      </c>
    </row>
    <row r="195" spans="1:13" ht="26.1" customHeight="1">
      <c r="A195" s="131"/>
      <c r="B195" s="169" t="s">
        <v>133</v>
      </c>
      <c r="C195" s="255">
        <f t="shared" si="8"/>
        <v>21024238.025040366</v>
      </c>
      <c r="D195" s="255">
        <f t="shared" si="8"/>
        <v>22059375.95599265</v>
      </c>
      <c r="E195" s="255">
        <f t="shared" si="8"/>
        <v>23180434.104005162</v>
      </c>
      <c r="F195" s="255">
        <f t="shared" si="8"/>
        <v>24947693.128283933</v>
      </c>
      <c r="G195" s="255">
        <f t="shared" si="8"/>
        <v>25702729.853930578</v>
      </c>
      <c r="H195" s="255">
        <f t="shared" si="8"/>
        <v>116914471.06725267</v>
      </c>
    </row>
    <row r="196" spans="1:13" ht="26.1" customHeight="1">
      <c r="A196" s="131"/>
      <c r="B196" s="169" t="s">
        <v>81</v>
      </c>
      <c r="C196" s="255">
        <f t="shared" si="8"/>
        <v>435014.40000000002</v>
      </c>
      <c r="D196" s="255">
        <f t="shared" si="8"/>
        <v>478046.4</v>
      </c>
      <c r="E196" s="255">
        <f t="shared" si="8"/>
        <v>521078.4</v>
      </c>
      <c r="F196" s="255">
        <f t="shared" si="8"/>
        <v>564110.4</v>
      </c>
      <c r="G196" s="255">
        <f t="shared" si="8"/>
        <v>607820.48</v>
      </c>
      <c r="H196" s="255">
        <f t="shared" si="8"/>
        <v>2606070.08</v>
      </c>
    </row>
    <row r="197" spans="1:13" ht="26.1" customHeight="1">
      <c r="A197" s="131"/>
      <c r="B197" s="169" t="s">
        <v>134</v>
      </c>
      <c r="C197" s="255">
        <f t="shared" si="8"/>
        <v>59991769.942666665</v>
      </c>
      <c r="D197" s="255">
        <f t="shared" si="8"/>
        <v>60037692.033066668</v>
      </c>
      <c r="E197" s="255">
        <f t="shared" si="8"/>
        <v>60083614.123466671</v>
      </c>
      <c r="F197" s="255">
        <f t="shared" si="8"/>
        <v>61249536.213866666</v>
      </c>
      <c r="G197" s="255">
        <f t="shared" si="8"/>
        <v>61391340.030266672</v>
      </c>
      <c r="H197" s="255">
        <f t="shared" si="8"/>
        <v>302753952.34333336</v>
      </c>
    </row>
    <row r="198" spans="1:13" ht="26.1" customHeight="1">
      <c r="A198" s="131"/>
      <c r="B198" s="169" t="s">
        <v>82</v>
      </c>
      <c r="C198" s="255">
        <f t="shared" si="8"/>
        <v>5708692.629999999</v>
      </c>
      <c r="D198" s="255">
        <f t="shared" si="8"/>
        <v>8189242.1370000001</v>
      </c>
      <c r="E198" s="255">
        <f t="shared" si="8"/>
        <v>7349054.7499000002</v>
      </c>
      <c r="F198" s="255">
        <f t="shared" si="8"/>
        <v>0</v>
      </c>
      <c r="G198" s="255">
        <f t="shared" si="8"/>
        <v>0</v>
      </c>
      <c r="H198" s="255">
        <f t="shared" si="8"/>
        <v>21246989.516899999</v>
      </c>
    </row>
    <row r="199" spans="1:13" ht="26.1" customHeight="1">
      <c r="A199" s="131"/>
      <c r="B199" s="169" t="s">
        <v>90</v>
      </c>
      <c r="C199" s="255">
        <f t="shared" si="8"/>
        <v>3938128.3465</v>
      </c>
      <c r="D199" s="255">
        <f t="shared" si="8"/>
        <v>4038300.5620999997</v>
      </c>
      <c r="E199" s="255">
        <f t="shared" si="8"/>
        <v>3714112.3362999996</v>
      </c>
      <c r="F199" s="255">
        <f t="shared" si="8"/>
        <v>0</v>
      </c>
      <c r="G199" s="255">
        <f t="shared" si="8"/>
        <v>0</v>
      </c>
      <c r="H199" s="255">
        <f t="shared" si="8"/>
        <v>11690541.244899999</v>
      </c>
      <c r="I199" s="258"/>
      <c r="J199" s="258"/>
      <c r="K199" s="258"/>
    </row>
    <row r="200" spans="1:13" ht="26.1" customHeight="1">
      <c r="A200" s="131"/>
      <c r="B200" s="169" t="s">
        <v>83</v>
      </c>
      <c r="C200" s="255">
        <f t="shared" si="8"/>
        <v>0</v>
      </c>
      <c r="D200" s="255">
        <f t="shared" si="8"/>
        <v>0</v>
      </c>
      <c r="E200" s="255">
        <f t="shared" si="8"/>
        <v>0</v>
      </c>
      <c r="F200" s="255">
        <f t="shared" si="8"/>
        <v>0</v>
      </c>
      <c r="G200" s="255">
        <f t="shared" si="8"/>
        <v>0</v>
      </c>
      <c r="H200" s="255">
        <f t="shared" si="8"/>
        <v>0</v>
      </c>
      <c r="I200" s="258"/>
      <c r="J200" s="258"/>
      <c r="K200" s="258"/>
    </row>
    <row r="201" spans="1:13" ht="26.1" customHeight="1">
      <c r="A201" s="131"/>
      <c r="B201" s="169" t="s">
        <v>84</v>
      </c>
      <c r="C201" s="255">
        <f t="shared" si="8"/>
        <v>2030500</v>
      </c>
      <c r="D201" s="255">
        <f t="shared" si="8"/>
        <v>9970515</v>
      </c>
      <c r="E201" s="255">
        <f t="shared" si="8"/>
        <v>2397540</v>
      </c>
      <c r="F201" s="255">
        <f t="shared" si="8"/>
        <v>14583948.507345</v>
      </c>
      <c r="G201" s="255">
        <f t="shared" si="8"/>
        <v>14867928.979171999</v>
      </c>
      <c r="H201" s="255">
        <f t="shared" si="8"/>
        <v>43850432.486517005</v>
      </c>
    </row>
    <row r="202" spans="1:13" ht="30">
      <c r="A202" s="129" t="str">
        <f>BugetComplet!F$510</f>
        <v>2.1</v>
      </c>
      <c r="B202" s="128" t="str">
        <f>BugetComplet!G$510</f>
        <v xml:space="preserve">Развивать и поддерживать современные подходы тестирования на ВИЧ для раннего выявления ВИЧ-инфекции (finding the positives) </v>
      </c>
      <c r="C202" s="256">
        <f>BugetComplet!Q510</f>
        <v>34828584.6624</v>
      </c>
      <c r="D202" s="256">
        <f>BugetComplet!R510</f>
        <v>35188291.281400003</v>
      </c>
      <c r="E202" s="256">
        <f>BugetComplet!S510</f>
        <v>35689320.335299999</v>
      </c>
      <c r="F202" s="256">
        <f>BugetComplet!T510</f>
        <v>35204279.215750001</v>
      </c>
      <c r="G202" s="256">
        <f>BugetComplet!U510</f>
        <v>35825166.384000003</v>
      </c>
      <c r="H202" s="256">
        <f>BugetComplet!V510</f>
        <v>176735641.87884998</v>
      </c>
      <c r="I202" s="258"/>
      <c r="J202" s="258"/>
      <c r="K202" s="258"/>
      <c r="L202" s="258"/>
      <c r="M202" s="258"/>
    </row>
    <row r="203" spans="1:13" ht="26.1" customHeight="1">
      <c r="A203" s="131"/>
      <c r="B203" s="168" t="s">
        <v>79</v>
      </c>
      <c r="C203" s="255">
        <f>C214+C225+C236+C247+C258</f>
        <v>34828584.6624</v>
      </c>
      <c r="D203" s="255">
        <f t="shared" ref="D203:G203" si="9">D214+D225+D236+D247+D258</f>
        <v>35188291.281400003</v>
      </c>
      <c r="E203" s="255">
        <f t="shared" si="9"/>
        <v>35689320.335299999</v>
      </c>
      <c r="F203" s="255">
        <f t="shared" si="9"/>
        <v>36255989.903574996</v>
      </c>
      <c r="G203" s="255">
        <f t="shared" si="9"/>
        <v>37039990.821699999</v>
      </c>
      <c r="H203" s="255">
        <f>H214+H225+H236+H247+H258</f>
        <v>179002177.00437501</v>
      </c>
      <c r="I203" s="258"/>
      <c r="J203" s="258"/>
      <c r="K203" s="258"/>
      <c r="L203" s="258"/>
      <c r="M203" s="258"/>
    </row>
    <row r="204" spans="1:13" ht="26.1" customHeight="1">
      <c r="A204" s="131"/>
      <c r="B204" s="169" t="s">
        <v>80</v>
      </c>
      <c r="C204" s="255">
        <f t="shared" ref="C204:G212" si="10">C215+C226+C237+C248+C259</f>
        <v>34828584.6624</v>
      </c>
      <c r="D204" s="255">
        <f t="shared" si="10"/>
        <v>35188291.281400003</v>
      </c>
      <c r="E204" s="255">
        <f t="shared" si="10"/>
        <v>35689320.335299999</v>
      </c>
      <c r="F204" s="255">
        <f t="shared" si="10"/>
        <v>35204279.215750001</v>
      </c>
      <c r="G204" s="255">
        <f t="shared" si="10"/>
        <v>35825166.384000003</v>
      </c>
      <c r="H204" s="255">
        <f t="shared" ref="H204" si="11">H215+H226+H237+H248+H259</f>
        <v>176735641.87884998</v>
      </c>
      <c r="I204" s="258"/>
      <c r="J204" s="258"/>
      <c r="K204" s="258"/>
      <c r="L204" s="258"/>
      <c r="M204" s="258"/>
    </row>
    <row r="205" spans="1:13" ht="26.1" customHeight="1">
      <c r="A205" s="131"/>
      <c r="B205" s="169" t="s">
        <v>429</v>
      </c>
      <c r="C205" s="255">
        <f t="shared" si="10"/>
        <v>4696878.7758999998</v>
      </c>
      <c r="D205" s="255">
        <f t="shared" si="10"/>
        <v>4859943.2195499996</v>
      </c>
      <c r="E205" s="255">
        <f t="shared" si="10"/>
        <v>5794093.5271999994</v>
      </c>
      <c r="F205" s="255">
        <f t="shared" si="10"/>
        <v>6195439.2157499995</v>
      </c>
      <c r="G205" s="255">
        <f t="shared" si="10"/>
        <v>6746326.3839999996</v>
      </c>
      <c r="H205" s="255">
        <f t="shared" ref="H205" si="12">H216+H227+H238+H249+H260</f>
        <v>28292681.122399997</v>
      </c>
    </row>
    <row r="206" spans="1:13" ht="26.1" customHeight="1">
      <c r="A206" s="131"/>
      <c r="B206" s="169" t="s">
        <v>133</v>
      </c>
      <c r="C206" s="255">
        <f t="shared" si="10"/>
        <v>978180</v>
      </c>
      <c r="D206" s="255">
        <f t="shared" si="10"/>
        <v>978180</v>
      </c>
      <c r="E206" s="255">
        <f t="shared" si="10"/>
        <v>978180</v>
      </c>
      <c r="F206" s="255">
        <f t="shared" si="10"/>
        <v>978180</v>
      </c>
      <c r="G206" s="255">
        <f t="shared" si="10"/>
        <v>978180</v>
      </c>
      <c r="H206" s="255">
        <f t="shared" ref="H206" si="13">H217+H228+H239+H250+H261</f>
        <v>4890900</v>
      </c>
    </row>
    <row r="207" spans="1:13" ht="26.1" customHeight="1">
      <c r="A207" s="131"/>
      <c r="B207" s="169" t="s">
        <v>81</v>
      </c>
      <c r="C207" s="255">
        <f t="shared" si="10"/>
        <v>0</v>
      </c>
      <c r="D207" s="255">
        <f t="shared" si="10"/>
        <v>0</v>
      </c>
      <c r="E207" s="255">
        <f t="shared" si="10"/>
        <v>0</v>
      </c>
      <c r="F207" s="255">
        <f t="shared" si="10"/>
        <v>0</v>
      </c>
      <c r="G207" s="255">
        <f t="shared" si="10"/>
        <v>0</v>
      </c>
      <c r="H207" s="255">
        <f t="shared" ref="H207" si="14">H218+H229+H240+H251+H262</f>
        <v>0</v>
      </c>
    </row>
    <row r="208" spans="1:13" ht="26.1" customHeight="1">
      <c r="A208" s="131"/>
      <c r="B208" s="169" t="s">
        <v>134</v>
      </c>
      <c r="C208" s="255">
        <f t="shared" si="10"/>
        <v>26910660</v>
      </c>
      <c r="D208" s="255">
        <f t="shared" si="10"/>
        <v>26910660</v>
      </c>
      <c r="E208" s="255">
        <f t="shared" si="10"/>
        <v>26910660</v>
      </c>
      <c r="F208" s="255">
        <f t="shared" si="10"/>
        <v>28030660</v>
      </c>
      <c r="G208" s="255">
        <f t="shared" si="10"/>
        <v>28100660</v>
      </c>
      <c r="H208" s="255">
        <f t="shared" ref="H208" si="15">H219+H230+H241+H252+H263</f>
        <v>136863300</v>
      </c>
    </row>
    <row r="209" spans="1:13" ht="26.1" customHeight="1">
      <c r="A209" s="131"/>
      <c r="B209" s="169" t="s">
        <v>82</v>
      </c>
      <c r="C209" s="255">
        <f t="shared" si="10"/>
        <v>1497369.8399999999</v>
      </c>
      <c r="D209" s="255">
        <f t="shared" si="10"/>
        <v>1621234.128</v>
      </c>
      <c r="E209" s="255">
        <f t="shared" si="10"/>
        <v>1079960</v>
      </c>
      <c r="F209" s="255">
        <f t="shared" si="10"/>
        <v>0</v>
      </c>
      <c r="G209" s="255">
        <f t="shared" si="10"/>
        <v>0</v>
      </c>
      <c r="H209" s="255">
        <f t="shared" ref="H209" si="16">H220+H231+H242+H253+H264</f>
        <v>4198563.9680000003</v>
      </c>
      <c r="I209" s="258"/>
      <c r="J209" s="258"/>
      <c r="K209" s="258"/>
    </row>
    <row r="210" spans="1:13" ht="26.1" customHeight="1">
      <c r="A210" s="131"/>
      <c r="B210" s="169" t="s">
        <v>90</v>
      </c>
      <c r="C210" s="255">
        <f t="shared" si="10"/>
        <v>745496.04649999994</v>
      </c>
      <c r="D210" s="255">
        <f t="shared" si="10"/>
        <v>818273.93385000003</v>
      </c>
      <c r="E210" s="255">
        <f t="shared" si="10"/>
        <v>926426.80810000002</v>
      </c>
      <c r="F210" s="255">
        <f t="shared" si="10"/>
        <v>0</v>
      </c>
      <c r="G210" s="255">
        <f t="shared" si="10"/>
        <v>0</v>
      </c>
      <c r="H210" s="255">
        <f t="shared" ref="H210" si="17">H221+H232+H243+H254+H265</f>
        <v>2490196.7884499999</v>
      </c>
      <c r="I210" s="258"/>
      <c r="J210" s="258"/>
      <c r="K210" s="258"/>
    </row>
    <row r="211" spans="1:13" ht="26.1" customHeight="1">
      <c r="A211" s="131"/>
      <c r="B211" s="169" t="s">
        <v>83</v>
      </c>
      <c r="C211" s="255">
        <f t="shared" si="10"/>
        <v>0</v>
      </c>
      <c r="D211" s="255">
        <f t="shared" si="10"/>
        <v>0</v>
      </c>
      <c r="E211" s="255">
        <f t="shared" si="10"/>
        <v>0</v>
      </c>
      <c r="F211" s="255">
        <f t="shared" si="10"/>
        <v>0</v>
      </c>
      <c r="G211" s="255">
        <f t="shared" si="10"/>
        <v>0</v>
      </c>
      <c r="H211" s="255">
        <f t="shared" ref="H211" si="18">H222+H233+H244+H255+H266</f>
        <v>0</v>
      </c>
      <c r="I211" s="258"/>
      <c r="J211" s="258"/>
      <c r="K211" s="258"/>
    </row>
    <row r="212" spans="1:13" ht="26.1" customHeight="1">
      <c r="A212" s="131"/>
      <c r="B212" s="169" t="s">
        <v>84</v>
      </c>
      <c r="C212" s="255">
        <f>C223+C234+C245+C256+C267</f>
        <v>0</v>
      </c>
      <c r="D212" s="255">
        <f t="shared" si="10"/>
        <v>0</v>
      </c>
      <c r="E212" s="255">
        <f t="shared" si="10"/>
        <v>0</v>
      </c>
      <c r="F212" s="255">
        <f t="shared" si="10"/>
        <v>1051710.6878249999</v>
      </c>
      <c r="G212" s="255">
        <f t="shared" si="10"/>
        <v>1214824.4377000001</v>
      </c>
      <c r="H212" s="255">
        <f t="shared" ref="H212" si="19">H223+H234+H245+H256+H267</f>
        <v>2266535.1255250024</v>
      </c>
    </row>
    <row r="213" spans="1:13" ht="36" customHeight="1">
      <c r="A213" s="137" t="str">
        <f>BugetComplet!F$511</f>
        <v>2.1.1</v>
      </c>
      <c r="B213" s="139" t="str">
        <f>BugetComplet!G$511</f>
        <v>Обеспечение всеобщего доступа к услугам по тестированию на ВИЧ и ИППП для групп риска</v>
      </c>
      <c r="C213" s="255">
        <f>BugetComplet!Q$511</f>
        <v>1117934.8463999999</v>
      </c>
      <c r="D213" s="255">
        <f>BugetComplet!R$511</f>
        <v>1254556.8269999998</v>
      </c>
      <c r="E213" s="255">
        <f>BugetComplet!S$511</f>
        <v>1514402.8616999998</v>
      </c>
      <c r="F213" s="255">
        <f>BugetComplet!T$511</f>
        <v>1336506.0773499999</v>
      </c>
      <c r="G213" s="255">
        <f>BugetComplet!U$511</f>
        <v>1680379.4239999999</v>
      </c>
      <c r="H213" s="255">
        <f>BugetComplet!V$511</f>
        <v>6903780.0364499995</v>
      </c>
      <c r="I213" s="258"/>
      <c r="J213" s="258"/>
      <c r="K213" s="258"/>
      <c r="L213" s="258"/>
      <c r="M213" s="258"/>
    </row>
    <row r="214" spans="1:13" ht="26.1" customHeight="1">
      <c r="A214" s="131"/>
      <c r="B214" s="168" t="s">
        <v>79</v>
      </c>
      <c r="C214" s="255">
        <f>BugetComplet!Q512+BugetComplet!Q522+BugetComplet!Q532+BugetComplet!Q542+BugetComplet!Q552</f>
        <v>1117934.8463999999</v>
      </c>
      <c r="D214" s="255">
        <f>BugetComplet!R512+BugetComplet!R522+BugetComplet!R532+BugetComplet!R542+BugetComplet!R552</f>
        <v>1254556.8269999998</v>
      </c>
      <c r="E214" s="255">
        <f>BugetComplet!S512+BugetComplet!S522+BugetComplet!S532+BugetComplet!S542+BugetComplet!S552</f>
        <v>1514402.8616999998</v>
      </c>
      <c r="F214" s="255">
        <f>BugetComplet!T512+BugetComplet!T522+BugetComplet!T532+BugetComplet!T542+BugetComplet!T552</f>
        <v>1781499.9788550003</v>
      </c>
      <c r="G214" s="255">
        <f>BugetComplet!U512+BugetComplet!U522+BugetComplet!U532+BugetComplet!U542+BugetComplet!U552</f>
        <v>2232121.9976999997</v>
      </c>
      <c r="H214" s="255">
        <f>BugetComplet!V512+BugetComplet!V522+BugetComplet!V532+BugetComplet!V542+BugetComplet!V552</f>
        <v>7900516.511655001</v>
      </c>
      <c r="I214" s="258"/>
      <c r="J214" s="258"/>
      <c r="K214" s="258"/>
      <c r="L214" s="258"/>
      <c r="M214" s="258"/>
    </row>
    <row r="215" spans="1:13" ht="26.1" customHeight="1">
      <c r="A215" s="131"/>
      <c r="B215" s="169" t="s">
        <v>80</v>
      </c>
      <c r="C215" s="255">
        <f>BugetComplet!Q513+BugetComplet!Q523+BugetComplet!Q533+BugetComplet!Q543+BugetComplet!Q553</f>
        <v>1117934.8463999999</v>
      </c>
      <c r="D215" s="255">
        <f>BugetComplet!R513+BugetComplet!R523+BugetComplet!R533+BugetComplet!R543+BugetComplet!R553</f>
        <v>1254556.8269999998</v>
      </c>
      <c r="E215" s="255">
        <f>BugetComplet!S513+BugetComplet!S523+BugetComplet!S533+BugetComplet!S543+BugetComplet!S553</f>
        <v>1514402.8616999998</v>
      </c>
      <c r="F215" s="255">
        <f>BugetComplet!T513+BugetComplet!T523+BugetComplet!T533+BugetComplet!T543+BugetComplet!T553</f>
        <v>1336506.0773499999</v>
      </c>
      <c r="G215" s="255">
        <f>BugetComplet!U513+BugetComplet!U523+BugetComplet!U533+BugetComplet!U543+BugetComplet!U553</f>
        <v>1680379.4239999999</v>
      </c>
      <c r="H215" s="255">
        <f>BugetComplet!V513+BugetComplet!V523+BugetComplet!V533+BugetComplet!V543+BugetComplet!V553</f>
        <v>6903780.0364499995</v>
      </c>
      <c r="I215" s="258"/>
      <c r="J215" s="258"/>
      <c r="K215" s="258"/>
      <c r="L215" s="258"/>
      <c r="M215" s="258"/>
    </row>
    <row r="216" spans="1:13" ht="26.1" customHeight="1">
      <c r="A216" s="131"/>
      <c r="B216" s="169" t="s">
        <v>429</v>
      </c>
      <c r="C216" s="255">
        <f>BugetComplet!Q514+BugetComplet!Q524+BugetComplet!Q534+BugetComplet!Q544+BugetComplet!Q554</f>
        <v>821133.77590000001</v>
      </c>
      <c r="D216" s="255">
        <f>BugetComplet!R514+BugetComplet!R524+BugetComplet!R534+BugetComplet!R544+BugetComplet!R554</f>
        <v>921923.21954999992</v>
      </c>
      <c r="E216" s="255">
        <f>BugetComplet!S514+BugetComplet!S524+BugetComplet!S534+BugetComplet!S544+BugetComplet!S554</f>
        <v>1115098.3351999999</v>
      </c>
      <c r="F216" s="255">
        <f>BugetComplet!T514+BugetComplet!T524+BugetComplet!T534+BugetComplet!T544+BugetComplet!T554</f>
        <v>1336506.0773499999</v>
      </c>
      <c r="G216" s="255">
        <f>BugetComplet!U514+BugetComplet!U524+BugetComplet!U534+BugetComplet!U544+BugetComplet!U554</f>
        <v>1680379.4239999999</v>
      </c>
      <c r="H216" s="255">
        <f>BugetComplet!V514+BugetComplet!V524+BugetComplet!V534+BugetComplet!V544+BugetComplet!V554</f>
        <v>5875040.8319999995</v>
      </c>
    </row>
    <row r="217" spans="1:13" ht="26.1" customHeight="1">
      <c r="A217" s="131"/>
      <c r="B217" s="169" t="s">
        <v>133</v>
      </c>
      <c r="C217" s="255">
        <f>BugetComplet!Q515+BugetComplet!Q525+BugetComplet!Q535+BugetComplet!Q545+BugetComplet!Q555</f>
        <v>0</v>
      </c>
      <c r="D217" s="255">
        <f>BugetComplet!R515+BugetComplet!R525+BugetComplet!R535+BugetComplet!R545+BugetComplet!R555</f>
        <v>0</v>
      </c>
      <c r="E217" s="255">
        <f>BugetComplet!S515+BugetComplet!S525+BugetComplet!S535+BugetComplet!S545+BugetComplet!S555</f>
        <v>0</v>
      </c>
      <c r="F217" s="255">
        <f>BugetComplet!T515+BugetComplet!T525+BugetComplet!T535+BugetComplet!T545+BugetComplet!T555</f>
        <v>0</v>
      </c>
      <c r="G217" s="255">
        <f>BugetComplet!U515+BugetComplet!U525+BugetComplet!U535+BugetComplet!U545+BugetComplet!U555</f>
        <v>0</v>
      </c>
      <c r="H217" s="255">
        <f>BugetComplet!V515+BugetComplet!V525+BugetComplet!V535+BugetComplet!V545+BugetComplet!V555</f>
        <v>0</v>
      </c>
    </row>
    <row r="218" spans="1:13" ht="26.1" customHeight="1">
      <c r="A218" s="131"/>
      <c r="B218" s="169" t="s">
        <v>81</v>
      </c>
      <c r="C218" s="255">
        <f>BugetComplet!Q516+BugetComplet!Q526+BugetComplet!Q536+BugetComplet!Q546+BugetComplet!Q556</f>
        <v>0</v>
      </c>
      <c r="D218" s="255">
        <f>BugetComplet!R516+BugetComplet!R526+BugetComplet!R536+BugetComplet!R546+BugetComplet!R556</f>
        <v>0</v>
      </c>
      <c r="E218" s="255">
        <f>BugetComplet!S516+BugetComplet!S526+BugetComplet!S536+BugetComplet!S546+BugetComplet!S556</f>
        <v>0</v>
      </c>
      <c r="F218" s="255">
        <f>BugetComplet!T516+BugetComplet!T526+BugetComplet!T536+BugetComplet!T546+BugetComplet!T556</f>
        <v>0</v>
      </c>
      <c r="G218" s="255">
        <f>BugetComplet!U516+BugetComplet!U526+BugetComplet!U536+BugetComplet!U546+BugetComplet!U556</f>
        <v>0</v>
      </c>
      <c r="H218" s="255">
        <f>BugetComplet!V516+BugetComplet!V526+BugetComplet!V536+BugetComplet!V546+BugetComplet!V556</f>
        <v>0</v>
      </c>
    </row>
    <row r="219" spans="1:13" ht="26.1" customHeight="1">
      <c r="A219" s="131"/>
      <c r="B219" s="169" t="s">
        <v>134</v>
      </c>
      <c r="C219" s="255">
        <f>BugetComplet!Q517+BugetComplet!Q527+BugetComplet!Q537+BugetComplet!Q547+BugetComplet!Q557</f>
        <v>0</v>
      </c>
      <c r="D219" s="255">
        <f>BugetComplet!R517+BugetComplet!R527+BugetComplet!R537+BugetComplet!R547+BugetComplet!R557</f>
        <v>0</v>
      </c>
      <c r="E219" s="255">
        <f>BugetComplet!S517+BugetComplet!S527+BugetComplet!S537+BugetComplet!S547+BugetComplet!S557</f>
        <v>0</v>
      </c>
      <c r="F219" s="255">
        <f>BugetComplet!T517+BugetComplet!T527+BugetComplet!T537+BugetComplet!T547+BugetComplet!T557</f>
        <v>0</v>
      </c>
      <c r="G219" s="255">
        <f>BugetComplet!U517+BugetComplet!U527+BugetComplet!U537+BugetComplet!U547+BugetComplet!U557</f>
        <v>0</v>
      </c>
      <c r="H219" s="255">
        <f>BugetComplet!V517+BugetComplet!V527+BugetComplet!V537+BugetComplet!V547+BugetComplet!V557</f>
        <v>0</v>
      </c>
    </row>
    <row r="220" spans="1:13" ht="26.1" customHeight="1">
      <c r="A220" s="131"/>
      <c r="B220" s="169" t="s">
        <v>82</v>
      </c>
      <c r="C220" s="255">
        <f>BugetComplet!Q518+BugetComplet!Q528+BugetComplet!Q538+BugetComplet!Q548+BugetComplet!Q558</f>
        <v>0</v>
      </c>
      <c r="D220" s="255">
        <f>BugetComplet!R518+BugetComplet!R528+BugetComplet!R538+BugetComplet!R548+BugetComplet!R558</f>
        <v>0</v>
      </c>
      <c r="E220" s="255">
        <f>BugetComplet!S518+BugetComplet!S528+BugetComplet!S538+BugetComplet!S548+BugetComplet!S558</f>
        <v>0</v>
      </c>
      <c r="F220" s="255">
        <f>BugetComplet!T518+BugetComplet!T528+BugetComplet!T538+BugetComplet!T548+BugetComplet!T558</f>
        <v>0</v>
      </c>
      <c r="G220" s="255">
        <f>BugetComplet!U518+BugetComplet!U528+BugetComplet!U538+BugetComplet!U548+BugetComplet!U558</f>
        <v>0</v>
      </c>
      <c r="H220" s="255">
        <f>BugetComplet!V518+BugetComplet!V528+BugetComplet!V538+BugetComplet!V548+BugetComplet!V558</f>
        <v>0</v>
      </c>
    </row>
    <row r="221" spans="1:13" ht="26.1" customHeight="1">
      <c r="A221" s="131"/>
      <c r="B221" s="169" t="s">
        <v>90</v>
      </c>
      <c r="C221" s="255">
        <f>BugetComplet!Q519+BugetComplet!Q529+BugetComplet!Q539+BugetComplet!Q549+BugetComplet!Q559</f>
        <v>296801.07049999997</v>
      </c>
      <c r="D221" s="255">
        <f>BugetComplet!R519+BugetComplet!R529+BugetComplet!R539+BugetComplet!R549+BugetComplet!R559</f>
        <v>332633.60745000001</v>
      </c>
      <c r="E221" s="255">
        <f>BugetComplet!S519+BugetComplet!S529+BugetComplet!S539+BugetComplet!S549+BugetComplet!S559</f>
        <v>399304.52650000004</v>
      </c>
      <c r="F221" s="255">
        <f>BugetComplet!T519+BugetComplet!T529+BugetComplet!T539+BugetComplet!T549+BugetComplet!T559</f>
        <v>0</v>
      </c>
      <c r="G221" s="255">
        <f>BugetComplet!U519+BugetComplet!U529+BugetComplet!U539+BugetComplet!U549+BugetComplet!U559</f>
        <v>0</v>
      </c>
      <c r="H221" s="255">
        <f>BugetComplet!V519+BugetComplet!V529+BugetComplet!V539+BugetComplet!V549+BugetComplet!V559</f>
        <v>1028739.2044500001</v>
      </c>
    </row>
    <row r="222" spans="1:13" ht="26.1" customHeight="1">
      <c r="A222" s="131"/>
      <c r="B222" s="169" t="s">
        <v>83</v>
      </c>
      <c r="C222" s="255">
        <f>BugetComplet!Q520+BugetComplet!Q530+BugetComplet!Q540+BugetComplet!Q550+BugetComplet!Q560</f>
        <v>0</v>
      </c>
      <c r="D222" s="255">
        <f>BugetComplet!R520+BugetComplet!R530+BugetComplet!R540+BugetComplet!R550+BugetComplet!R560</f>
        <v>0</v>
      </c>
      <c r="E222" s="255">
        <f>BugetComplet!S520+BugetComplet!S530+BugetComplet!S540+BugetComplet!S550+BugetComplet!S560</f>
        <v>0</v>
      </c>
      <c r="F222" s="255">
        <f>BugetComplet!T520+BugetComplet!T530+BugetComplet!T540+BugetComplet!T550+BugetComplet!T560</f>
        <v>0</v>
      </c>
      <c r="G222" s="255">
        <f>BugetComplet!U520+BugetComplet!U530+BugetComplet!U540+BugetComplet!U550+BugetComplet!U560</f>
        <v>0</v>
      </c>
      <c r="H222" s="255">
        <f>BugetComplet!V520+BugetComplet!V530+BugetComplet!V540+BugetComplet!V550+BugetComplet!V560</f>
        <v>0</v>
      </c>
    </row>
    <row r="223" spans="1:13" ht="26.1" customHeight="1">
      <c r="A223" s="131"/>
      <c r="B223" s="169" t="s">
        <v>84</v>
      </c>
      <c r="C223" s="255">
        <f>BugetComplet!Q521+BugetComplet!Q531+BugetComplet!Q541+BugetComplet!Q551+BugetComplet!Q561</f>
        <v>0</v>
      </c>
      <c r="D223" s="255">
        <f>BugetComplet!R521+BugetComplet!R531+BugetComplet!R541+BugetComplet!R551+BugetComplet!R561</f>
        <v>0</v>
      </c>
      <c r="E223" s="255">
        <f>BugetComplet!S521+BugetComplet!S531+BugetComplet!S541+BugetComplet!S551+BugetComplet!S561</f>
        <v>0</v>
      </c>
      <c r="F223" s="255">
        <f>BugetComplet!T521+BugetComplet!T531+BugetComplet!T541+BugetComplet!T551+BugetComplet!T561</f>
        <v>444993.90150500002</v>
      </c>
      <c r="G223" s="255">
        <f>BugetComplet!U521+BugetComplet!U531+BugetComplet!U541+BugetComplet!U551+BugetComplet!U561</f>
        <v>551742.57369999995</v>
      </c>
      <c r="H223" s="255">
        <f>BugetComplet!V521+BugetComplet!V531+BugetComplet!V541+BugetComplet!V551+BugetComplet!V561</f>
        <v>996736.47520500096</v>
      </c>
    </row>
    <row r="224" spans="1:13" ht="36" customHeight="1">
      <c r="A224" s="137" t="str">
        <f>BugetComplet!F$562</f>
        <v>2.1.2</v>
      </c>
      <c r="B224" s="139" t="str">
        <f>BugetComplet!G$562</f>
        <v>Обеспечение всеобщего доступа к  тестированию на ВИЧ и ИППП образцов крови, собранных в Службе переливания крови</v>
      </c>
      <c r="C224" s="255">
        <f>BugetComplet!Q$562</f>
        <v>0</v>
      </c>
      <c r="D224" s="255">
        <f>BugetComplet!R$562</f>
        <v>0</v>
      </c>
      <c r="E224" s="255">
        <f>BugetComplet!S$562</f>
        <v>0</v>
      </c>
      <c r="F224" s="255">
        <f>BugetComplet!T$562</f>
        <v>0</v>
      </c>
      <c r="G224" s="255">
        <f>BugetComplet!U$562</f>
        <v>0</v>
      </c>
      <c r="H224" s="255">
        <f>BugetComplet!V$562</f>
        <v>0</v>
      </c>
      <c r="I224" s="258"/>
      <c r="J224" s="258"/>
      <c r="K224" s="258"/>
      <c r="L224" s="258"/>
      <c r="M224" s="258"/>
    </row>
    <row r="225" spans="1:13" ht="26.1" customHeight="1">
      <c r="A225" s="131"/>
      <c r="B225" s="168" t="s">
        <v>79</v>
      </c>
      <c r="C225" s="255">
        <f>BugetComplet!Q563</f>
        <v>0</v>
      </c>
      <c r="D225" s="255">
        <f>BugetComplet!R563</f>
        <v>0</v>
      </c>
      <c r="E225" s="255">
        <f>BugetComplet!S563</f>
        <v>0</v>
      </c>
      <c r="F225" s="255">
        <f>BugetComplet!T563</f>
        <v>0</v>
      </c>
      <c r="G225" s="255">
        <f>BugetComplet!U563</f>
        <v>0</v>
      </c>
      <c r="H225" s="255">
        <f>BugetComplet!V563</f>
        <v>0</v>
      </c>
      <c r="I225" s="258"/>
      <c r="J225" s="258"/>
      <c r="K225" s="258"/>
      <c r="L225" s="258"/>
      <c r="M225" s="258"/>
    </row>
    <row r="226" spans="1:13" ht="26.1" customHeight="1">
      <c r="A226" s="131"/>
      <c r="B226" s="169" t="s">
        <v>80</v>
      </c>
      <c r="C226" s="255">
        <f>BugetComplet!Q564</f>
        <v>0</v>
      </c>
      <c r="D226" s="255">
        <f>BugetComplet!R564</f>
        <v>0</v>
      </c>
      <c r="E226" s="255">
        <f>BugetComplet!S564</f>
        <v>0</v>
      </c>
      <c r="F226" s="255">
        <f>BugetComplet!T564</f>
        <v>0</v>
      </c>
      <c r="G226" s="255">
        <f>BugetComplet!U564</f>
        <v>0</v>
      </c>
      <c r="H226" s="255">
        <f>BugetComplet!V564</f>
        <v>0</v>
      </c>
      <c r="I226" s="258"/>
      <c r="J226" s="258"/>
      <c r="K226" s="258"/>
      <c r="L226" s="258"/>
      <c r="M226" s="258"/>
    </row>
    <row r="227" spans="1:13" ht="26.1" customHeight="1">
      <c r="A227" s="131"/>
      <c r="B227" s="169" t="s">
        <v>429</v>
      </c>
      <c r="C227" s="255">
        <f>BugetComplet!Q565</f>
        <v>0</v>
      </c>
      <c r="D227" s="255">
        <f>BugetComplet!R565</f>
        <v>0</v>
      </c>
      <c r="E227" s="255">
        <f>BugetComplet!S565</f>
        <v>0</v>
      </c>
      <c r="F227" s="255">
        <f>BugetComplet!T565</f>
        <v>0</v>
      </c>
      <c r="G227" s="255">
        <f>BugetComplet!U565</f>
        <v>0</v>
      </c>
      <c r="H227" s="255">
        <f>BugetComplet!V565</f>
        <v>0</v>
      </c>
    </row>
    <row r="228" spans="1:13" ht="26.1" customHeight="1">
      <c r="A228" s="131"/>
      <c r="B228" s="169" t="s">
        <v>133</v>
      </c>
      <c r="C228" s="255">
        <f>BugetComplet!Q566</f>
        <v>0</v>
      </c>
      <c r="D228" s="255">
        <f>BugetComplet!R566</f>
        <v>0</v>
      </c>
      <c r="E228" s="255">
        <f>BugetComplet!S566</f>
        <v>0</v>
      </c>
      <c r="F228" s="255">
        <f>BugetComplet!T566</f>
        <v>0</v>
      </c>
      <c r="G228" s="255">
        <f>BugetComplet!U566</f>
        <v>0</v>
      </c>
      <c r="H228" s="255">
        <f>BugetComplet!V566</f>
        <v>0</v>
      </c>
    </row>
    <row r="229" spans="1:13" ht="26.1" customHeight="1">
      <c r="A229" s="131"/>
      <c r="B229" s="169" t="s">
        <v>81</v>
      </c>
      <c r="C229" s="255">
        <f>BugetComplet!Q567</f>
        <v>0</v>
      </c>
      <c r="D229" s="255">
        <f>BugetComplet!R567</f>
        <v>0</v>
      </c>
      <c r="E229" s="255">
        <f>BugetComplet!S567</f>
        <v>0</v>
      </c>
      <c r="F229" s="255">
        <f>BugetComplet!T567</f>
        <v>0</v>
      </c>
      <c r="G229" s="255">
        <f>BugetComplet!U567</f>
        <v>0</v>
      </c>
      <c r="H229" s="255">
        <f>BugetComplet!V567</f>
        <v>0</v>
      </c>
    </row>
    <row r="230" spans="1:13" ht="26.1" customHeight="1">
      <c r="A230" s="131"/>
      <c r="B230" s="169" t="s">
        <v>134</v>
      </c>
      <c r="C230" s="255">
        <f>BugetComplet!Q568</f>
        <v>0</v>
      </c>
      <c r="D230" s="255">
        <f>BugetComplet!R568</f>
        <v>0</v>
      </c>
      <c r="E230" s="255">
        <f>BugetComplet!S568</f>
        <v>0</v>
      </c>
      <c r="F230" s="255">
        <f>BugetComplet!T568</f>
        <v>0</v>
      </c>
      <c r="G230" s="255">
        <f>BugetComplet!U568</f>
        <v>0</v>
      </c>
      <c r="H230" s="255">
        <f>BugetComplet!V568</f>
        <v>0</v>
      </c>
    </row>
    <row r="231" spans="1:13" ht="26.1" customHeight="1">
      <c r="A231" s="131"/>
      <c r="B231" s="169" t="s">
        <v>82</v>
      </c>
      <c r="C231" s="255">
        <f>BugetComplet!Q569</f>
        <v>0</v>
      </c>
      <c r="D231" s="255">
        <f>BugetComplet!R569</f>
        <v>0</v>
      </c>
      <c r="E231" s="255">
        <f>BugetComplet!S569</f>
        <v>0</v>
      </c>
      <c r="F231" s="255">
        <f>BugetComplet!T569</f>
        <v>0</v>
      </c>
      <c r="G231" s="255">
        <f>BugetComplet!U569</f>
        <v>0</v>
      </c>
      <c r="H231" s="255">
        <f>BugetComplet!V569</f>
        <v>0</v>
      </c>
    </row>
    <row r="232" spans="1:13" ht="26.1" customHeight="1">
      <c r="A232" s="131"/>
      <c r="B232" s="169" t="s">
        <v>90</v>
      </c>
      <c r="C232" s="255">
        <f>BugetComplet!Q570</f>
        <v>0</v>
      </c>
      <c r="D232" s="255">
        <f>BugetComplet!R570</f>
        <v>0</v>
      </c>
      <c r="E232" s="255">
        <f>BugetComplet!S570</f>
        <v>0</v>
      </c>
      <c r="F232" s="255">
        <f>BugetComplet!T570</f>
        <v>0</v>
      </c>
      <c r="G232" s="255">
        <f>BugetComplet!U570</f>
        <v>0</v>
      </c>
      <c r="H232" s="255">
        <f>BugetComplet!V570</f>
        <v>0</v>
      </c>
    </row>
    <row r="233" spans="1:13" ht="26.1" customHeight="1">
      <c r="A233" s="131"/>
      <c r="B233" s="169" t="s">
        <v>83</v>
      </c>
      <c r="C233" s="255">
        <f>BugetComplet!Q571</f>
        <v>0</v>
      </c>
      <c r="D233" s="255">
        <f>BugetComplet!R571</f>
        <v>0</v>
      </c>
      <c r="E233" s="255">
        <f>BugetComplet!S571</f>
        <v>0</v>
      </c>
      <c r="F233" s="255">
        <f>BugetComplet!T571</f>
        <v>0</v>
      </c>
      <c r="G233" s="255">
        <f>BugetComplet!U571</f>
        <v>0</v>
      </c>
      <c r="H233" s="255">
        <f>BugetComplet!V571</f>
        <v>0</v>
      </c>
    </row>
    <row r="234" spans="1:13" ht="26.1" customHeight="1">
      <c r="A234" s="131"/>
      <c r="B234" s="169" t="s">
        <v>84</v>
      </c>
      <c r="C234" s="255">
        <f>BugetComplet!Q572</f>
        <v>0</v>
      </c>
      <c r="D234" s="255">
        <f>BugetComplet!R572</f>
        <v>0</v>
      </c>
      <c r="E234" s="255">
        <f>BugetComplet!S572</f>
        <v>0</v>
      </c>
      <c r="F234" s="255">
        <f>BugetComplet!T572</f>
        <v>0</v>
      </c>
      <c r="G234" s="255">
        <f>BugetComplet!U572</f>
        <v>0</v>
      </c>
      <c r="H234" s="255">
        <f>BugetComplet!V572</f>
        <v>0</v>
      </c>
    </row>
    <row r="235" spans="1:13" ht="36" customHeight="1">
      <c r="A235" s="137" t="str">
        <f>BugetComplet!F573</f>
        <v>2.1.3</v>
      </c>
      <c r="B235" s="139" t="str">
        <f>BugetComplet!G573</f>
        <v>Обеспечение всеобщего доступа к услугам по тестированию на ВИЧ и ИППП по инициативе медицинского работника  (клинические показания, бюрократия и т. Д.)</v>
      </c>
      <c r="C235" s="255">
        <f>BugetComplet!Q573</f>
        <v>31764585</v>
      </c>
      <c r="D235" s="255">
        <f>BugetComplet!R573</f>
        <v>31826860</v>
      </c>
      <c r="E235" s="255">
        <f>BugetComplet!S573</f>
        <v>31890435</v>
      </c>
      <c r="F235" s="255">
        <f>BugetComplet!T573</f>
        <v>31954835</v>
      </c>
      <c r="G235" s="255">
        <f>BugetComplet!U573</f>
        <v>32020520</v>
      </c>
      <c r="H235" s="255">
        <f>BugetComplet!V573</f>
        <v>159457235</v>
      </c>
      <c r="I235" s="258"/>
      <c r="J235" s="258"/>
      <c r="K235" s="258"/>
      <c r="L235" s="258"/>
      <c r="M235" s="258"/>
    </row>
    <row r="236" spans="1:13" ht="26.1" customHeight="1">
      <c r="A236" s="131"/>
      <c r="B236" s="168" t="s">
        <v>79</v>
      </c>
      <c r="C236" s="255">
        <f>BugetComplet!Q574+BugetComplet!Q584+BugetComplet!Q594+BugetComplet!Q604+BugetComplet!Q614</f>
        <v>31764585</v>
      </c>
      <c r="D236" s="255">
        <f>BugetComplet!R574+BugetComplet!R584+BugetComplet!R594+BugetComplet!R604+BugetComplet!R614</f>
        <v>31826860</v>
      </c>
      <c r="E236" s="255">
        <f>BugetComplet!S574+BugetComplet!S584+BugetComplet!S594+BugetComplet!S604+BugetComplet!S614</f>
        <v>31890435</v>
      </c>
      <c r="F236" s="255">
        <f>BugetComplet!T574+BugetComplet!T584+BugetComplet!T594+BugetComplet!T604+BugetComplet!T614</f>
        <v>31954835</v>
      </c>
      <c r="G236" s="255">
        <f>BugetComplet!U574+BugetComplet!U584+BugetComplet!U594+BugetComplet!U604+BugetComplet!U614</f>
        <v>32020520</v>
      </c>
      <c r="H236" s="255">
        <f>BugetComplet!V574+BugetComplet!V584+BugetComplet!V594+BugetComplet!V604+BugetComplet!V614</f>
        <v>159457235</v>
      </c>
      <c r="I236" s="258"/>
      <c r="J236" s="258"/>
      <c r="K236" s="258"/>
      <c r="L236" s="258"/>
      <c r="M236" s="258"/>
    </row>
    <row r="237" spans="1:13" ht="26.1" customHeight="1">
      <c r="A237" s="131"/>
      <c r="B237" s="169" t="s">
        <v>80</v>
      </c>
      <c r="C237" s="255">
        <f>BugetComplet!Q575+BugetComplet!Q585+BugetComplet!Q595+BugetComplet!Q605+BugetComplet!Q615</f>
        <v>31764585</v>
      </c>
      <c r="D237" s="255">
        <f>BugetComplet!R575+BugetComplet!R585+BugetComplet!R595+BugetComplet!R605+BugetComplet!R615</f>
        <v>31826860</v>
      </c>
      <c r="E237" s="255">
        <f>BugetComplet!S575+BugetComplet!S585+BugetComplet!S595+BugetComplet!S605+BugetComplet!S615</f>
        <v>31890435</v>
      </c>
      <c r="F237" s="255">
        <f>BugetComplet!T575+BugetComplet!T585+BugetComplet!T595+BugetComplet!T605+BugetComplet!T615</f>
        <v>31954835</v>
      </c>
      <c r="G237" s="255">
        <f>BugetComplet!U575+BugetComplet!U585+BugetComplet!U595+BugetComplet!U605+BugetComplet!U615</f>
        <v>32020520</v>
      </c>
      <c r="H237" s="255">
        <f>BugetComplet!V575+BugetComplet!V585+BugetComplet!V595+BugetComplet!V605+BugetComplet!V615</f>
        <v>159457235</v>
      </c>
      <c r="I237" s="258"/>
      <c r="J237" s="258"/>
      <c r="K237" s="258"/>
      <c r="L237" s="258"/>
      <c r="M237" s="258"/>
    </row>
    <row r="238" spans="1:13" ht="26.1" customHeight="1">
      <c r="A238" s="131"/>
      <c r="B238" s="169" t="s">
        <v>429</v>
      </c>
      <c r="C238" s="255">
        <f>BugetComplet!Q576+BugetComplet!Q586+BugetComplet!Q596+BugetComplet!Q606+BugetComplet!Q616</f>
        <v>3875745</v>
      </c>
      <c r="D238" s="255">
        <f>BugetComplet!R576+BugetComplet!R586+BugetComplet!R596+BugetComplet!R606+BugetComplet!R616</f>
        <v>3938020</v>
      </c>
      <c r="E238" s="255">
        <f>BugetComplet!S576+BugetComplet!S586+BugetComplet!S596+BugetComplet!S606+BugetComplet!S616</f>
        <v>4001595</v>
      </c>
      <c r="F238" s="255">
        <f>BugetComplet!T576+BugetComplet!T586+BugetComplet!T596+BugetComplet!T606+BugetComplet!T616</f>
        <v>4065995</v>
      </c>
      <c r="G238" s="255">
        <f>BugetComplet!U576+BugetComplet!U586+BugetComplet!U596+BugetComplet!U606+BugetComplet!U616</f>
        <v>4131680</v>
      </c>
      <c r="H238" s="255">
        <f>BugetComplet!V576+BugetComplet!V586+BugetComplet!V596+BugetComplet!V606+BugetComplet!V616</f>
        <v>20013035</v>
      </c>
    </row>
    <row r="239" spans="1:13" ht="26.1" customHeight="1">
      <c r="A239" s="131"/>
      <c r="B239" s="169" t="s">
        <v>133</v>
      </c>
      <c r="C239" s="255">
        <f>BugetComplet!Q577+BugetComplet!Q587+BugetComplet!Q597+BugetComplet!Q607+BugetComplet!Q617</f>
        <v>978180</v>
      </c>
      <c r="D239" s="255">
        <f>BugetComplet!R577+BugetComplet!R587+BugetComplet!R597+BugetComplet!R607+BugetComplet!R617</f>
        <v>978180</v>
      </c>
      <c r="E239" s="255">
        <f>BugetComplet!S577+BugetComplet!S587+BugetComplet!S597+BugetComplet!S607+BugetComplet!S617</f>
        <v>978180</v>
      </c>
      <c r="F239" s="255">
        <f>BugetComplet!T577+BugetComplet!T587+BugetComplet!T597+BugetComplet!T607+BugetComplet!T617</f>
        <v>978180</v>
      </c>
      <c r="G239" s="255">
        <f>BugetComplet!U577+BugetComplet!U587+BugetComplet!U597+BugetComplet!U607+BugetComplet!U617</f>
        <v>978180</v>
      </c>
      <c r="H239" s="255">
        <f>BugetComplet!V577+BugetComplet!V587+BugetComplet!V597+BugetComplet!V607+BugetComplet!V617</f>
        <v>4890900</v>
      </c>
    </row>
    <row r="240" spans="1:13" ht="26.1" customHeight="1">
      <c r="A240" s="131"/>
      <c r="B240" s="169" t="s">
        <v>81</v>
      </c>
      <c r="C240" s="255">
        <f>BugetComplet!Q578+BugetComplet!Q588+BugetComplet!Q598+BugetComplet!Q608+BugetComplet!Q618</f>
        <v>0</v>
      </c>
      <c r="D240" s="255">
        <f>BugetComplet!R578+BugetComplet!R588+BugetComplet!R598+BugetComplet!R608+BugetComplet!R618</f>
        <v>0</v>
      </c>
      <c r="E240" s="255">
        <f>BugetComplet!S578+BugetComplet!S588+BugetComplet!S598+BugetComplet!S608+BugetComplet!S618</f>
        <v>0</v>
      </c>
      <c r="F240" s="255">
        <f>BugetComplet!T578+BugetComplet!T588+BugetComplet!T598+BugetComplet!T608+BugetComplet!T618</f>
        <v>0</v>
      </c>
      <c r="G240" s="255">
        <f>BugetComplet!U578+BugetComplet!U588+BugetComplet!U598+BugetComplet!U608+BugetComplet!U618</f>
        <v>0</v>
      </c>
      <c r="H240" s="255">
        <f>BugetComplet!V578+BugetComplet!V588+BugetComplet!V598+BugetComplet!V608+BugetComplet!V618</f>
        <v>0</v>
      </c>
    </row>
    <row r="241" spans="1:13" ht="26.1" customHeight="1">
      <c r="A241" s="131"/>
      <c r="B241" s="169" t="s">
        <v>134</v>
      </c>
      <c r="C241" s="255">
        <f>BugetComplet!Q579+BugetComplet!Q589+BugetComplet!Q599+BugetComplet!Q609+BugetComplet!Q619</f>
        <v>26910660</v>
      </c>
      <c r="D241" s="255">
        <f>BugetComplet!R579+BugetComplet!R589+BugetComplet!R599+BugetComplet!R609+BugetComplet!R619</f>
        <v>26910660</v>
      </c>
      <c r="E241" s="255">
        <f>BugetComplet!S579+BugetComplet!S589+BugetComplet!S599+BugetComplet!S609+BugetComplet!S619</f>
        <v>26910660</v>
      </c>
      <c r="F241" s="255">
        <f>BugetComplet!T579+BugetComplet!T589+BugetComplet!T599+BugetComplet!T609+BugetComplet!T619</f>
        <v>26910660</v>
      </c>
      <c r="G241" s="255">
        <f>BugetComplet!U579+BugetComplet!U589+BugetComplet!U599+BugetComplet!U609+BugetComplet!U619</f>
        <v>26910660</v>
      </c>
      <c r="H241" s="255">
        <f>BugetComplet!V579+BugetComplet!V589+BugetComplet!V599+BugetComplet!V609+BugetComplet!V619</f>
        <v>134553300</v>
      </c>
    </row>
    <row r="242" spans="1:13" ht="26.1" customHeight="1">
      <c r="A242" s="131"/>
      <c r="B242" s="169" t="s">
        <v>82</v>
      </c>
      <c r="C242" s="255">
        <f>BugetComplet!Q580+BugetComplet!Q590+BugetComplet!Q600+BugetComplet!Q610+BugetComplet!Q620</f>
        <v>0</v>
      </c>
      <c r="D242" s="255">
        <f>BugetComplet!R580+BugetComplet!R590+BugetComplet!R600+BugetComplet!R610+BugetComplet!R620</f>
        <v>0</v>
      </c>
      <c r="E242" s="255">
        <f>BugetComplet!S580+BugetComplet!S590+BugetComplet!S600+BugetComplet!S610+BugetComplet!S620</f>
        <v>0</v>
      </c>
      <c r="F242" s="255">
        <f>BugetComplet!T580+BugetComplet!T590+BugetComplet!T600+BugetComplet!T610+BugetComplet!T620</f>
        <v>0</v>
      </c>
      <c r="G242" s="255">
        <f>BugetComplet!U580+BugetComplet!U590+BugetComplet!U600+BugetComplet!U610+BugetComplet!U620</f>
        <v>0</v>
      </c>
      <c r="H242" s="255">
        <f>BugetComplet!V580+BugetComplet!V590+BugetComplet!V600+BugetComplet!V610+BugetComplet!V620</f>
        <v>0</v>
      </c>
    </row>
    <row r="243" spans="1:13" ht="26.1" customHeight="1">
      <c r="A243" s="131"/>
      <c r="B243" s="169" t="s">
        <v>90</v>
      </c>
      <c r="C243" s="255">
        <f>BugetComplet!Q581+BugetComplet!Q591+BugetComplet!Q601+BugetComplet!Q611+BugetComplet!Q621</f>
        <v>0</v>
      </c>
      <c r="D243" s="255">
        <f>BugetComplet!R581+BugetComplet!R591+BugetComplet!R601+BugetComplet!R611+BugetComplet!R621</f>
        <v>0</v>
      </c>
      <c r="E243" s="255">
        <f>BugetComplet!S581+BugetComplet!S591+BugetComplet!S601+BugetComplet!S611+BugetComplet!S621</f>
        <v>0</v>
      </c>
      <c r="F243" s="255">
        <f>BugetComplet!T581+BugetComplet!T591+BugetComplet!T601+BugetComplet!T611+BugetComplet!T621</f>
        <v>0</v>
      </c>
      <c r="G243" s="255">
        <f>BugetComplet!U581+BugetComplet!U591+BugetComplet!U601+BugetComplet!U611+BugetComplet!U621</f>
        <v>0</v>
      </c>
      <c r="H243" s="255">
        <f>BugetComplet!V581+BugetComplet!V591+BugetComplet!V601+BugetComplet!V611+BugetComplet!V621</f>
        <v>0</v>
      </c>
    </row>
    <row r="244" spans="1:13" ht="26.1" customHeight="1">
      <c r="A244" s="131"/>
      <c r="B244" s="169" t="s">
        <v>83</v>
      </c>
      <c r="C244" s="255">
        <f>BugetComplet!Q582+BugetComplet!Q592+BugetComplet!Q602+BugetComplet!Q612+BugetComplet!Q622</f>
        <v>0</v>
      </c>
      <c r="D244" s="255">
        <f>BugetComplet!R582+BugetComplet!R592+BugetComplet!R602+BugetComplet!R612+BugetComplet!R622</f>
        <v>0</v>
      </c>
      <c r="E244" s="255">
        <f>BugetComplet!S582+BugetComplet!S592+BugetComplet!S602+BugetComplet!S612+BugetComplet!S622</f>
        <v>0</v>
      </c>
      <c r="F244" s="255">
        <f>BugetComplet!T582+BugetComplet!T592+BugetComplet!T602+BugetComplet!T612+BugetComplet!T622</f>
        <v>0</v>
      </c>
      <c r="G244" s="255">
        <f>BugetComplet!U582+BugetComplet!U592+BugetComplet!U602+BugetComplet!U612+BugetComplet!U622</f>
        <v>0</v>
      </c>
      <c r="H244" s="255">
        <f>BugetComplet!V582+BugetComplet!V592+BugetComplet!V602+BugetComplet!V612+BugetComplet!V622</f>
        <v>0</v>
      </c>
    </row>
    <row r="245" spans="1:13" ht="26.1" customHeight="1">
      <c r="A245" s="131"/>
      <c r="B245" s="169" t="s">
        <v>84</v>
      </c>
      <c r="C245" s="255">
        <f>BugetComplet!Q583+BugetComplet!Q593+BugetComplet!Q603+BugetComplet!Q613+BugetComplet!Q623</f>
        <v>0</v>
      </c>
      <c r="D245" s="255">
        <f>BugetComplet!R583+BugetComplet!R593+BugetComplet!R603+BugetComplet!R613+BugetComplet!R623</f>
        <v>0</v>
      </c>
      <c r="E245" s="255">
        <f>BugetComplet!S583+BugetComplet!S593+BugetComplet!S603+BugetComplet!S613+BugetComplet!S623</f>
        <v>0</v>
      </c>
      <c r="F245" s="255">
        <f>BugetComplet!T583+BugetComplet!T593+BugetComplet!T603+BugetComplet!T613+BugetComplet!T623</f>
        <v>0</v>
      </c>
      <c r="G245" s="255">
        <f>BugetComplet!U583+BugetComplet!U593+BugetComplet!U603+BugetComplet!U613+BugetComplet!U623</f>
        <v>0</v>
      </c>
      <c r="H245" s="255">
        <f>BugetComplet!V583+BugetComplet!V593+BugetComplet!V603+BugetComplet!V613+BugetComplet!V623</f>
        <v>0</v>
      </c>
    </row>
    <row r="246" spans="1:13" s="209" customFormat="1" ht="36" customHeight="1">
      <c r="A246" s="137" t="str">
        <f>BugetComplet!F$624</f>
        <v>2.1.4</v>
      </c>
      <c r="B246" s="139" t="str">
        <f>BugetComplet!G$624</f>
        <v>Развитие и продвижение возможностей самотестирования на ВИЧ</v>
      </c>
      <c r="C246" s="255">
        <f>BugetComplet!Q624</f>
        <v>646064.81599999999</v>
      </c>
      <c r="D246" s="255">
        <f>BugetComplet!R624</f>
        <v>706874.45440000005</v>
      </c>
      <c r="E246" s="255">
        <f>BugetComplet!S624</f>
        <v>784482.47360000003</v>
      </c>
      <c r="F246" s="255">
        <f>BugetComplet!T624</f>
        <v>792938.13840000005</v>
      </c>
      <c r="G246" s="255">
        <f>BugetComplet!U624</f>
        <v>934266.95999999985</v>
      </c>
      <c r="H246" s="255">
        <f>BugetComplet!V624</f>
        <v>3864626.8423999995</v>
      </c>
      <c r="I246" s="258"/>
      <c r="J246" s="258"/>
      <c r="K246" s="258"/>
      <c r="L246" s="258"/>
      <c r="M246" s="258"/>
    </row>
    <row r="247" spans="1:13" s="209" customFormat="1" ht="26.1" customHeight="1">
      <c r="A247" s="131"/>
      <c r="B247" s="168" t="s">
        <v>79</v>
      </c>
      <c r="C247" s="255">
        <f>BugetComplet!Q625+BugetComplet!Q635</f>
        <v>646064.81599999999</v>
      </c>
      <c r="D247" s="255">
        <f>BugetComplet!R625+BugetComplet!R635</f>
        <v>706874.45440000016</v>
      </c>
      <c r="E247" s="255">
        <f>BugetComplet!S625+BugetComplet!S635</f>
        <v>784482.47360000003</v>
      </c>
      <c r="F247" s="255">
        <f>BugetComplet!T625+BugetComplet!T635</f>
        <v>919654.92471999989</v>
      </c>
      <c r="G247" s="255">
        <f>BugetComplet!U625+BugetComplet!U635</f>
        <v>1087348.824</v>
      </c>
      <c r="H247" s="255">
        <f>BugetComplet!V625+BugetComplet!V635</f>
        <v>4144425.4927200004</v>
      </c>
    </row>
    <row r="248" spans="1:13" s="209" customFormat="1" ht="26.1" customHeight="1">
      <c r="A248" s="131"/>
      <c r="B248" s="169" t="s">
        <v>80</v>
      </c>
      <c r="C248" s="255">
        <f>BugetComplet!Q626+BugetComplet!Q636</f>
        <v>646064.81599999999</v>
      </c>
      <c r="D248" s="255">
        <f>BugetComplet!R626+BugetComplet!R636</f>
        <v>706874.45440000005</v>
      </c>
      <c r="E248" s="255">
        <f>BugetComplet!S626+BugetComplet!S636</f>
        <v>784482.47360000003</v>
      </c>
      <c r="F248" s="255">
        <f>BugetComplet!T626+BugetComplet!T636</f>
        <v>792938.13840000005</v>
      </c>
      <c r="G248" s="255">
        <f>BugetComplet!U626+BugetComplet!U636</f>
        <v>934266.95999999985</v>
      </c>
      <c r="H248" s="255">
        <f>BugetComplet!V626+BugetComplet!V636</f>
        <v>3864626.8423999995</v>
      </c>
    </row>
    <row r="249" spans="1:13" s="209" customFormat="1" ht="26.1" customHeight="1">
      <c r="A249" s="131"/>
      <c r="B249" s="169" t="s">
        <v>429</v>
      </c>
      <c r="C249" s="255">
        <f>BugetComplet!Q627+BugetComplet!Q637</f>
        <v>0</v>
      </c>
      <c r="D249" s="255">
        <f>BugetComplet!R627+BugetComplet!R637</f>
        <v>0</v>
      </c>
      <c r="E249" s="255">
        <f>BugetComplet!S627+BugetComplet!S637</f>
        <v>677400.19200000004</v>
      </c>
      <c r="F249" s="255">
        <f>BugetComplet!T627+BugetComplet!T637</f>
        <v>792938.13840000005</v>
      </c>
      <c r="G249" s="255">
        <f>BugetComplet!U627+BugetComplet!U637</f>
        <v>934266.95999999985</v>
      </c>
      <c r="H249" s="255">
        <f>BugetComplet!V627+BugetComplet!V637</f>
        <v>2404605.2903999998</v>
      </c>
    </row>
    <row r="250" spans="1:13" s="209" customFormat="1" ht="26.1" customHeight="1">
      <c r="A250" s="131"/>
      <c r="B250" s="169" t="s">
        <v>133</v>
      </c>
      <c r="C250" s="255">
        <f>BugetComplet!Q628+BugetComplet!Q638</f>
        <v>0</v>
      </c>
      <c r="D250" s="255">
        <f>BugetComplet!R628+BugetComplet!R638</f>
        <v>0</v>
      </c>
      <c r="E250" s="255">
        <f>BugetComplet!S628+BugetComplet!S638</f>
        <v>0</v>
      </c>
      <c r="F250" s="255">
        <f>BugetComplet!T628+BugetComplet!T638</f>
        <v>0</v>
      </c>
      <c r="G250" s="255">
        <f>BugetComplet!U628+BugetComplet!U638</f>
        <v>0</v>
      </c>
      <c r="H250" s="255">
        <f>BugetComplet!V628+BugetComplet!V638</f>
        <v>0</v>
      </c>
    </row>
    <row r="251" spans="1:13" s="209" customFormat="1" ht="26.1" customHeight="1">
      <c r="A251" s="131"/>
      <c r="B251" s="169" t="s">
        <v>81</v>
      </c>
      <c r="C251" s="255">
        <f>BugetComplet!Q629+BugetComplet!Q639</f>
        <v>0</v>
      </c>
      <c r="D251" s="255">
        <f>BugetComplet!R629+BugetComplet!R639</f>
        <v>0</v>
      </c>
      <c r="E251" s="255">
        <f>BugetComplet!S629+BugetComplet!S639</f>
        <v>0</v>
      </c>
      <c r="F251" s="255">
        <f>BugetComplet!T629+BugetComplet!T639</f>
        <v>0</v>
      </c>
      <c r="G251" s="255">
        <f>BugetComplet!U629+BugetComplet!U639</f>
        <v>0</v>
      </c>
      <c r="H251" s="255">
        <f>BugetComplet!V629+BugetComplet!V639</f>
        <v>0</v>
      </c>
    </row>
    <row r="252" spans="1:13" s="209" customFormat="1" ht="26.1" customHeight="1">
      <c r="A252" s="131"/>
      <c r="B252" s="169" t="s">
        <v>134</v>
      </c>
      <c r="C252" s="255">
        <f>BugetComplet!Q630+BugetComplet!Q640</f>
        <v>0</v>
      </c>
      <c r="D252" s="255">
        <f>BugetComplet!R630+BugetComplet!R640</f>
        <v>0</v>
      </c>
      <c r="E252" s="255">
        <f>BugetComplet!S630+BugetComplet!S640</f>
        <v>0</v>
      </c>
      <c r="F252" s="255">
        <f>BugetComplet!T630+BugetComplet!T640</f>
        <v>0</v>
      </c>
      <c r="G252" s="255">
        <f>BugetComplet!U630+BugetComplet!U640</f>
        <v>0</v>
      </c>
      <c r="H252" s="255">
        <f>BugetComplet!V630+BugetComplet!V640</f>
        <v>0</v>
      </c>
    </row>
    <row r="253" spans="1:13" s="209" customFormat="1" ht="26.1" customHeight="1">
      <c r="A253" s="131"/>
      <c r="B253" s="169" t="s">
        <v>82</v>
      </c>
      <c r="C253" s="255">
        <f>BugetComplet!Q631+BugetComplet!Q641</f>
        <v>587369.84</v>
      </c>
      <c r="D253" s="255">
        <f>BugetComplet!R631+BugetComplet!R641</f>
        <v>641234.12800000003</v>
      </c>
      <c r="E253" s="255">
        <f>BugetComplet!S631+BugetComplet!S641</f>
        <v>29960</v>
      </c>
      <c r="F253" s="255">
        <f>BugetComplet!T631+BugetComplet!T641</f>
        <v>0</v>
      </c>
      <c r="G253" s="255">
        <f>BugetComplet!U631+BugetComplet!U641</f>
        <v>0</v>
      </c>
      <c r="H253" s="255">
        <f>BugetComplet!V631+BugetComplet!V641</f>
        <v>1258563.9679999999</v>
      </c>
    </row>
    <row r="254" spans="1:13" s="209" customFormat="1" ht="26.1" customHeight="1">
      <c r="A254" s="131"/>
      <c r="B254" s="169" t="s">
        <v>90</v>
      </c>
      <c r="C254" s="255">
        <f>BugetComplet!Q632+BugetComplet!Q642</f>
        <v>58694.97600000001</v>
      </c>
      <c r="D254" s="255">
        <f>BugetComplet!R632+BugetComplet!R642</f>
        <v>65640.326400000005</v>
      </c>
      <c r="E254" s="255">
        <f>BugetComplet!S632+BugetComplet!S642</f>
        <v>77122.281600000002</v>
      </c>
      <c r="F254" s="255">
        <f>BugetComplet!T632+BugetComplet!T642</f>
        <v>0</v>
      </c>
      <c r="G254" s="255">
        <f>BugetComplet!U632+BugetComplet!U642</f>
        <v>0</v>
      </c>
      <c r="H254" s="255">
        <f>BugetComplet!V632+BugetComplet!V642</f>
        <v>201457.58400000003</v>
      </c>
    </row>
    <row r="255" spans="1:13" s="209" customFormat="1" ht="26.1" customHeight="1">
      <c r="A255" s="131"/>
      <c r="B255" s="169" t="s">
        <v>83</v>
      </c>
      <c r="C255" s="255">
        <f>BugetComplet!Q633+BugetComplet!Q643</f>
        <v>0</v>
      </c>
      <c r="D255" s="255">
        <f>BugetComplet!R633+BugetComplet!R643</f>
        <v>0</v>
      </c>
      <c r="E255" s="255">
        <f>BugetComplet!S633+BugetComplet!S643</f>
        <v>0</v>
      </c>
      <c r="F255" s="255">
        <f>BugetComplet!T633+BugetComplet!T643</f>
        <v>0</v>
      </c>
      <c r="G255" s="255">
        <f>BugetComplet!U633+BugetComplet!U643</f>
        <v>0</v>
      </c>
      <c r="H255" s="255">
        <f>BugetComplet!V633+BugetComplet!V643</f>
        <v>0</v>
      </c>
    </row>
    <row r="256" spans="1:13" s="209" customFormat="1" ht="26.1" customHeight="1">
      <c r="A256" s="131"/>
      <c r="B256" s="169" t="s">
        <v>84</v>
      </c>
      <c r="C256" s="255">
        <f>BugetComplet!Q634+BugetComplet!Q644</f>
        <v>0</v>
      </c>
      <c r="D256" s="255">
        <f>BugetComplet!R634+BugetComplet!R644</f>
        <v>0</v>
      </c>
      <c r="E256" s="255">
        <f>BugetComplet!S634+BugetComplet!S644</f>
        <v>0</v>
      </c>
      <c r="F256" s="255">
        <f>BugetComplet!T634+BugetComplet!T644</f>
        <v>126716.78631999984</v>
      </c>
      <c r="G256" s="255">
        <f>BugetComplet!U634+BugetComplet!U644</f>
        <v>153081.86400000018</v>
      </c>
      <c r="H256" s="255">
        <f>BugetComplet!V634+BugetComplet!V644</f>
        <v>279798.65032000095</v>
      </c>
    </row>
    <row r="257" spans="1:13" s="345" customFormat="1" ht="36" customHeight="1">
      <c r="A257" s="137" t="str">
        <f>BugetComplet!F645</f>
        <v>2.1.5</v>
      </c>
      <c r="B257" s="137" t="str">
        <f>BugetComplet!G645</f>
        <v>Развитие и стимулирование индексного тестирования для выявления новых случаев ВИЧ  и Сифилиса</v>
      </c>
      <c r="C257" s="255">
        <f>BugetComplet!Q645</f>
        <v>1300000</v>
      </c>
      <c r="D257" s="255">
        <f>BugetComplet!R645</f>
        <v>1400000</v>
      </c>
      <c r="E257" s="255">
        <f>BugetComplet!S645</f>
        <v>1500000</v>
      </c>
      <c r="F257" s="255">
        <f>BugetComplet!T645</f>
        <v>1120000</v>
      </c>
      <c r="G257" s="255">
        <f>BugetComplet!U645</f>
        <v>1190000</v>
      </c>
      <c r="H257" s="255">
        <f>BugetComplet!V645</f>
        <v>6510000</v>
      </c>
    </row>
    <row r="258" spans="1:13" s="345" customFormat="1" ht="26.1" customHeight="1">
      <c r="A258" s="131"/>
      <c r="B258" s="168" t="s">
        <v>79</v>
      </c>
      <c r="C258" s="255">
        <f>BugetComplet!Q646+BugetComplet!Q656</f>
        <v>1300000</v>
      </c>
      <c r="D258" s="255">
        <f>BugetComplet!R646+BugetComplet!R656</f>
        <v>1400000</v>
      </c>
      <c r="E258" s="255">
        <f>BugetComplet!S646+BugetComplet!S656</f>
        <v>1500000</v>
      </c>
      <c r="F258" s="255">
        <f>BugetComplet!T646+BugetComplet!T656</f>
        <v>1600000</v>
      </c>
      <c r="G258" s="255">
        <f>BugetComplet!U646+BugetComplet!U656</f>
        <v>1700000</v>
      </c>
      <c r="H258" s="255">
        <f>BugetComplet!V646+BugetComplet!V656</f>
        <v>7500000</v>
      </c>
    </row>
    <row r="259" spans="1:13" s="345" customFormat="1" ht="26.1" customHeight="1">
      <c r="A259" s="131"/>
      <c r="B259" s="169" t="s">
        <v>80</v>
      </c>
      <c r="C259" s="255">
        <f>BugetComplet!Q647+BugetComplet!Q657</f>
        <v>1300000</v>
      </c>
      <c r="D259" s="255">
        <f>BugetComplet!R647+BugetComplet!R657</f>
        <v>1400000</v>
      </c>
      <c r="E259" s="255">
        <f>BugetComplet!S647+BugetComplet!S657</f>
        <v>1500000</v>
      </c>
      <c r="F259" s="255">
        <f>BugetComplet!T647+BugetComplet!T657</f>
        <v>1120000</v>
      </c>
      <c r="G259" s="255">
        <f>BugetComplet!U647+BugetComplet!U657</f>
        <v>1190000</v>
      </c>
      <c r="H259" s="255">
        <f>BugetComplet!V647+BugetComplet!V657</f>
        <v>6510000</v>
      </c>
    </row>
    <row r="260" spans="1:13" s="345" customFormat="1" ht="26.1" customHeight="1">
      <c r="A260" s="131"/>
      <c r="B260" s="169" t="s">
        <v>429</v>
      </c>
      <c r="C260" s="255">
        <f>BugetComplet!Q648+BugetComplet!Q658</f>
        <v>0</v>
      </c>
      <c r="D260" s="255">
        <f>BugetComplet!R648+BugetComplet!R658</f>
        <v>0</v>
      </c>
      <c r="E260" s="255">
        <f>BugetComplet!S648+BugetComplet!S658</f>
        <v>0</v>
      </c>
      <c r="F260" s="255">
        <f>BugetComplet!T648+BugetComplet!T658</f>
        <v>0</v>
      </c>
      <c r="G260" s="255">
        <f>BugetComplet!U648+BugetComplet!U658</f>
        <v>0</v>
      </c>
      <c r="H260" s="255">
        <f>BugetComplet!V648+BugetComplet!V658</f>
        <v>0</v>
      </c>
    </row>
    <row r="261" spans="1:13" s="345" customFormat="1" ht="26.1" customHeight="1">
      <c r="A261" s="131"/>
      <c r="B261" s="169" t="s">
        <v>133</v>
      </c>
      <c r="C261" s="255">
        <f>BugetComplet!Q649+BugetComplet!Q659</f>
        <v>0</v>
      </c>
      <c r="D261" s="255">
        <f>BugetComplet!R649+BugetComplet!R659</f>
        <v>0</v>
      </c>
      <c r="E261" s="255">
        <f>BugetComplet!S649+BugetComplet!S659</f>
        <v>0</v>
      </c>
      <c r="F261" s="255">
        <f>BugetComplet!T649+BugetComplet!T659</f>
        <v>0</v>
      </c>
      <c r="G261" s="255">
        <f>BugetComplet!U649+BugetComplet!U659</f>
        <v>0</v>
      </c>
      <c r="H261" s="255">
        <f>BugetComplet!V649+BugetComplet!V659</f>
        <v>0</v>
      </c>
    </row>
    <row r="262" spans="1:13" s="345" customFormat="1" ht="26.1" customHeight="1">
      <c r="A262" s="131"/>
      <c r="B262" s="169" t="s">
        <v>81</v>
      </c>
      <c r="C262" s="255">
        <f>BugetComplet!Q650+BugetComplet!Q660</f>
        <v>0</v>
      </c>
      <c r="D262" s="255">
        <f>BugetComplet!R650+BugetComplet!R660</f>
        <v>0</v>
      </c>
      <c r="E262" s="255">
        <f>BugetComplet!S650+BugetComplet!S660</f>
        <v>0</v>
      </c>
      <c r="F262" s="255">
        <f>BugetComplet!T650+BugetComplet!T660</f>
        <v>0</v>
      </c>
      <c r="G262" s="255">
        <f>BugetComplet!U650+BugetComplet!U660</f>
        <v>0</v>
      </c>
      <c r="H262" s="255">
        <f>BugetComplet!V650+BugetComplet!V660</f>
        <v>0</v>
      </c>
    </row>
    <row r="263" spans="1:13" s="345" customFormat="1" ht="26.1" customHeight="1">
      <c r="A263" s="131"/>
      <c r="B263" s="169" t="s">
        <v>134</v>
      </c>
      <c r="C263" s="255">
        <f>BugetComplet!Q651+BugetComplet!Q661</f>
        <v>0</v>
      </c>
      <c r="D263" s="255">
        <f>BugetComplet!R651+BugetComplet!R661</f>
        <v>0</v>
      </c>
      <c r="E263" s="255">
        <f>BugetComplet!S651+BugetComplet!S661</f>
        <v>0</v>
      </c>
      <c r="F263" s="255">
        <f>BugetComplet!T651+BugetComplet!T661</f>
        <v>1120000</v>
      </c>
      <c r="G263" s="255">
        <f>BugetComplet!U651+BugetComplet!U661</f>
        <v>1190000</v>
      </c>
      <c r="H263" s="255">
        <f>BugetComplet!V651+BugetComplet!V661</f>
        <v>2310000</v>
      </c>
    </row>
    <row r="264" spans="1:13" s="345" customFormat="1" ht="26.1" customHeight="1">
      <c r="A264" s="131"/>
      <c r="B264" s="169" t="s">
        <v>82</v>
      </c>
      <c r="C264" s="255">
        <f>BugetComplet!Q652+BugetComplet!Q662</f>
        <v>910000</v>
      </c>
      <c r="D264" s="255">
        <f>BugetComplet!R652+BugetComplet!R662</f>
        <v>980000</v>
      </c>
      <c r="E264" s="255">
        <f>BugetComplet!S652+BugetComplet!S662</f>
        <v>1050000</v>
      </c>
      <c r="F264" s="255">
        <f>BugetComplet!T652+BugetComplet!T662</f>
        <v>0</v>
      </c>
      <c r="G264" s="255">
        <f>BugetComplet!U652+BugetComplet!U662</f>
        <v>0</v>
      </c>
      <c r="H264" s="255">
        <f>BugetComplet!V652+BugetComplet!V662</f>
        <v>2940000</v>
      </c>
    </row>
    <row r="265" spans="1:13" s="345" customFormat="1" ht="26.1" customHeight="1">
      <c r="A265" s="131"/>
      <c r="B265" s="169" t="s">
        <v>90</v>
      </c>
      <c r="C265" s="255">
        <f>BugetComplet!Q653+BugetComplet!Q663</f>
        <v>390000</v>
      </c>
      <c r="D265" s="255">
        <f>BugetComplet!R653+BugetComplet!R663</f>
        <v>420000</v>
      </c>
      <c r="E265" s="255">
        <f>BugetComplet!S653+BugetComplet!S663</f>
        <v>450000</v>
      </c>
      <c r="F265" s="255">
        <f>BugetComplet!T653+BugetComplet!T663</f>
        <v>0</v>
      </c>
      <c r="G265" s="255">
        <f>BugetComplet!U653+BugetComplet!U663</f>
        <v>0</v>
      </c>
      <c r="H265" s="255">
        <f>BugetComplet!V653+BugetComplet!V663</f>
        <v>1260000</v>
      </c>
    </row>
    <row r="266" spans="1:13" s="345" customFormat="1" ht="26.1" customHeight="1">
      <c r="A266" s="131"/>
      <c r="B266" s="169" t="s">
        <v>83</v>
      </c>
      <c r="C266" s="255">
        <f>BugetComplet!Q654+BugetComplet!Q664</f>
        <v>0</v>
      </c>
      <c r="D266" s="255">
        <f>BugetComplet!R654+BugetComplet!R664</f>
        <v>0</v>
      </c>
      <c r="E266" s="255">
        <f>BugetComplet!S654+BugetComplet!S664</f>
        <v>0</v>
      </c>
      <c r="F266" s="255">
        <f>BugetComplet!T654+BugetComplet!T664</f>
        <v>0</v>
      </c>
      <c r="G266" s="255">
        <f>BugetComplet!U654+BugetComplet!U664</f>
        <v>0</v>
      </c>
      <c r="H266" s="255">
        <f>BugetComplet!V654+BugetComplet!V664</f>
        <v>0</v>
      </c>
    </row>
    <row r="267" spans="1:13" s="345" customFormat="1" ht="26.1" customHeight="1">
      <c r="A267" s="131"/>
      <c r="B267" s="169" t="s">
        <v>84</v>
      </c>
      <c r="C267" s="255">
        <f>BugetComplet!Q655+BugetComplet!Q665</f>
        <v>0</v>
      </c>
      <c r="D267" s="255">
        <f>BugetComplet!R655+BugetComplet!R665</f>
        <v>0</v>
      </c>
      <c r="E267" s="255">
        <f>BugetComplet!S655+BugetComplet!S665</f>
        <v>0</v>
      </c>
      <c r="F267" s="255">
        <f>BugetComplet!T655+BugetComplet!T665</f>
        <v>480000.00000000012</v>
      </c>
      <c r="G267" s="255">
        <f>BugetComplet!U655+BugetComplet!U665</f>
        <v>510000.00000000012</v>
      </c>
      <c r="H267" s="255">
        <f>BugetComplet!V655+BugetComplet!V665</f>
        <v>990000.00000000023</v>
      </c>
    </row>
    <row r="268" spans="1:13">
      <c r="A268" s="129" t="str">
        <f>BugetComplet!F$666</f>
        <v>2.2</v>
      </c>
      <c r="B268" s="128" t="str">
        <f>BugetComplet!G$666</f>
        <v xml:space="preserve">Сформировать устойчивые системы, способствующие раннему назначению АРТ </v>
      </c>
      <c r="C268" s="256">
        <f>BugetComplet!Q$666</f>
        <v>42140182.459177136</v>
      </c>
      <c r="D268" s="256">
        <f>BugetComplet!R$666</f>
        <v>46155519.261394851</v>
      </c>
      <c r="E268" s="256">
        <f>BugetComplet!S$666</f>
        <v>50191307.063834339</v>
      </c>
      <c r="F268" s="256">
        <f>BugetComplet!T$666</f>
        <v>54138923.746997774</v>
      </c>
      <c r="G268" s="256">
        <f>BugetComplet!U$666</f>
        <v>58270936.029997565</v>
      </c>
      <c r="H268" s="256">
        <f>BugetComplet!V$666</f>
        <v>250896868.56140167</v>
      </c>
      <c r="I268" s="258"/>
      <c r="J268" s="258"/>
      <c r="K268" s="258"/>
      <c r="L268" s="258"/>
      <c r="M268" s="258"/>
    </row>
    <row r="269" spans="1:13" ht="26.1" customHeight="1">
      <c r="A269" s="131"/>
      <c r="B269" s="168" t="s">
        <v>79</v>
      </c>
      <c r="C269" s="255">
        <f>C280+C291+C302</f>
        <v>43938502.459177136</v>
      </c>
      <c r="D269" s="255">
        <f t="shared" ref="D269:H269" si="20">D280+D291+D302</f>
        <v>48400879.261394851</v>
      </c>
      <c r="E269" s="255">
        <f t="shared" si="20"/>
        <v>52436667.063834339</v>
      </c>
      <c r="F269" s="255">
        <f t="shared" si="20"/>
        <v>59735990.966517769</v>
      </c>
      <c r="G269" s="255">
        <f t="shared" si="20"/>
        <v>63879069.971469559</v>
      </c>
      <c r="H269" s="255">
        <f t="shared" si="20"/>
        <v>268391109.72239369</v>
      </c>
      <c r="I269" s="258"/>
      <c r="J269" s="258"/>
      <c r="K269" s="258"/>
      <c r="L269" s="258"/>
      <c r="M269" s="258"/>
    </row>
    <row r="270" spans="1:13" ht="26.1" customHeight="1">
      <c r="A270" s="131"/>
      <c r="B270" s="169" t="s">
        <v>80</v>
      </c>
      <c r="C270" s="255">
        <f t="shared" ref="C270:H278" si="21">C281+C292+C303</f>
        <v>42140182.459177136</v>
      </c>
      <c r="D270" s="255">
        <f t="shared" si="21"/>
        <v>46155519.261394851</v>
      </c>
      <c r="E270" s="255">
        <f t="shared" si="21"/>
        <v>50191307.063834339</v>
      </c>
      <c r="F270" s="255">
        <f t="shared" si="21"/>
        <v>54138923.746997774</v>
      </c>
      <c r="G270" s="255">
        <f t="shared" si="21"/>
        <v>58270936.029997565</v>
      </c>
      <c r="H270" s="255">
        <f t="shared" si="21"/>
        <v>250896868.56140167</v>
      </c>
      <c r="I270" s="258"/>
      <c r="J270" s="258"/>
      <c r="K270" s="258"/>
      <c r="L270" s="258"/>
      <c r="M270" s="258"/>
    </row>
    <row r="271" spans="1:13" ht="26.1" customHeight="1">
      <c r="A271" s="131"/>
      <c r="B271" s="169" t="s">
        <v>429</v>
      </c>
      <c r="C271" s="255">
        <f t="shared" si="21"/>
        <v>14205589.227154281</v>
      </c>
      <c r="D271" s="255">
        <f t="shared" si="21"/>
        <v>15553754.882769711</v>
      </c>
      <c r="E271" s="255">
        <f t="shared" si="21"/>
        <v>16920591.227946684</v>
      </c>
      <c r="F271" s="255">
        <f t="shared" si="21"/>
        <v>18374717.896531351</v>
      </c>
      <c r="G271" s="255">
        <f t="shared" si="21"/>
        <v>19809660.56548449</v>
      </c>
      <c r="H271" s="255">
        <f t="shared" si="21"/>
        <v>84864313.799886525</v>
      </c>
    </row>
    <row r="272" spans="1:13" ht="26.1" customHeight="1">
      <c r="A272" s="131"/>
      <c r="B272" s="169" t="s">
        <v>133</v>
      </c>
      <c r="C272" s="255">
        <f t="shared" si="21"/>
        <v>12071791.122022858</v>
      </c>
      <c r="D272" s="255">
        <f t="shared" si="21"/>
        <v>13219512.457625141</v>
      </c>
      <c r="E272" s="255">
        <f t="shared" si="21"/>
        <v>14367681.122787654</v>
      </c>
      <c r="F272" s="255">
        <f t="shared" si="21"/>
        <v>15516341.850466423</v>
      </c>
      <c r="G272" s="255">
        <f t="shared" si="21"/>
        <v>16683558.664513068</v>
      </c>
      <c r="H272" s="255">
        <f t="shared" si="21"/>
        <v>71858885.217415124</v>
      </c>
    </row>
    <row r="273" spans="1:13" ht="26.1" customHeight="1">
      <c r="A273" s="131"/>
      <c r="B273" s="169" t="s">
        <v>81</v>
      </c>
      <c r="C273" s="255">
        <f t="shared" si="21"/>
        <v>435014.40000000002</v>
      </c>
      <c r="D273" s="255">
        <f t="shared" si="21"/>
        <v>478046.4</v>
      </c>
      <c r="E273" s="255">
        <f t="shared" si="21"/>
        <v>521078.4</v>
      </c>
      <c r="F273" s="255">
        <f t="shared" si="21"/>
        <v>564110.4</v>
      </c>
      <c r="G273" s="255">
        <f t="shared" si="21"/>
        <v>607820.48</v>
      </c>
      <c r="H273" s="255">
        <f t="shared" si="21"/>
        <v>2606070.08</v>
      </c>
    </row>
    <row r="274" spans="1:13" ht="26.1" customHeight="1">
      <c r="A274" s="131"/>
      <c r="B274" s="169" t="s">
        <v>134</v>
      </c>
      <c r="C274" s="255">
        <f t="shared" si="21"/>
        <v>15294489.600000001</v>
      </c>
      <c r="D274" s="255">
        <f t="shared" si="21"/>
        <v>16757577.600000001</v>
      </c>
      <c r="E274" s="255">
        <f t="shared" si="21"/>
        <v>18220665.600000001</v>
      </c>
      <c r="F274" s="255">
        <f t="shared" si="21"/>
        <v>19683753.600000001</v>
      </c>
      <c r="G274" s="255">
        <f t="shared" si="21"/>
        <v>21169896.320000004</v>
      </c>
      <c r="H274" s="255">
        <f t="shared" si="21"/>
        <v>91126382.720000014</v>
      </c>
    </row>
    <row r="275" spans="1:13" ht="26.1" customHeight="1">
      <c r="A275" s="131"/>
      <c r="B275" s="169" t="s">
        <v>82</v>
      </c>
      <c r="C275" s="255">
        <f t="shared" si="21"/>
        <v>50152.189999999995</v>
      </c>
      <c r="D275" s="255">
        <f t="shared" si="21"/>
        <v>55167.409</v>
      </c>
      <c r="E275" s="255">
        <f t="shared" si="21"/>
        <v>60684.149900000004</v>
      </c>
      <c r="F275" s="255">
        <f t="shared" si="21"/>
        <v>0</v>
      </c>
      <c r="G275" s="255">
        <f t="shared" si="21"/>
        <v>0</v>
      </c>
      <c r="H275" s="255">
        <f t="shared" si="21"/>
        <v>166003.74890000001</v>
      </c>
    </row>
    <row r="276" spans="1:13" ht="26.1" customHeight="1">
      <c r="A276" s="131"/>
      <c r="B276" s="169" t="s">
        <v>90</v>
      </c>
      <c r="C276" s="255">
        <f t="shared" si="21"/>
        <v>83145.919999999998</v>
      </c>
      <c r="D276" s="255">
        <f t="shared" si="21"/>
        <v>91460.512000000002</v>
      </c>
      <c r="E276" s="255">
        <f t="shared" si="21"/>
        <v>100606.56320000002</v>
      </c>
      <c r="F276" s="255">
        <f t="shared" si="21"/>
        <v>0</v>
      </c>
      <c r="G276" s="255">
        <f t="shared" si="21"/>
        <v>0</v>
      </c>
      <c r="H276" s="255">
        <f t="shared" si="21"/>
        <v>275212.9952</v>
      </c>
      <c r="I276" s="258"/>
      <c r="J276" s="258"/>
      <c r="K276" s="258"/>
    </row>
    <row r="277" spans="1:13" ht="26.1" customHeight="1">
      <c r="A277" s="131"/>
      <c r="B277" s="169" t="s">
        <v>83</v>
      </c>
      <c r="C277" s="255">
        <f t="shared" si="21"/>
        <v>0</v>
      </c>
      <c r="D277" s="255">
        <f t="shared" si="21"/>
        <v>0</v>
      </c>
      <c r="E277" s="255">
        <f t="shared" si="21"/>
        <v>0</v>
      </c>
      <c r="F277" s="255">
        <f t="shared" si="21"/>
        <v>0</v>
      </c>
      <c r="G277" s="255">
        <f t="shared" si="21"/>
        <v>0</v>
      </c>
      <c r="H277" s="255">
        <f t="shared" si="21"/>
        <v>0</v>
      </c>
      <c r="I277" s="258"/>
      <c r="J277" s="258"/>
      <c r="K277" s="258"/>
    </row>
    <row r="278" spans="1:13" ht="26.1" customHeight="1">
      <c r="A278" s="131"/>
      <c r="B278" s="169" t="s">
        <v>84</v>
      </c>
      <c r="C278" s="255">
        <f t="shared" si="21"/>
        <v>1798320</v>
      </c>
      <c r="D278" s="255">
        <f t="shared" si="21"/>
        <v>2245360</v>
      </c>
      <c r="E278" s="255">
        <f t="shared" si="21"/>
        <v>2245360</v>
      </c>
      <c r="F278" s="255">
        <f t="shared" si="21"/>
        <v>5597067.2195199998</v>
      </c>
      <c r="G278" s="255">
        <f t="shared" si="21"/>
        <v>5608133.9414719995</v>
      </c>
      <c r="H278" s="255">
        <f t="shared" si="21"/>
        <v>17494241.160992</v>
      </c>
    </row>
    <row r="279" spans="1:13" ht="36" customHeight="1">
      <c r="A279" s="137" t="str">
        <f>BugetComplet!F$667</f>
        <v>2.2.1</v>
      </c>
      <c r="B279" s="139" t="str">
        <f>BugetComplet!G$667</f>
        <v>Обеспечение универсального доступа для подтверждения ВИЧ-инфекции и сифилиса с помощью лабораторных методов для своевременного назначения АРТ</v>
      </c>
      <c r="C279" s="257">
        <f>BugetComplet!Q667</f>
        <v>2064810.999177143</v>
      </c>
      <c r="D279" s="257">
        <f>BugetComplet!R667</f>
        <v>2269321.0013948577</v>
      </c>
      <c r="E279" s="257">
        <f>BugetComplet!S667</f>
        <v>2494282.0038343435</v>
      </c>
      <c r="F279" s="257">
        <f>BugetComplet!T667</f>
        <v>2631071.886997778</v>
      </c>
      <c r="G279" s="257">
        <f>BugetComplet!U667</f>
        <v>2892207.9779975559</v>
      </c>
      <c r="H279" s="257">
        <f>BugetComplet!V667</f>
        <v>12351693.869401677</v>
      </c>
      <c r="I279" s="258"/>
      <c r="J279" s="258"/>
      <c r="K279" s="258"/>
      <c r="L279" s="258"/>
      <c r="M279" s="258"/>
    </row>
    <row r="280" spans="1:13" ht="26.1" customHeight="1">
      <c r="A280" s="131"/>
      <c r="B280" s="168" t="s">
        <v>79</v>
      </c>
      <c r="C280" s="255">
        <f>BugetComplet!Q668+BugetComplet!Q678+BugetComplet!Q688+BugetComplet!Q698+BugetComplet!Q708+BugetComplet!Q718+BugetComplet!Q728+BugetComplet!Q738+BugetComplet!Q748</f>
        <v>2064810.9991771432</v>
      </c>
      <c r="D280" s="255">
        <f>BugetComplet!R668+BugetComplet!R678+BugetComplet!R688+BugetComplet!R698+BugetComplet!R708+BugetComplet!R718+BugetComplet!R728+BugetComplet!R738+BugetComplet!R748</f>
        <v>2269321.0013948577</v>
      </c>
      <c r="E280" s="255">
        <f>BugetComplet!S668+BugetComplet!S678+BugetComplet!S688+BugetComplet!S698+BugetComplet!S708+BugetComplet!S718+BugetComplet!S728+BugetComplet!S738+BugetComplet!S748</f>
        <v>2494282.0038343435</v>
      </c>
      <c r="F280" s="255">
        <f>BugetComplet!T668+BugetComplet!T678+BugetComplet!T688+BugetComplet!T698+BugetComplet!T708+BugetComplet!T718+BugetComplet!T728+BugetComplet!T738+BugetComplet!T748</f>
        <v>2741739.1065177778</v>
      </c>
      <c r="G280" s="255">
        <f>BugetComplet!U668+BugetComplet!U678+BugetComplet!U688+BugetComplet!U698+BugetComplet!U708+BugetComplet!U718+BugetComplet!U728+BugetComplet!U738+BugetComplet!U748</f>
        <v>3013941.9194695558</v>
      </c>
      <c r="H280" s="255">
        <f>BugetComplet!V668+BugetComplet!V678+BugetComplet!V688+BugetComplet!V698+BugetComplet!V708+BugetComplet!V718+BugetComplet!V728+BugetComplet!V738+BugetComplet!V748</f>
        <v>12584095.030393675</v>
      </c>
    </row>
    <row r="281" spans="1:13" ht="26.1" customHeight="1">
      <c r="A281" s="131"/>
      <c r="B281" s="169" t="s">
        <v>80</v>
      </c>
      <c r="C281" s="255">
        <f>BugetComplet!Q669+BugetComplet!Q679+BugetComplet!Q689+BugetComplet!Q699+BugetComplet!Q709+BugetComplet!Q719+BugetComplet!Q729+BugetComplet!Q739+BugetComplet!Q749</f>
        <v>2064810.999177143</v>
      </c>
      <c r="D281" s="255">
        <f>BugetComplet!R669+BugetComplet!R679+BugetComplet!R689+BugetComplet!R699+BugetComplet!R709+BugetComplet!R719+BugetComplet!R729+BugetComplet!R739+BugetComplet!R749</f>
        <v>2269321.0013948577</v>
      </c>
      <c r="E281" s="255">
        <f>BugetComplet!S669+BugetComplet!S679+BugetComplet!S689+BugetComplet!S699+BugetComplet!S709+BugetComplet!S719+BugetComplet!S729+BugetComplet!S739+BugetComplet!S749</f>
        <v>2494282.0038343435</v>
      </c>
      <c r="F281" s="255">
        <f>BugetComplet!T669+BugetComplet!T679+BugetComplet!T689+BugetComplet!T699+BugetComplet!T709+BugetComplet!T719+BugetComplet!T729+BugetComplet!T739+BugetComplet!T749</f>
        <v>2631071.886997778</v>
      </c>
      <c r="G281" s="255">
        <f>BugetComplet!U669+BugetComplet!U679+BugetComplet!U689+BugetComplet!U699+BugetComplet!U709+BugetComplet!U719+BugetComplet!U729+BugetComplet!U739+BugetComplet!U749</f>
        <v>2892207.9779975559</v>
      </c>
      <c r="H281" s="255">
        <f>BugetComplet!V669+BugetComplet!V679+BugetComplet!V689+BugetComplet!V699+BugetComplet!V709+BugetComplet!V719+BugetComplet!V729+BugetComplet!V739+BugetComplet!V749</f>
        <v>12351693.869401677</v>
      </c>
    </row>
    <row r="282" spans="1:13" ht="26.1" customHeight="1">
      <c r="A282" s="131"/>
      <c r="B282" s="169" t="s">
        <v>429</v>
      </c>
      <c r="C282" s="255">
        <f>BugetComplet!Q670+BugetComplet!Q680+BugetComplet!Q690+BugetComplet!Q700+BugetComplet!Q710+BugetComplet!Q720+BugetComplet!Q730+BugetComplet!Q740+BugetComplet!Q750</f>
        <v>1882333.2051542858</v>
      </c>
      <c r="D282" s="255">
        <f>BugetComplet!R670+BugetComplet!R680+BugetComplet!R690+BugetComplet!R700+BugetComplet!R710+BugetComplet!R720+BugetComplet!R730+BugetComplet!R740+BugetComplet!R750</f>
        <v>2069040.1007697145</v>
      </c>
      <c r="E282" s="255">
        <f>BugetComplet!S670+BugetComplet!S680+BugetComplet!S690+BugetComplet!S700+BugetComplet!S710+BugetComplet!S720+BugetComplet!S730+BugetComplet!S740+BugetComplet!S750</f>
        <v>2274417.6859466862</v>
      </c>
      <c r="F282" s="255">
        <f>BugetComplet!T670+BugetComplet!T680+BugetComplet!T690+BugetComplet!T700+BugetComplet!T710+BugetComplet!T720+BugetComplet!T730+BugetComplet!T740+BugetComplet!T750</f>
        <v>2567085.5945313545</v>
      </c>
      <c r="G282" s="255">
        <f>BugetComplet!U670+BugetComplet!U680+BugetComplet!U690+BugetComplet!U700+BugetComplet!U710+BugetComplet!U720+BugetComplet!U730+BugetComplet!U740+BugetComplet!U750</f>
        <v>2822267.7290844908</v>
      </c>
      <c r="H282" s="255">
        <f>BugetComplet!V670+BugetComplet!V680+BugetComplet!V690+BugetComplet!V700+BugetComplet!V710+BugetComplet!V720+BugetComplet!V730+BugetComplet!V740+BugetComplet!V750</f>
        <v>11615144.315486532</v>
      </c>
    </row>
    <row r="283" spans="1:13" ht="26.1" customHeight="1">
      <c r="A283" s="131"/>
      <c r="B283" s="169" t="s">
        <v>133</v>
      </c>
      <c r="C283" s="255">
        <f>BugetComplet!Q671+BugetComplet!Q681+BugetComplet!Q691+BugetComplet!Q701+BugetComplet!Q711+BugetComplet!Q721+BugetComplet!Q731+BugetComplet!Q741+BugetComplet!Q751</f>
        <v>49179.684022857138</v>
      </c>
      <c r="D283" s="255">
        <f>BugetComplet!R671+BugetComplet!R681+BugetComplet!R691+BugetComplet!R701+BugetComplet!R711+BugetComplet!R721+BugetComplet!R731+BugetComplet!R741+BugetComplet!R751</f>
        <v>53652.979625142863</v>
      </c>
      <c r="E283" s="255">
        <f>BugetComplet!S671+BugetComplet!S681+BugetComplet!S691+BugetComplet!S701+BugetComplet!S711+BugetComplet!S721+BugetComplet!S731+BugetComplet!S741+BugetComplet!S751</f>
        <v>58573.604787657161</v>
      </c>
      <c r="F283" s="255">
        <f>BugetComplet!T671+BugetComplet!T681+BugetComplet!T691+BugetComplet!T701+BugetComplet!T711+BugetComplet!T721+BugetComplet!T731+BugetComplet!T741+BugetComplet!T751</f>
        <v>63986.292466422878</v>
      </c>
      <c r="G283" s="255">
        <f>BugetComplet!U671+BugetComplet!U681+BugetComplet!U691+BugetComplet!U701+BugetComplet!U711+BugetComplet!U721+BugetComplet!U731+BugetComplet!U741+BugetComplet!U751</f>
        <v>69940.248913065181</v>
      </c>
      <c r="H283" s="255">
        <f>BugetComplet!V671+BugetComplet!V681+BugetComplet!V691+BugetComplet!V701+BugetComplet!V711+BugetComplet!V721+BugetComplet!V731+BugetComplet!V741+BugetComplet!V751</f>
        <v>295332.80981514521</v>
      </c>
    </row>
    <row r="284" spans="1:13" ht="26.1" customHeight="1">
      <c r="A284" s="131"/>
      <c r="B284" s="169" t="s">
        <v>81</v>
      </c>
      <c r="C284" s="255">
        <f>BugetComplet!Q672+BugetComplet!Q682+BugetComplet!Q692+BugetComplet!Q702+BugetComplet!Q712+BugetComplet!Q722+BugetComplet!Q732+BugetComplet!Q742+BugetComplet!Q752</f>
        <v>0</v>
      </c>
      <c r="D284" s="255">
        <f>BugetComplet!R672+BugetComplet!R682+BugetComplet!R692+BugetComplet!R702+BugetComplet!R712+BugetComplet!R722+BugetComplet!R732+BugetComplet!R742+BugetComplet!R752</f>
        <v>0</v>
      </c>
      <c r="E284" s="255">
        <f>BugetComplet!S672+BugetComplet!S682+BugetComplet!S692+BugetComplet!S702+BugetComplet!S712+BugetComplet!S722+BugetComplet!S732+BugetComplet!S742+BugetComplet!S752</f>
        <v>0</v>
      </c>
      <c r="F284" s="255">
        <f>BugetComplet!T672+BugetComplet!T682+BugetComplet!T692+BugetComplet!T702+BugetComplet!T712+BugetComplet!T722+BugetComplet!T732+BugetComplet!T742+BugetComplet!T752</f>
        <v>0</v>
      </c>
      <c r="G284" s="255">
        <f>BugetComplet!U672+BugetComplet!U682+BugetComplet!U692+BugetComplet!U702+BugetComplet!U712+BugetComplet!U722+BugetComplet!U732+BugetComplet!U742+BugetComplet!U752</f>
        <v>0</v>
      </c>
      <c r="H284" s="255">
        <f>BugetComplet!V672+BugetComplet!V682+BugetComplet!V692+BugetComplet!V702+BugetComplet!V712+BugetComplet!V722+BugetComplet!V732+BugetComplet!V742+BugetComplet!V752</f>
        <v>0</v>
      </c>
    </row>
    <row r="285" spans="1:13" ht="26.1" customHeight="1">
      <c r="A285" s="131"/>
      <c r="B285" s="169" t="s">
        <v>134</v>
      </c>
      <c r="C285" s="255">
        <f>BugetComplet!Q673+BugetComplet!Q683+BugetComplet!Q693+BugetComplet!Q703+BugetComplet!Q713+BugetComplet!Q723+BugetComplet!Q733+BugetComplet!Q743+BugetComplet!Q753</f>
        <v>0</v>
      </c>
      <c r="D285" s="255">
        <f>BugetComplet!R673+BugetComplet!R683+BugetComplet!R693+BugetComplet!R703+BugetComplet!R713+BugetComplet!R723+BugetComplet!R733+BugetComplet!R743+BugetComplet!R753</f>
        <v>0</v>
      </c>
      <c r="E285" s="255">
        <f>BugetComplet!S673+BugetComplet!S683+BugetComplet!S693+BugetComplet!S703+BugetComplet!S713+BugetComplet!S723+BugetComplet!S733+BugetComplet!S743+BugetComplet!S753</f>
        <v>0</v>
      </c>
      <c r="F285" s="255">
        <f>BugetComplet!T673+BugetComplet!T683+BugetComplet!T693+BugetComplet!T703+BugetComplet!T713+BugetComplet!T723+BugetComplet!T733+BugetComplet!T743+BugetComplet!T753</f>
        <v>0</v>
      </c>
      <c r="G285" s="255">
        <f>BugetComplet!U673+BugetComplet!U683+BugetComplet!U693+BugetComplet!U703+BugetComplet!U713+BugetComplet!U723+BugetComplet!U733+BugetComplet!U743+BugetComplet!U753</f>
        <v>0</v>
      </c>
      <c r="H285" s="255">
        <f>BugetComplet!V673+BugetComplet!V683+BugetComplet!V693+BugetComplet!V703+BugetComplet!V713+BugetComplet!V723+BugetComplet!V733+BugetComplet!V743+BugetComplet!V753</f>
        <v>0</v>
      </c>
    </row>
    <row r="286" spans="1:13" ht="26.1" customHeight="1">
      <c r="A286" s="131"/>
      <c r="B286" s="169" t="s">
        <v>82</v>
      </c>
      <c r="C286" s="255">
        <f>BugetComplet!Q674+BugetComplet!Q684+BugetComplet!Q694+BugetComplet!Q704+BugetComplet!Q714+BugetComplet!Q724+BugetComplet!Q734+BugetComplet!Q744+BugetComplet!Q754</f>
        <v>50152.189999999995</v>
      </c>
      <c r="D286" s="255">
        <f>BugetComplet!R674+BugetComplet!R684+BugetComplet!R694+BugetComplet!R704+BugetComplet!R714+BugetComplet!R724+BugetComplet!R734+BugetComplet!R744+BugetComplet!R754</f>
        <v>55167.409</v>
      </c>
      <c r="E286" s="255">
        <f>BugetComplet!S674+BugetComplet!S684+BugetComplet!S694+BugetComplet!S704+BugetComplet!S714+BugetComplet!S724+BugetComplet!S734+BugetComplet!S744+BugetComplet!S754</f>
        <v>60684.149900000004</v>
      </c>
      <c r="F286" s="255">
        <f>BugetComplet!T674+BugetComplet!T684+BugetComplet!T694+BugetComplet!T704+BugetComplet!T714+BugetComplet!T724+BugetComplet!T734+BugetComplet!T744+BugetComplet!T754</f>
        <v>0</v>
      </c>
      <c r="G286" s="255">
        <f>BugetComplet!U674+BugetComplet!U684+BugetComplet!U694+BugetComplet!U704+BugetComplet!U714+BugetComplet!U724+BugetComplet!U734+BugetComplet!U744+BugetComplet!U754</f>
        <v>0</v>
      </c>
      <c r="H286" s="255">
        <f>BugetComplet!V674+BugetComplet!V684+BugetComplet!V694+BugetComplet!V704+BugetComplet!V714+BugetComplet!V724+BugetComplet!V734+BugetComplet!V744+BugetComplet!V754</f>
        <v>166003.74890000001</v>
      </c>
    </row>
    <row r="287" spans="1:13" ht="26.1" customHeight="1">
      <c r="A287" s="131"/>
      <c r="B287" s="169" t="s">
        <v>90</v>
      </c>
      <c r="C287" s="255">
        <f>BugetComplet!Q675+BugetComplet!Q685+BugetComplet!Q695+BugetComplet!Q705+BugetComplet!Q715+BugetComplet!Q725+BugetComplet!Q735+BugetComplet!Q745+BugetComplet!Q755</f>
        <v>83145.919999999998</v>
      </c>
      <c r="D287" s="255">
        <f>BugetComplet!R675+BugetComplet!R685+BugetComplet!R695+BugetComplet!R705+BugetComplet!R715+BugetComplet!R725+BugetComplet!R735+BugetComplet!R745+BugetComplet!R755</f>
        <v>91460.512000000002</v>
      </c>
      <c r="E287" s="255">
        <f>BugetComplet!S675+BugetComplet!S685+BugetComplet!S695+BugetComplet!S705+BugetComplet!S715+BugetComplet!S725+BugetComplet!S735+BugetComplet!S745+BugetComplet!S755</f>
        <v>100606.56320000002</v>
      </c>
      <c r="F287" s="255">
        <f>BugetComplet!T675+BugetComplet!T685+BugetComplet!T695+BugetComplet!T705+BugetComplet!T715+BugetComplet!T725+BugetComplet!T735+BugetComplet!T745+BugetComplet!T755</f>
        <v>0</v>
      </c>
      <c r="G287" s="255">
        <f>BugetComplet!U675+BugetComplet!U685+BugetComplet!U695+BugetComplet!U705+BugetComplet!U715+BugetComplet!U725+BugetComplet!U735+BugetComplet!U745+BugetComplet!U755</f>
        <v>0</v>
      </c>
      <c r="H287" s="255">
        <f>BugetComplet!V675+BugetComplet!V685+BugetComplet!V695+BugetComplet!V705+BugetComplet!V715+BugetComplet!V725+BugetComplet!V735+BugetComplet!V745+BugetComplet!V755</f>
        <v>275212.9952</v>
      </c>
      <c r="I287" s="258"/>
      <c r="J287" s="258"/>
      <c r="K287" s="258"/>
    </row>
    <row r="288" spans="1:13" ht="26.1" customHeight="1">
      <c r="A288" s="131"/>
      <c r="B288" s="169" t="s">
        <v>83</v>
      </c>
      <c r="C288" s="255">
        <f>BugetComplet!Q676+BugetComplet!Q686+BugetComplet!Q696+BugetComplet!Q706+BugetComplet!Q716+BugetComplet!Q726+BugetComplet!Q736+BugetComplet!Q746+BugetComplet!Q756</f>
        <v>0</v>
      </c>
      <c r="D288" s="255">
        <f>BugetComplet!R676+BugetComplet!R686+BugetComplet!R696+BugetComplet!R706+BugetComplet!R716+BugetComplet!R726+BugetComplet!R736+BugetComplet!R746+BugetComplet!R756</f>
        <v>0</v>
      </c>
      <c r="E288" s="255">
        <f>BugetComplet!S676+BugetComplet!S686+BugetComplet!S696+BugetComplet!S706+BugetComplet!S716+BugetComplet!S726+BugetComplet!S736+BugetComplet!S746+BugetComplet!S756</f>
        <v>0</v>
      </c>
      <c r="F288" s="255">
        <f>BugetComplet!T676+BugetComplet!T686+BugetComplet!T696+BugetComplet!T706+BugetComplet!T716+BugetComplet!T726+BugetComplet!T736+BugetComplet!T746+BugetComplet!T756</f>
        <v>0</v>
      </c>
      <c r="G288" s="255">
        <f>BugetComplet!U676+BugetComplet!U686+BugetComplet!U696+BugetComplet!U706+BugetComplet!U716+BugetComplet!U726+BugetComplet!U736+BugetComplet!U746+BugetComplet!U756</f>
        <v>0</v>
      </c>
      <c r="H288" s="255">
        <f>BugetComplet!V676+BugetComplet!V686+BugetComplet!V696+BugetComplet!V706+BugetComplet!V716+BugetComplet!V726+BugetComplet!V736+BugetComplet!V746+BugetComplet!V756</f>
        <v>0</v>
      </c>
      <c r="I288" s="258"/>
      <c r="J288" s="258"/>
      <c r="K288" s="258"/>
    </row>
    <row r="289" spans="1:13" ht="26.1" customHeight="1">
      <c r="A289" s="131"/>
      <c r="B289" s="169" t="s">
        <v>84</v>
      </c>
      <c r="C289" s="255">
        <f>BugetComplet!Q677+BugetComplet!Q687+BugetComplet!Q697+BugetComplet!Q707+BugetComplet!Q717+BugetComplet!Q727+BugetComplet!Q737+BugetComplet!Q747+BugetComplet!Q757</f>
        <v>0</v>
      </c>
      <c r="D289" s="255">
        <f>BugetComplet!R677+BugetComplet!R687+BugetComplet!R697+BugetComplet!R707+BugetComplet!R717+BugetComplet!R727+BugetComplet!R737+BugetComplet!R747+BugetComplet!R757</f>
        <v>0</v>
      </c>
      <c r="E289" s="255">
        <f>BugetComplet!S677+BugetComplet!S687+BugetComplet!S697+BugetComplet!S707+BugetComplet!S717+BugetComplet!S727+BugetComplet!S737+BugetComplet!S747+BugetComplet!S757</f>
        <v>0</v>
      </c>
      <c r="F289" s="255">
        <f>BugetComplet!T677+BugetComplet!T687+BugetComplet!T697+BugetComplet!T707+BugetComplet!T717+BugetComplet!T727+BugetComplet!T737+BugetComplet!T747+BugetComplet!T757</f>
        <v>110667.21951999993</v>
      </c>
      <c r="G289" s="255">
        <f>BugetComplet!U677+BugetComplet!U687+BugetComplet!U697+BugetComplet!U707+BugetComplet!U717+BugetComplet!U727+BugetComplet!U737+BugetComplet!U747+BugetComplet!U757</f>
        <v>121733.94147199992</v>
      </c>
      <c r="H289" s="255">
        <f>BugetComplet!V677+BugetComplet!V687+BugetComplet!V697+BugetComplet!V707+BugetComplet!V717+BugetComplet!V727+BugetComplet!V737+BugetComplet!V747+BugetComplet!V757</f>
        <v>232401.16099199984</v>
      </c>
    </row>
    <row r="290" spans="1:13" ht="36" customHeight="1">
      <c r="A290" s="137" t="str">
        <f>BugetComplet!F$758</f>
        <v>2.2.2</v>
      </c>
      <c r="B290" s="139" t="str">
        <f>BugetComplet!G$758</f>
        <v xml:space="preserve"> Обеспечение универсального доступа для подтверждения диагноза других ИППП с помощью лабораторных методов.</v>
      </c>
      <c r="C290" s="257">
        <f>BugetComplet!Q$758</f>
        <v>0</v>
      </c>
      <c r="D290" s="257">
        <f>BugetComplet!R$758</f>
        <v>0</v>
      </c>
      <c r="E290" s="257">
        <f>BugetComplet!S$758</f>
        <v>0</v>
      </c>
      <c r="F290" s="257">
        <f>BugetComplet!T$758</f>
        <v>0</v>
      </c>
      <c r="G290" s="257">
        <f>BugetComplet!U$758</f>
        <v>0</v>
      </c>
      <c r="H290" s="257">
        <f>BugetComplet!V$758</f>
        <v>0</v>
      </c>
      <c r="I290" s="258"/>
      <c r="J290" s="258"/>
      <c r="K290" s="258"/>
      <c r="L290" s="258"/>
      <c r="M290" s="258"/>
    </row>
    <row r="291" spans="1:13" ht="26.1" customHeight="1">
      <c r="A291" s="131"/>
      <c r="B291" s="168" t="s">
        <v>79</v>
      </c>
      <c r="C291" s="255">
        <f>BugetComplet!Q759+BugetComplet!Q769+BugetComplet!Q799+BugetComplet!Q809</f>
        <v>1798320</v>
      </c>
      <c r="D291" s="255">
        <f>BugetComplet!R759+BugetComplet!R769+BugetComplet!R799+BugetComplet!R809</f>
        <v>2245360</v>
      </c>
      <c r="E291" s="255">
        <f>BugetComplet!S759+BugetComplet!S769+BugetComplet!S799+BugetComplet!S809</f>
        <v>2245360</v>
      </c>
      <c r="F291" s="255">
        <f>BugetComplet!T759+BugetComplet!T769+BugetComplet!T799+BugetComplet!T809</f>
        <v>5486400</v>
      </c>
      <c r="G291" s="255">
        <f>BugetComplet!U759+BugetComplet!U769+BugetComplet!U799+BugetComplet!U809</f>
        <v>5486400</v>
      </c>
      <c r="H291" s="255">
        <f>BugetComplet!V759+BugetComplet!V769+BugetComplet!V799+BugetComplet!V809</f>
        <v>17261840</v>
      </c>
    </row>
    <row r="292" spans="1:13" ht="26.1" customHeight="1">
      <c r="A292" s="131"/>
      <c r="B292" s="169" t="s">
        <v>80</v>
      </c>
      <c r="C292" s="255">
        <f>BugetComplet!Q760+BugetComplet!Q770+BugetComplet!Q800+BugetComplet!Q810</f>
        <v>0</v>
      </c>
      <c r="D292" s="255">
        <f>BugetComplet!R760+BugetComplet!R770+BugetComplet!R800+BugetComplet!R810</f>
        <v>0</v>
      </c>
      <c r="E292" s="255">
        <f>BugetComplet!S760+BugetComplet!S770+BugetComplet!S800+BugetComplet!S810</f>
        <v>0</v>
      </c>
      <c r="F292" s="255">
        <f>BugetComplet!T760+BugetComplet!T770+BugetComplet!T800+BugetComplet!T810</f>
        <v>0</v>
      </c>
      <c r="G292" s="255">
        <f>BugetComplet!U760+BugetComplet!U770+BugetComplet!U800+BugetComplet!U810</f>
        <v>0</v>
      </c>
      <c r="H292" s="255">
        <f>BugetComplet!V760+BugetComplet!V770+BugetComplet!V800+BugetComplet!V810</f>
        <v>0</v>
      </c>
    </row>
    <row r="293" spans="1:13" ht="26.1" customHeight="1">
      <c r="A293" s="131"/>
      <c r="B293" s="169" t="s">
        <v>429</v>
      </c>
      <c r="C293" s="255">
        <f>BugetComplet!Q761+BugetComplet!Q771+BugetComplet!Q801+BugetComplet!Q811</f>
        <v>0</v>
      </c>
      <c r="D293" s="255">
        <f>BugetComplet!R761+BugetComplet!R771+BugetComplet!R801+BugetComplet!R811</f>
        <v>0</v>
      </c>
      <c r="E293" s="255">
        <f>BugetComplet!S761+BugetComplet!S771+BugetComplet!S801+BugetComplet!S811</f>
        <v>0</v>
      </c>
      <c r="F293" s="255">
        <f>BugetComplet!T761+BugetComplet!T771+BugetComplet!T801+BugetComplet!T811</f>
        <v>0</v>
      </c>
      <c r="G293" s="255">
        <f>BugetComplet!U761+BugetComplet!U771+BugetComplet!U801+BugetComplet!U811</f>
        <v>0</v>
      </c>
      <c r="H293" s="255">
        <f>BugetComplet!V761+BugetComplet!V771+BugetComplet!V801+BugetComplet!V811</f>
        <v>0</v>
      </c>
    </row>
    <row r="294" spans="1:13" ht="26.1" customHeight="1">
      <c r="A294" s="131"/>
      <c r="B294" s="169" t="s">
        <v>133</v>
      </c>
      <c r="C294" s="255">
        <f>BugetComplet!Q762+BugetComplet!Q772+BugetComplet!Q802+BugetComplet!Q812</f>
        <v>0</v>
      </c>
      <c r="D294" s="255">
        <f>BugetComplet!R762+BugetComplet!R772+BugetComplet!R802+BugetComplet!R812</f>
        <v>0</v>
      </c>
      <c r="E294" s="255">
        <f>BugetComplet!S762+BugetComplet!S772+BugetComplet!S802+BugetComplet!S812</f>
        <v>0</v>
      </c>
      <c r="F294" s="255">
        <f>BugetComplet!T762+BugetComplet!T772+BugetComplet!T802+BugetComplet!T812</f>
        <v>0</v>
      </c>
      <c r="G294" s="255">
        <f>BugetComplet!U762+BugetComplet!U772+BugetComplet!U802+BugetComplet!U812</f>
        <v>0</v>
      </c>
      <c r="H294" s="255">
        <f>BugetComplet!V762+BugetComplet!V772+BugetComplet!V802+BugetComplet!V812</f>
        <v>0</v>
      </c>
    </row>
    <row r="295" spans="1:13" ht="26.1" customHeight="1">
      <c r="A295" s="131"/>
      <c r="B295" s="169" t="s">
        <v>81</v>
      </c>
      <c r="C295" s="255">
        <f>BugetComplet!Q763+BugetComplet!Q773+BugetComplet!Q803+BugetComplet!Q813</f>
        <v>0</v>
      </c>
      <c r="D295" s="255">
        <f>BugetComplet!R763+BugetComplet!R773+BugetComplet!R803+BugetComplet!R813</f>
        <v>0</v>
      </c>
      <c r="E295" s="255">
        <f>BugetComplet!S763+BugetComplet!S773+BugetComplet!S803+BugetComplet!S813</f>
        <v>0</v>
      </c>
      <c r="F295" s="255">
        <f>BugetComplet!T763+BugetComplet!T773+BugetComplet!T803+BugetComplet!T813</f>
        <v>0</v>
      </c>
      <c r="G295" s="255">
        <f>BugetComplet!U763+BugetComplet!U773+BugetComplet!U803+BugetComplet!U813</f>
        <v>0</v>
      </c>
      <c r="H295" s="255">
        <f>BugetComplet!V763+BugetComplet!V773+BugetComplet!V803+BugetComplet!V813</f>
        <v>0</v>
      </c>
    </row>
    <row r="296" spans="1:13" ht="26.1" customHeight="1">
      <c r="A296" s="131"/>
      <c r="B296" s="169" t="s">
        <v>134</v>
      </c>
      <c r="C296" s="255">
        <f>BugetComplet!Q764+BugetComplet!Q774+BugetComplet!Q804+BugetComplet!Q814</f>
        <v>0</v>
      </c>
      <c r="D296" s="255">
        <f>BugetComplet!R764+BugetComplet!R774+BugetComplet!R804+BugetComplet!R814</f>
        <v>0</v>
      </c>
      <c r="E296" s="255">
        <f>BugetComplet!S764+BugetComplet!S774+BugetComplet!S804+BugetComplet!S814</f>
        <v>0</v>
      </c>
      <c r="F296" s="255">
        <f>BugetComplet!T764+BugetComplet!T774+BugetComplet!T804+BugetComplet!T814</f>
        <v>0</v>
      </c>
      <c r="G296" s="255">
        <f>BugetComplet!U764+BugetComplet!U774+BugetComplet!U804+BugetComplet!U814</f>
        <v>0</v>
      </c>
      <c r="H296" s="255">
        <f>BugetComplet!V764+BugetComplet!V774+BugetComplet!V804+BugetComplet!V814</f>
        <v>0</v>
      </c>
    </row>
    <row r="297" spans="1:13" ht="26.1" customHeight="1">
      <c r="A297" s="131"/>
      <c r="B297" s="169" t="s">
        <v>82</v>
      </c>
      <c r="C297" s="255">
        <f>BugetComplet!Q765+BugetComplet!Q775+BugetComplet!Q805+BugetComplet!Q815</f>
        <v>0</v>
      </c>
      <c r="D297" s="255">
        <f>BugetComplet!R765+BugetComplet!R775+BugetComplet!R805+BugetComplet!R815</f>
        <v>0</v>
      </c>
      <c r="E297" s="255">
        <f>BugetComplet!S765+BugetComplet!S775+BugetComplet!S805+BugetComplet!S815</f>
        <v>0</v>
      </c>
      <c r="F297" s="255">
        <f>BugetComplet!T765+BugetComplet!T775+BugetComplet!T805+BugetComplet!T815</f>
        <v>0</v>
      </c>
      <c r="G297" s="255">
        <f>BugetComplet!U765+BugetComplet!U775+BugetComplet!U805+BugetComplet!U815</f>
        <v>0</v>
      </c>
      <c r="H297" s="255">
        <f>BugetComplet!V765+BugetComplet!V775+BugetComplet!V805+BugetComplet!V815</f>
        <v>0</v>
      </c>
    </row>
    <row r="298" spans="1:13" ht="26.1" customHeight="1">
      <c r="A298" s="131"/>
      <c r="B298" s="169" t="s">
        <v>90</v>
      </c>
      <c r="C298" s="255">
        <f>BugetComplet!Q766+BugetComplet!Q776+BugetComplet!Q806+BugetComplet!Q816</f>
        <v>0</v>
      </c>
      <c r="D298" s="255">
        <f>BugetComplet!R766+BugetComplet!R776+BugetComplet!R806+BugetComplet!R816</f>
        <v>0</v>
      </c>
      <c r="E298" s="255">
        <f>BugetComplet!S766+BugetComplet!S776+BugetComplet!S806+BugetComplet!S816</f>
        <v>0</v>
      </c>
      <c r="F298" s="255">
        <f>BugetComplet!T766+BugetComplet!T776+BugetComplet!T806+BugetComplet!T816</f>
        <v>0</v>
      </c>
      <c r="G298" s="255">
        <f>BugetComplet!U766+BugetComplet!U776+BugetComplet!U806+BugetComplet!U816</f>
        <v>0</v>
      </c>
      <c r="H298" s="255">
        <f>BugetComplet!V766+BugetComplet!V776+BugetComplet!V806+BugetComplet!V816</f>
        <v>0</v>
      </c>
      <c r="I298" s="258"/>
      <c r="J298" s="258"/>
      <c r="K298" s="258"/>
    </row>
    <row r="299" spans="1:13" ht="26.1" customHeight="1">
      <c r="A299" s="131"/>
      <c r="B299" s="169" t="s">
        <v>83</v>
      </c>
      <c r="C299" s="255">
        <f>BugetComplet!Q767+BugetComplet!Q777+BugetComplet!Q807+BugetComplet!Q817</f>
        <v>0</v>
      </c>
      <c r="D299" s="255">
        <f>BugetComplet!R767+BugetComplet!R777+BugetComplet!R807+BugetComplet!R817</f>
        <v>0</v>
      </c>
      <c r="E299" s="255">
        <f>BugetComplet!S767+BugetComplet!S777+BugetComplet!S807+BugetComplet!S817</f>
        <v>0</v>
      </c>
      <c r="F299" s="255">
        <f>BugetComplet!T767+BugetComplet!T777+BugetComplet!T807+BugetComplet!T817</f>
        <v>0</v>
      </c>
      <c r="G299" s="255">
        <f>BugetComplet!U767+BugetComplet!U777+BugetComplet!U807+BugetComplet!U817</f>
        <v>0</v>
      </c>
      <c r="H299" s="255">
        <f>BugetComplet!V767+BugetComplet!V777+BugetComplet!V807+BugetComplet!V817</f>
        <v>0</v>
      </c>
      <c r="I299" s="258"/>
      <c r="J299" s="258"/>
      <c r="K299" s="258"/>
    </row>
    <row r="300" spans="1:13" ht="26.1" customHeight="1">
      <c r="A300" s="131"/>
      <c r="B300" s="169" t="s">
        <v>84</v>
      </c>
      <c r="C300" s="255">
        <f>BugetComplet!Q768+BugetComplet!Q778+BugetComplet!Q808+BugetComplet!Q818</f>
        <v>1798320</v>
      </c>
      <c r="D300" s="255">
        <f>BugetComplet!R768+BugetComplet!R778+BugetComplet!R808+BugetComplet!R818</f>
        <v>2245360</v>
      </c>
      <c r="E300" s="255">
        <f>BugetComplet!S768+BugetComplet!S778+BugetComplet!S808+BugetComplet!S818</f>
        <v>2245360</v>
      </c>
      <c r="F300" s="255">
        <f>BugetComplet!T768+BugetComplet!T778+BugetComplet!T808+BugetComplet!T818</f>
        <v>5486400</v>
      </c>
      <c r="G300" s="255">
        <f>BugetComplet!U768+BugetComplet!U778+BugetComplet!U808+BugetComplet!U818</f>
        <v>5486400</v>
      </c>
      <c r="H300" s="255">
        <f>BugetComplet!V768+BugetComplet!V778+BugetComplet!V808+BugetComplet!V818</f>
        <v>17261840</v>
      </c>
    </row>
    <row r="301" spans="1:13" ht="36" customHeight="1">
      <c r="A301" s="137" t="str">
        <f>BugetComplet!F$819</f>
        <v>2.2.3</v>
      </c>
      <c r="B301" s="139" t="str">
        <f>BugetComplet!G$819</f>
        <v>Обеспечение доступа к АРВ лечению и лечению сифилиса</v>
      </c>
      <c r="C301" s="257">
        <f>BugetComplet!Q$819</f>
        <v>40075371.459999993</v>
      </c>
      <c r="D301" s="257">
        <f>BugetComplet!R$819</f>
        <v>43886198.25999999</v>
      </c>
      <c r="E301" s="257">
        <f>BugetComplet!S$819</f>
        <v>47697025.059999995</v>
      </c>
      <c r="F301" s="257">
        <f>BugetComplet!T$819</f>
        <v>51507851.859999992</v>
      </c>
      <c r="G301" s="257">
        <f>BugetComplet!U$819</f>
        <v>55378728.052000009</v>
      </c>
      <c r="H301" s="257">
        <f>BugetComplet!V$819</f>
        <v>238545174.69199997</v>
      </c>
    </row>
    <row r="302" spans="1:13" ht="26.1" customHeight="1">
      <c r="A302" s="131"/>
      <c r="B302" s="168" t="s">
        <v>79</v>
      </c>
      <c r="C302" s="255">
        <f>BugetComplet!Q820+BugetComplet!Q830+BugetComplet!Q840+BugetComplet!Q850+BugetComplet!Q860+BugetComplet!Q870+BugetComplet!Q880+BugetComplet!Q890+BugetComplet!Q900</f>
        <v>40075371.459999993</v>
      </c>
      <c r="D302" s="255">
        <f>BugetComplet!R820+BugetComplet!R830+BugetComplet!R840+BugetComplet!R850+BugetComplet!R860+BugetComplet!R870+BugetComplet!R880+BugetComplet!R890+BugetComplet!R900</f>
        <v>43886198.25999999</v>
      </c>
      <c r="E302" s="255">
        <f>BugetComplet!S820+BugetComplet!S830+BugetComplet!S840+BugetComplet!S850+BugetComplet!S860+BugetComplet!S870+BugetComplet!S880+BugetComplet!S890+BugetComplet!S900</f>
        <v>47697025.059999995</v>
      </c>
      <c r="F302" s="255">
        <f>BugetComplet!T820+BugetComplet!T830+BugetComplet!T840+BugetComplet!T850+BugetComplet!T860+BugetComplet!T870+BugetComplet!T880+BugetComplet!T890+BugetComplet!T900</f>
        <v>51507851.859999992</v>
      </c>
      <c r="G302" s="255">
        <f>BugetComplet!U820+BugetComplet!U830+BugetComplet!U840+BugetComplet!U850+BugetComplet!U860+BugetComplet!U870+BugetComplet!U880+BugetComplet!U890+BugetComplet!U900</f>
        <v>55378728.052000001</v>
      </c>
      <c r="H302" s="255">
        <f>BugetComplet!V820+BugetComplet!V830+BugetComplet!V840+BugetComplet!V850+BugetComplet!V860+BugetComplet!V870+BugetComplet!V880+BugetComplet!V890+BugetComplet!V900</f>
        <v>238545174.692</v>
      </c>
    </row>
    <row r="303" spans="1:13" ht="26.1" customHeight="1">
      <c r="A303" s="131"/>
      <c r="B303" s="169" t="s">
        <v>80</v>
      </c>
      <c r="C303" s="255">
        <f>BugetComplet!Q821+BugetComplet!Q831+BugetComplet!Q841+BugetComplet!Q851+BugetComplet!Q861+BugetComplet!Q871+BugetComplet!Q881+BugetComplet!Q891+BugetComplet!Q901</f>
        <v>40075371.459999993</v>
      </c>
      <c r="D303" s="255">
        <f>BugetComplet!R821+BugetComplet!R831+BugetComplet!R841+BugetComplet!R851+BugetComplet!R861+BugetComplet!R871+BugetComplet!R881+BugetComplet!R891+BugetComplet!R901</f>
        <v>43886198.25999999</v>
      </c>
      <c r="E303" s="255">
        <f>BugetComplet!S821+BugetComplet!S831+BugetComplet!S841+BugetComplet!S851+BugetComplet!S861+BugetComplet!S871+BugetComplet!S881+BugetComplet!S891+BugetComplet!S901</f>
        <v>47697025.059999995</v>
      </c>
      <c r="F303" s="255">
        <f>BugetComplet!T821+BugetComplet!T831+BugetComplet!T841+BugetComplet!T851+BugetComplet!T861+BugetComplet!T871+BugetComplet!T881+BugetComplet!T891+BugetComplet!T901</f>
        <v>51507851.859999992</v>
      </c>
      <c r="G303" s="255">
        <f>BugetComplet!U821+BugetComplet!U831+BugetComplet!U841+BugetComplet!U851+BugetComplet!U861+BugetComplet!U871+BugetComplet!U881+BugetComplet!U891+BugetComplet!U901</f>
        <v>55378728.052000009</v>
      </c>
      <c r="H303" s="255">
        <f>BugetComplet!V821+BugetComplet!V831+BugetComplet!V841+BugetComplet!V851+BugetComplet!V861+BugetComplet!V871+BugetComplet!V881+BugetComplet!V891+BugetComplet!V901</f>
        <v>238545174.692</v>
      </c>
    </row>
    <row r="304" spans="1:13" ht="26.1" customHeight="1">
      <c r="A304" s="131"/>
      <c r="B304" s="169" t="s">
        <v>429</v>
      </c>
      <c r="C304" s="255">
        <f>BugetComplet!Q822+BugetComplet!Q832+BugetComplet!Q842+BugetComplet!Q852+BugetComplet!Q862+BugetComplet!Q872+BugetComplet!Q882+BugetComplet!Q892+BugetComplet!Q902</f>
        <v>12323256.021999996</v>
      </c>
      <c r="D304" s="255">
        <f>BugetComplet!R822+BugetComplet!R832+BugetComplet!R842+BugetComplet!R852+BugetComplet!R862+BugetComplet!R872+BugetComplet!R882+BugetComplet!R892+BugetComplet!R902</f>
        <v>13484714.781999996</v>
      </c>
      <c r="E304" s="255">
        <f>BugetComplet!S822+BugetComplet!S832+BugetComplet!S842+BugetComplet!S852+BugetComplet!S862+BugetComplet!S872+BugetComplet!S882+BugetComplet!S892+BugetComplet!S902</f>
        <v>14646173.541999996</v>
      </c>
      <c r="F304" s="255">
        <f>BugetComplet!T822+BugetComplet!T832+BugetComplet!T842+BugetComplet!T852+BugetComplet!T862+BugetComplet!T872+BugetComplet!T882+BugetComplet!T892+BugetComplet!T902</f>
        <v>15807632.301999995</v>
      </c>
      <c r="G304" s="255">
        <f>BugetComplet!U822+BugetComplet!U832+BugetComplet!U842+BugetComplet!U852+BugetComplet!U862+BugetComplet!U872+BugetComplet!U882+BugetComplet!U892+BugetComplet!U902</f>
        <v>16987392.836399999</v>
      </c>
      <c r="H304" s="255">
        <f>BugetComplet!V822+BugetComplet!V832+BugetComplet!V842+BugetComplet!V852+BugetComplet!V862+BugetComplet!V872+BugetComplet!V882+BugetComplet!V892+BugetComplet!V902</f>
        <v>73249169.484399989</v>
      </c>
    </row>
    <row r="305" spans="1:13" ht="26.1" customHeight="1">
      <c r="A305" s="131"/>
      <c r="B305" s="169" t="s">
        <v>133</v>
      </c>
      <c r="C305" s="255">
        <f>BugetComplet!Q823+BugetComplet!Q833+BugetComplet!Q843+BugetComplet!Q853+BugetComplet!Q863+BugetComplet!Q873+BugetComplet!Q883+BugetComplet!Q893+BugetComplet!Q903</f>
        <v>12022611.438000001</v>
      </c>
      <c r="D305" s="255">
        <f>BugetComplet!R823+BugetComplet!R833+BugetComplet!R843+BugetComplet!R853+BugetComplet!R863+BugetComplet!R873+BugetComplet!R883+BugetComplet!R893+BugetComplet!R903</f>
        <v>13165859.477999998</v>
      </c>
      <c r="E305" s="255">
        <f>BugetComplet!S823+BugetComplet!S833+BugetComplet!S843+BugetComplet!S853+BugetComplet!S863+BugetComplet!S873+BugetComplet!S883+BugetComplet!S893+BugetComplet!S903</f>
        <v>14309107.517999997</v>
      </c>
      <c r="F305" s="255">
        <f>BugetComplet!T823+BugetComplet!T833+BugetComplet!T843+BugetComplet!T853+BugetComplet!T863+BugetComplet!T873+BugetComplet!T883+BugetComplet!T893+BugetComplet!T903</f>
        <v>15452355.558</v>
      </c>
      <c r="G305" s="255">
        <f>BugetComplet!U823+BugetComplet!U833+BugetComplet!U843+BugetComplet!U853+BugetComplet!U863+BugetComplet!U873+BugetComplet!U883+BugetComplet!U893+BugetComplet!U903</f>
        <v>16613618.415600004</v>
      </c>
      <c r="H305" s="255">
        <f>BugetComplet!V823+BugetComplet!V833+BugetComplet!V843+BugetComplet!V853+BugetComplet!V863+BugetComplet!V873+BugetComplet!V883+BugetComplet!V893+BugetComplet!V903</f>
        <v>71563552.407599986</v>
      </c>
    </row>
    <row r="306" spans="1:13" ht="26.1" customHeight="1">
      <c r="A306" s="131"/>
      <c r="B306" s="169" t="s">
        <v>81</v>
      </c>
      <c r="C306" s="255">
        <f>BugetComplet!Q824+BugetComplet!Q834+BugetComplet!Q844+BugetComplet!Q854+BugetComplet!Q864+BugetComplet!Q874+BugetComplet!Q884+BugetComplet!Q894+BugetComplet!Q904</f>
        <v>435014.40000000002</v>
      </c>
      <c r="D306" s="255">
        <f>BugetComplet!R824+BugetComplet!R834+BugetComplet!R844+BugetComplet!R854+BugetComplet!R864+BugetComplet!R874+BugetComplet!R884+BugetComplet!R894+BugetComplet!R904</f>
        <v>478046.4</v>
      </c>
      <c r="E306" s="255">
        <f>BugetComplet!S824+BugetComplet!S834+BugetComplet!S844+BugetComplet!S854+BugetComplet!S864+BugetComplet!S874+BugetComplet!S884+BugetComplet!S894+BugetComplet!S904</f>
        <v>521078.4</v>
      </c>
      <c r="F306" s="255">
        <f>BugetComplet!T824+BugetComplet!T834+BugetComplet!T844+BugetComplet!T854+BugetComplet!T864+BugetComplet!T874+BugetComplet!T884+BugetComplet!T894+BugetComplet!T904</f>
        <v>564110.4</v>
      </c>
      <c r="G306" s="255">
        <f>BugetComplet!U824+BugetComplet!U834+BugetComplet!U844+BugetComplet!U854+BugetComplet!U864+BugetComplet!U874+BugetComplet!U884+BugetComplet!U894+BugetComplet!U904</f>
        <v>607820.48</v>
      </c>
      <c r="H306" s="255">
        <f>BugetComplet!V824+BugetComplet!V834+BugetComplet!V844+BugetComplet!V854+BugetComplet!V864+BugetComplet!V874+BugetComplet!V884+BugetComplet!V894+BugetComplet!V904</f>
        <v>2606070.08</v>
      </c>
    </row>
    <row r="307" spans="1:13" ht="26.1" customHeight="1">
      <c r="A307" s="131"/>
      <c r="B307" s="169" t="s">
        <v>134</v>
      </c>
      <c r="C307" s="255">
        <f>BugetComplet!Q825+BugetComplet!Q835+BugetComplet!Q845+BugetComplet!Q855+BugetComplet!Q865+BugetComplet!Q875+BugetComplet!Q885+BugetComplet!Q895+BugetComplet!Q905</f>
        <v>15294489.600000001</v>
      </c>
      <c r="D307" s="255">
        <f>BugetComplet!R825+BugetComplet!R835+BugetComplet!R845+BugetComplet!R855+BugetComplet!R865+BugetComplet!R875+BugetComplet!R885+BugetComplet!R895+BugetComplet!R905</f>
        <v>16757577.600000001</v>
      </c>
      <c r="E307" s="255">
        <f>BugetComplet!S825+BugetComplet!S835+BugetComplet!S845+BugetComplet!S855+BugetComplet!S865+BugetComplet!S875+BugetComplet!S885+BugetComplet!S895+BugetComplet!S905</f>
        <v>18220665.600000001</v>
      </c>
      <c r="F307" s="255">
        <f>BugetComplet!T825+BugetComplet!T835+BugetComplet!T845+BugetComplet!T855+BugetComplet!T865+BugetComplet!T875+BugetComplet!T885+BugetComplet!T895+BugetComplet!T905</f>
        <v>19683753.600000001</v>
      </c>
      <c r="G307" s="255">
        <f>BugetComplet!U825+BugetComplet!U835+BugetComplet!U845+BugetComplet!U855+BugetComplet!U865+BugetComplet!U875+BugetComplet!U885+BugetComplet!U895+BugetComplet!U905</f>
        <v>21169896.320000004</v>
      </c>
      <c r="H307" s="255">
        <f>BugetComplet!V825+BugetComplet!V835+BugetComplet!V845+BugetComplet!V855+BugetComplet!V865+BugetComplet!V875+BugetComplet!V885+BugetComplet!V895+BugetComplet!V905</f>
        <v>91126382.720000014</v>
      </c>
    </row>
    <row r="308" spans="1:13" ht="26.1" customHeight="1">
      <c r="A308" s="131"/>
      <c r="B308" s="169" t="s">
        <v>82</v>
      </c>
      <c r="C308" s="255">
        <f>BugetComplet!Q826+BugetComplet!Q836+BugetComplet!Q846+BugetComplet!Q856+BugetComplet!Q866+BugetComplet!Q876+BugetComplet!Q886+BugetComplet!Q896+BugetComplet!Q906</f>
        <v>0</v>
      </c>
      <c r="D308" s="255">
        <f>BugetComplet!R826+BugetComplet!R836+BugetComplet!R846+BugetComplet!R856+BugetComplet!R866+BugetComplet!R876+BugetComplet!R886+BugetComplet!R896+BugetComplet!R906</f>
        <v>0</v>
      </c>
      <c r="E308" s="255">
        <f>BugetComplet!S826+BugetComplet!S836+BugetComplet!S846+BugetComplet!S856+BugetComplet!S866+BugetComplet!S876+BugetComplet!S886+BugetComplet!S896+BugetComplet!S906</f>
        <v>0</v>
      </c>
      <c r="F308" s="255">
        <f>BugetComplet!T826+BugetComplet!T836+BugetComplet!T846+BugetComplet!T856+BugetComplet!T866+BugetComplet!T876+BugetComplet!T886+BugetComplet!T896+BugetComplet!T906</f>
        <v>0</v>
      </c>
      <c r="G308" s="255">
        <f>BugetComplet!U826+BugetComplet!U836+BugetComplet!U846+BugetComplet!U856+BugetComplet!U866+BugetComplet!U876+BugetComplet!U886+BugetComplet!U896+BugetComplet!U906</f>
        <v>0</v>
      </c>
      <c r="H308" s="255">
        <f>BugetComplet!V826+BugetComplet!V836+BugetComplet!V846+BugetComplet!V856+BugetComplet!V866+BugetComplet!V876+BugetComplet!V886+BugetComplet!V896+BugetComplet!V906</f>
        <v>0</v>
      </c>
    </row>
    <row r="309" spans="1:13" ht="26.1" customHeight="1">
      <c r="A309" s="131"/>
      <c r="B309" s="169" t="s">
        <v>90</v>
      </c>
      <c r="C309" s="255">
        <f>BugetComplet!Q827+BugetComplet!Q837+BugetComplet!Q847+BugetComplet!Q857+BugetComplet!Q867+BugetComplet!Q877+BugetComplet!Q887+BugetComplet!Q897+BugetComplet!Q907</f>
        <v>0</v>
      </c>
      <c r="D309" s="255">
        <f>BugetComplet!R827+BugetComplet!R837+BugetComplet!R847+BugetComplet!R857+BugetComplet!R867+BugetComplet!R877+BugetComplet!R887+BugetComplet!R897+BugetComplet!R907</f>
        <v>0</v>
      </c>
      <c r="E309" s="255">
        <f>BugetComplet!S827+BugetComplet!S837+BugetComplet!S847+BugetComplet!S857+BugetComplet!S867+BugetComplet!S877+BugetComplet!S887+BugetComplet!S897+BugetComplet!S907</f>
        <v>0</v>
      </c>
      <c r="F309" s="255">
        <f>BugetComplet!T827+BugetComplet!T837+BugetComplet!T847+BugetComplet!T857+BugetComplet!T867+BugetComplet!T877+BugetComplet!T887+BugetComplet!T897+BugetComplet!T907</f>
        <v>0</v>
      </c>
      <c r="G309" s="255">
        <f>BugetComplet!U827+BugetComplet!U837+BugetComplet!U847+BugetComplet!U857+BugetComplet!U867+BugetComplet!U877+BugetComplet!U887+BugetComplet!U897+BugetComplet!U907</f>
        <v>0</v>
      </c>
      <c r="H309" s="255">
        <f>BugetComplet!V827+BugetComplet!V837+BugetComplet!V847+BugetComplet!V857+BugetComplet!V867+BugetComplet!V877+BugetComplet!V887+BugetComplet!V897+BugetComplet!V907</f>
        <v>0</v>
      </c>
    </row>
    <row r="310" spans="1:13" ht="26.1" customHeight="1">
      <c r="A310" s="131"/>
      <c r="B310" s="169" t="s">
        <v>83</v>
      </c>
      <c r="C310" s="255">
        <f>BugetComplet!Q828+BugetComplet!Q838+BugetComplet!Q848+BugetComplet!Q858+BugetComplet!Q868+BugetComplet!Q878+BugetComplet!Q888+BugetComplet!Q898+BugetComplet!Q908</f>
        <v>0</v>
      </c>
      <c r="D310" s="255">
        <f>BugetComplet!R828+BugetComplet!R838+BugetComplet!R848+BugetComplet!R858+BugetComplet!R868+BugetComplet!R878+BugetComplet!R888+BugetComplet!R898+BugetComplet!R908</f>
        <v>0</v>
      </c>
      <c r="E310" s="255">
        <f>BugetComplet!S828+BugetComplet!S838+BugetComplet!S848+BugetComplet!S858+BugetComplet!S868+BugetComplet!S878+BugetComplet!S888+BugetComplet!S898+BugetComplet!S908</f>
        <v>0</v>
      </c>
      <c r="F310" s="255">
        <f>BugetComplet!T828+BugetComplet!T838+BugetComplet!T848+BugetComplet!T858+BugetComplet!T868+BugetComplet!T878+BugetComplet!T888+BugetComplet!T898+BugetComplet!T908</f>
        <v>0</v>
      </c>
      <c r="G310" s="255">
        <f>BugetComplet!U828+BugetComplet!U838+BugetComplet!U848+BugetComplet!U858+BugetComplet!U868+BugetComplet!U878+BugetComplet!U888+BugetComplet!U898+BugetComplet!U908</f>
        <v>0</v>
      </c>
      <c r="H310" s="255">
        <f>BugetComplet!V828+BugetComplet!V838+BugetComplet!V848+BugetComplet!V858+BugetComplet!V868+BugetComplet!V878+BugetComplet!V888+BugetComplet!V898+BugetComplet!V908</f>
        <v>0</v>
      </c>
    </row>
    <row r="311" spans="1:13" ht="26.1" customHeight="1">
      <c r="A311" s="131"/>
      <c r="B311" s="169" t="s">
        <v>84</v>
      </c>
      <c r="C311" s="255">
        <f>BugetComplet!Q829+BugetComplet!Q839+BugetComplet!Q849+BugetComplet!Q859+BugetComplet!Q869+BugetComplet!Q879+BugetComplet!Q889+BugetComplet!Q899+BugetComplet!Q909</f>
        <v>0</v>
      </c>
      <c r="D311" s="255">
        <f>BugetComplet!R829+BugetComplet!R839+BugetComplet!R849+BugetComplet!R859+BugetComplet!R869+BugetComplet!R879+BugetComplet!R889+BugetComplet!R899+BugetComplet!R909</f>
        <v>0</v>
      </c>
      <c r="E311" s="255">
        <f>BugetComplet!S829+BugetComplet!S839+BugetComplet!S849+BugetComplet!S859+BugetComplet!S869+BugetComplet!S879+BugetComplet!S889+BugetComplet!S899+BugetComplet!S909</f>
        <v>0</v>
      </c>
      <c r="F311" s="255">
        <f>BugetComplet!T829+BugetComplet!T839+BugetComplet!T849+BugetComplet!T859+BugetComplet!T869+BugetComplet!T879+BugetComplet!T889+BugetComplet!T899+BugetComplet!T909</f>
        <v>0</v>
      </c>
      <c r="G311" s="255">
        <f>BugetComplet!U829+BugetComplet!U839+BugetComplet!U849+BugetComplet!U859+BugetComplet!U869+BugetComplet!U879+BugetComplet!U889+BugetComplet!U899+BugetComplet!U909</f>
        <v>0</v>
      </c>
      <c r="H311" s="255">
        <f>BugetComplet!V829+BugetComplet!V839+BugetComplet!V849+BugetComplet!V859+BugetComplet!V869+BugetComplet!V879+BugetComplet!V889+BugetComplet!V899+BugetComplet!V909</f>
        <v>0</v>
      </c>
    </row>
    <row r="312" spans="1:13" ht="30">
      <c r="A312" s="129" t="str">
        <f>BugetComplet!F$910</f>
        <v>2.3</v>
      </c>
      <c r="B312" s="128" t="str">
        <f>BugetComplet!G$910</f>
        <v xml:space="preserve">Удержаниe пациентов для достижения устойчивого угнетения вируса для снижения риска передачи ВИЧ </v>
      </c>
      <c r="C312" s="256">
        <f>BugetComplet!Q$910</f>
        <v>41112257.943391696</v>
      </c>
      <c r="D312" s="256">
        <f>BugetComplet!R$910</f>
        <v>41547120.715391695</v>
      </c>
      <c r="E312" s="256">
        <f>BugetComplet!S$910</f>
        <v>40179291.487391688</v>
      </c>
      <c r="F312" s="256">
        <f>BugetComplet!T$910</f>
        <v>34309158.259391695</v>
      </c>
      <c r="G312" s="256">
        <f>BugetComplet!U$910</f>
        <v>34428642.631391697</v>
      </c>
      <c r="H312" s="256">
        <f>BugetComplet!V$910</f>
        <v>191576471.03695849</v>
      </c>
      <c r="I312" s="258"/>
      <c r="J312" s="258"/>
      <c r="K312" s="258"/>
      <c r="L312" s="258"/>
      <c r="M312" s="258"/>
    </row>
    <row r="313" spans="1:13" ht="26.1" customHeight="1">
      <c r="A313" s="131"/>
      <c r="B313" s="168" t="s">
        <v>79</v>
      </c>
      <c r="C313" s="255">
        <f>C324+C335+C346+C357+C368</f>
        <v>41192257.943391696</v>
      </c>
      <c r="D313" s="255">
        <f t="shared" ref="D313:H313" si="22">D324+D335+D346+D357+D368</f>
        <v>49100095.715391695</v>
      </c>
      <c r="E313" s="255">
        <f t="shared" si="22"/>
        <v>40178889.487391695</v>
      </c>
      <c r="F313" s="255">
        <f t="shared" si="22"/>
        <v>40366805.259391695</v>
      </c>
      <c r="G313" s="255">
        <f t="shared" si="22"/>
        <v>40596089.631391697</v>
      </c>
      <c r="H313" s="255">
        <f t="shared" si="22"/>
        <v>211434138.03695849</v>
      </c>
      <c r="I313" s="258"/>
      <c r="J313" s="258"/>
      <c r="K313" s="258"/>
      <c r="L313" s="258"/>
      <c r="M313" s="258"/>
    </row>
    <row r="314" spans="1:13" ht="26.1" customHeight="1">
      <c r="A314" s="131"/>
      <c r="B314" s="169" t="s">
        <v>80</v>
      </c>
      <c r="C314" s="255">
        <f t="shared" ref="C314:H314" si="23">C325+C336+C347+C358+C369</f>
        <v>41112257.943391696</v>
      </c>
      <c r="D314" s="255">
        <f t="shared" si="23"/>
        <v>41547120.715391695</v>
      </c>
      <c r="E314" s="255">
        <f t="shared" si="23"/>
        <v>40178889.487391688</v>
      </c>
      <c r="F314" s="255">
        <f t="shared" si="23"/>
        <v>34309158.259391695</v>
      </c>
      <c r="G314" s="255">
        <f t="shared" si="23"/>
        <v>34428642.631391697</v>
      </c>
      <c r="H314" s="255">
        <f t="shared" si="23"/>
        <v>191576069.03695849</v>
      </c>
      <c r="I314" s="258"/>
      <c r="J314" s="258"/>
      <c r="K314" s="258"/>
      <c r="L314" s="258"/>
      <c r="M314" s="258"/>
    </row>
    <row r="315" spans="1:13" ht="26.1" customHeight="1">
      <c r="A315" s="131"/>
      <c r="B315" s="169" t="s">
        <v>429</v>
      </c>
      <c r="C315" s="255">
        <f t="shared" ref="C315:H315" si="24">C326+C337+C348+C359+C370</f>
        <v>9002317.31770752</v>
      </c>
      <c r="D315" s="255">
        <f t="shared" si="24"/>
        <v>9692099.6677075215</v>
      </c>
      <c r="E315" s="255">
        <f t="shared" si="24"/>
        <v>10381882.017707519</v>
      </c>
      <c r="F315" s="255">
        <f t="shared" si="24"/>
        <v>12320864.367707521</v>
      </c>
      <c r="G315" s="255">
        <f t="shared" si="24"/>
        <v>14266867.731707521</v>
      </c>
      <c r="H315" s="255">
        <f t="shared" si="24"/>
        <v>55664031.102537602</v>
      </c>
    </row>
    <row r="316" spans="1:13" ht="26.1" customHeight="1">
      <c r="A316" s="131"/>
      <c r="B316" s="169" t="s">
        <v>133</v>
      </c>
      <c r="C316" s="255">
        <f t="shared" ref="C316:H316" si="25">C327+C338+C349+C360+C371</f>
        <v>7974266.9030175088</v>
      </c>
      <c r="D316" s="255">
        <f t="shared" si="25"/>
        <v>7861683.4983675089</v>
      </c>
      <c r="E316" s="255">
        <f t="shared" si="25"/>
        <v>7834572.9812175082</v>
      </c>
      <c r="F316" s="255">
        <f t="shared" si="25"/>
        <v>8453171.2778175082</v>
      </c>
      <c r="G316" s="255">
        <f t="shared" si="25"/>
        <v>8040991.1894175094</v>
      </c>
      <c r="H316" s="255">
        <f t="shared" si="25"/>
        <v>40164685.849837542</v>
      </c>
    </row>
    <row r="317" spans="1:13" ht="26.1" customHeight="1">
      <c r="A317" s="131"/>
      <c r="B317" s="169" t="s">
        <v>81</v>
      </c>
      <c r="C317" s="255">
        <f t="shared" ref="C317:H317" si="26">C328+C339+C350+C361+C372</f>
        <v>0</v>
      </c>
      <c r="D317" s="255">
        <f t="shared" si="26"/>
        <v>0</v>
      </c>
      <c r="E317" s="255">
        <f t="shared" si="26"/>
        <v>0</v>
      </c>
      <c r="F317" s="255">
        <f t="shared" si="26"/>
        <v>0</v>
      </c>
      <c r="G317" s="255">
        <f t="shared" si="26"/>
        <v>0</v>
      </c>
      <c r="H317" s="255">
        <f t="shared" si="26"/>
        <v>0</v>
      </c>
    </row>
    <row r="318" spans="1:13" ht="26.1" customHeight="1">
      <c r="A318" s="131"/>
      <c r="B318" s="169" t="s">
        <v>134</v>
      </c>
      <c r="C318" s="255">
        <f t="shared" ref="C318:H318" si="27">C329+C340+C351+C362+C373</f>
        <v>17786620.342666667</v>
      </c>
      <c r="D318" s="255">
        <f t="shared" si="27"/>
        <v>16369454.433066668</v>
      </c>
      <c r="E318" s="255">
        <f t="shared" si="27"/>
        <v>14952288.523466665</v>
      </c>
      <c r="F318" s="255">
        <f t="shared" si="27"/>
        <v>13535122.613866666</v>
      </c>
      <c r="G318" s="255">
        <f t="shared" si="27"/>
        <v>12120783.710266665</v>
      </c>
      <c r="H318" s="255">
        <f t="shared" si="27"/>
        <v>74764269.623333335</v>
      </c>
    </row>
    <row r="319" spans="1:13" ht="26.1" customHeight="1">
      <c r="A319" s="131"/>
      <c r="B319" s="169" t="s">
        <v>82</v>
      </c>
      <c r="C319" s="255">
        <f t="shared" ref="C319:H319" si="28">C330+C341+C352+C363+C374</f>
        <v>3257747</v>
      </c>
      <c r="D319" s="255">
        <f t="shared" si="28"/>
        <v>4754697</v>
      </c>
      <c r="E319" s="255">
        <f t="shared" si="28"/>
        <v>4562447</v>
      </c>
      <c r="F319" s="255">
        <f t="shared" si="28"/>
        <v>0</v>
      </c>
      <c r="G319" s="255">
        <f t="shared" si="28"/>
        <v>0</v>
      </c>
      <c r="H319" s="255">
        <f t="shared" si="28"/>
        <v>12574891</v>
      </c>
    </row>
    <row r="320" spans="1:13" ht="26.1" customHeight="1">
      <c r="A320" s="131"/>
      <c r="B320" s="169" t="s">
        <v>90</v>
      </c>
      <c r="C320" s="255">
        <f t="shared" ref="C320:H320" si="29">C331+C342+C353+C364+C375</f>
        <v>3091306.38</v>
      </c>
      <c r="D320" s="255">
        <f t="shared" si="29"/>
        <v>2869186.11625</v>
      </c>
      <c r="E320" s="255">
        <f t="shared" si="29"/>
        <v>2447698.9649999999</v>
      </c>
      <c r="F320" s="255">
        <f t="shared" si="29"/>
        <v>0</v>
      </c>
      <c r="G320" s="255">
        <f t="shared" si="29"/>
        <v>0</v>
      </c>
      <c r="H320" s="255">
        <f t="shared" si="29"/>
        <v>8408191.4612499997</v>
      </c>
    </row>
    <row r="321" spans="1:13" ht="26.1" customHeight="1">
      <c r="A321" s="131"/>
      <c r="B321" s="169" t="s">
        <v>83</v>
      </c>
      <c r="C321" s="255">
        <f t="shared" ref="C321:H321" si="30">C332+C343+C354+C365+C376</f>
        <v>0</v>
      </c>
      <c r="D321" s="255">
        <f t="shared" si="30"/>
        <v>0</v>
      </c>
      <c r="E321" s="255">
        <f t="shared" si="30"/>
        <v>0</v>
      </c>
      <c r="F321" s="255">
        <f t="shared" si="30"/>
        <v>0</v>
      </c>
      <c r="G321" s="255">
        <f t="shared" si="30"/>
        <v>0</v>
      </c>
      <c r="H321" s="255">
        <f t="shared" si="30"/>
        <v>0</v>
      </c>
    </row>
    <row r="322" spans="1:13" ht="26.1" customHeight="1">
      <c r="A322" s="131"/>
      <c r="B322" s="169" t="s">
        <v>84</v>
      </c>
      <c r="C322" s="255">
        <f t="shared" ref="C322:H322" si="31">C333+C344+C355+C366+C377</f>
        <v>80000</v>
      </c>
      <c r="D322" s="255">
        <f t="shared" si="31"/>
        <v>7552975</v>
      </c>
      <c r="E322" s="255">
        <f t="shared" si="31"/>
        <v>0</v>
      </c>
      <c r="F322" s="255">
        <f t="shared" si="31"/>
        <v>6057647</v>
      </c>
      <c r="G322" s="255">
        <f t="shared" si="31"/>
        <v>6167447</v>
      </c>
      <c r="H322" s="255">
        <f t="shared" si="31"/>
        <v>19858069</v>
      </c>
    </row>
    <row r="323" spans="1:13" ht="36" customHeight="1">
      <c r="A323" s="137" t="str">
        <f>BugetComplet!F$911</f>
        <v>2.3.1</v>
      </c>
      <c r="B323" s="139" t="str">
        <f>BugetComplet!G$911</f>
        <v xml:space="preserve"> Повышение эффективности лечения путем обеспечения приверженности к АРТ</v>
      </c>
      <c r="C323" s="257">
        <f>BugetComplet!Q$911</f>
        <v>3710000</v>
      </c>
      <c r="D323" s="257">
        <f>BugetComplet!R$911</f>
        <v>3710000</v>
      </c>
      <c r="E323" s="257">
        <f>BugetComplet!S$911</f>
        <v>3710402</v>
      </c>
      <c r="F323" s="257">
        <f>BugetComplet!T$911</f>
        <v>0</v>
      </c>
      <c r="G323" s="257">
        <f>BugetComplet!U$911</f>
        <v>0</v>
      </c>
      <c r="H323" s="257">
        <f>BugetComplet!V$911</f>
        <v>11130402</v>
      </c>
      <c r="I323" s="258"/>
      <c r="J323" s="258"/>
      <c r="K323" s="258"/>
      <c r="L323" s="258"/>
      <c r="M323" s="258"/>
    </row>
    <row r="324" spans="1:13" ht="26.1" customHeight="1">
      <c r="A324" s="131"/>
      <c r="B324" s="168" t="s">
        <v>79</v>
      </c>
      <c r="C324" s="255">
        <f>BugetComplet!Q912</f>
        <v>3710000</v>
      </c>
      <c r="D324" s="255">
        <f>BugetComplet!R912</f>
        <v>3710000</v>
      </c>
      <c r="E324" s="255">
        <f>BugetComplet!S912</f>
        <v>3710000</v>
      </c>
      <c r="F324" s="255">
        <f>BugetComplet!T912</f>
        <v>3710000</v>
      </c>
      <c r="G324" s="255">
        <f>BugetComplet!U912</f>
        <v>3736000</v>
      </c>
      <c r="H324" s="255">
        <f>BugetComplet!V912</f>
        <v>18576000</v>
      </c>
    </row>
    <row r="325" spans="1:13" ht="26.1" customHeight="1">
      <c r="A325" s="131"/>
      <c r="B325" s="169" t="s">
        <v>80</v>
      </c>
      <c r="C325" s="255">
        <f>BugetComplet!Q913</f>
        <v>3710000</v>
      </c>
      <c r="D325" s="255">
        <f>BugetComplet!R913</f>
        <v>3710000</v>
      </c>
      <c r="E325" s="255">
        <f>BugetComplet!S913</f>
        <v>3710000</v>
      </c>
      <c r="F325" s="255">
        <f>BugetComplet!T913</f>
        <v>0</v>
      </c>
      <c r="G325" s="255">
        <f>BugetComplet!U913</f>
        <v>0</v>
      </c>
      <c r="H325" s="255">
        <f>BugetComplet!V913</f>
        <v>11130000</v>
      </c>
    </row>
    <row r="326" spans="1:13" ht="26.1" customHeight="1">
      <c r="A326" s="131"/>
      <c r="B326" s="169" t="s">
        <v>429</v>
      </c>
      <c r="C326" s="255">
        <f>BugetComplet!Q914</f>
        <v>0</v>
      </c>
      <c r="D326" s="255">
        <f>BugetComplet!R914</f>
        <v>0</v>
      </c>
      <c r="E326" s="255">
        <f>BugetComplet!S914</f>
        <v>0</v>
      </c>
      <c r="F326" s="255">
        <f>BugetComplet!T914</f>
        <v>0</v>
      </c>
      <c r="G326" s="255">
        <f>BugetComplet!U914</f>
        <v>0</v>
      </c>
      <c r="H326" s="255">
        <f>BugetComplet!V914</f>
        <v>0</v>
      </c>
    </row>
    <row r="327" spans="1:13" ht="26.1" customHeight="1">
      <c r="A327" s="131"/>
      <c r="B327" s="169" t="s">
        <v>133</v>
      </c>
      <c r="C327" s="255">
        <f>BugetComplet!Q915</f>
        <v>0</v>
      </c>
      <c r="D327" s="255">
        <f>BugetComplet!R915</f>
        <v>0</v>
      </c>
      <c r="E327" s="255">
        <f>BugetComplet!S915</f>
        <v>0</v>
      </c>
      <c r="F327" s="255">
        <f>BugetComplet!T915</f>
        <v>0</v>
      </c>
      <c r="G327" s="255">
        <f>BugetComplet!U915</f>
        <v>0</v>
      </c>
      <c r="H327" s="255">
        <f>BugetComplet!V915</f>
        <v>0</v>
      </c>
    </row>
    <row r="328" spans="1:13" ht="26.1" customHeight="1">
      <c r="A328" s="131"/>
      <c r="B328" s="169" t="s">
        <v>81</v>
      </c>
      <c r="C328" s="255">
        <f>BugetComplet!Q916</f>
        <v>0</v>
      </c>
      <c r="D328" s="255">
        <f>BugetComplet!R916</f>
        <v>0</v>
      </c>
      <c r="E328" s="255">
        <f>BugetComplet!S916</f>
        <v>0</v>
      </c>
      <c r="F328" s="255">
        <f>BugetComplet!T916</f>
        <v>0</v>
      </c>
      <c r="G328" s="255">
        <f>BugetComplet!U916</f>
        <v>0</v>
      </c>
      <c r="H328" s="255">
        <f>BugetComplet!V916</f>
        <v>0</v>
      </c>
    </row>
    <row r="329" spans="1:13" ht="26.1" customHeight="1">
      <c r="A329" s="131"/>
      <c r="B329" s="169" t="s">
        <v>134</v>
      </c>
      <c r="C329" s="255">
        <f>BugetComplet!Q917</f>
        <v>0</v>
      </c>
      <c r="D329" s="255">
        <f>BugetComplet!R917</f>
        <v>0</v>
      </c>
      <c r="E329" s="255">
        <f>BugetComplet!S917</f>
        <v>0</v>
      </c>
      <c r="F329" s="255">
        <f>BugetComplet!T917</f>
        <v>0</v>
      </c>
      <c r="G329" s="255">
        <f>BugetComplet!U917</f>
        <v>0</v>
      </c>
      <c r="H329" s="255">
        <f>BugetComplet!V917</f>
        <v>0</v>
      </c>
    </row>
    <row r="330" spans="1:13" ht="26.1" customHeight="1">
      <c r="A330" s="131"/>
      <c r="B330" s="169" t="s">
        <v>82</v>
      </c>
      <c r="C330" s="255">
        <f>BugetComplet!Q918</f>
        <v>2597000</v>
      </c>
      <c r="D330" s="255">
        <f>BugetComplet!R918</f>
        <v>2597000</v>
      </c>
      <c r="E330" s="255">
        <f>BugetComplet!S918</f>
        <v>2597000</v>
      </c>
      <c r="F330" s="255">
        <f>BugetComplet!T918</f>
        <v>0</v>
      </c>
      <c r="G330" s="255">
        <f>BugetComplet!U918</f>
        <v>0</v>
      </c>
      <c r="H330" s="255">
        <f>BugetComplet!V918</f>
        <v>7791000</v>
      </c>
    </row>
    <row r="331" spans="1:13" ht="26.1" customHeight="1">
      <c r="A331" s="131"/>
      <c r="B331" s="169" t="s">
        <v>90</v>
      </c>
      <c r="C331" s="255">
        <f>BugetComplet!Q919</f>
        <v>1113000</v>
      </c>
      <c r="D331" s="255">
        <f>BugetComplet!R919</f>
        <v>1113000</v>
      </c>
      <c r="E331" s="255">
        <f>BugetComplet!S919</f>
        <v>1113000</v>
      </c>
      <c r="F331" s="255">
        <f>BugetComplet!T919</f>
        <v>0</v>
      </c>
      <c r="G331" s="255">
        <f>BugetComplet!U919</f>
        <v>0</v>
      </c>
      <c r="H331" s="255">
        <f>BugetComplet!V919</f>
        <v>3339000</v>
      </c>
    </row>
    <row r="332" spans="1:13" ht="26.1" customHeight="1">
      <c r="A332" s="131"/>
      <c r="B332" s="169" t="s">
        <v>83</v>
      </c>
      <c r="C332" s="255">
        <f>BugetComplet!Q920</f>
        <v>0</v>
      </c>
      <c r="D332" s="255">
        <f>BugetComplet!R920</f>
        <v>0</v>
      </c>
      <c r="E332" s="255">
        <f>BugetComplet!S920</f>
        <v>0</v>
      </c>
      <c r="F332" s="255">
        <f>BugetComplet!T920</f>
        <v>0</v>
      </c>
      <c r="G332" s="255">
        <f>BugetComplet!U920</f>
        <v>0</v>
      </c>
      <c r="H332" s="255">
        <f>BugetComplet!V920</f>
        <v>0</v>
      </c>
    </row>
    <row r="333" spans="1:13" ht="26.1" customHeight="1">
      <c r="A333" s="131"/>
      <c r="B333" s="169" t="s">
        <v>84</v>
      </c>
      <c r="C333" s="255">
        <f>BugetComplet!Q921</f>
        <v>0</v>
      </c>
      <c r="D333" s="255">
        <f>BugetComplet!R921</f>
        <v>0</v>
      </c>
      <c r="E333" s="255">
        <f>BugetComplet!S921</f>
        <v>0</v>
      </c>
      <c r="F333" s="255">
        <f>BugetComplet!T921</f>
        <v>3710000</v>
      </c>
      <c r="G333" s="255">
        <f>BugetComplet!U921</f>
        <v>3736000</v>
      </c>
      <c r="H333" s="255">
        <f>BugetComplet!V921</f>
        <v>7446000</v>
      </c>
    </row>
    <row r="334" spans="1:13" ht="36" customHeight="1">
      <c r="A334" s="137" t="str">
        <f>BugetComplet!F$932</f>
        <v>2.3.2</v>
      </c>
      <c r="B334" s="139" t="str">
        <f>BugetComplet!G$932</f>
        <v xml:space="preserve">Вовлечение Социальных Центров для оказанию полного пакета услуг ЛЖВ и  для групп риска </v>
      </c>
      <c r="C334" s="257">
        <f>BugetComplet!Q$932</f>
        <v>4964300</v>
      </c>
      <c r="D334" s="257">
        <f>BugetComplet!R$932</f>
        <v>6730218</v>
      </c>
      <c r="E334" s="257">
        <f>BugetComplet!S$932</f>
        <v>6806936</v>
      </c>
      <c r="F334" s="257">
        <f>BugetComplet!T$932</f>
        <v>6052154</v>
      </c>
      <c r="G334" s="257">
        <f>BugetComplet!U$932</f>
        <v>7545572</v>
      </c>
      <c r="H334" s="257">
        <f>BugetComplet!V$932</f>
        <v>32099180</v>
      </c>
      <c r="I334" s="258"/>
      <c r="J334" s="258"/>
      <c r="K334" s="258"/>
      <c r="L334" s="258"/>
      <c r="M334" s="258"/>
    </row>
    <row r="335" spans="1:13" ht="26.1" customHeight="1">
      <c r="A335" s="131"/>
      <c r="B335" s="168" t="s">
        <v>79</v>
      </c>
      <c r="C335" s="255">
        <f>BugetComplet!Q933+BugetComplet!Q943+BugetComplet!Q953+BugetComplet!Q963+BugetComplet!Q973</f>
        <v>4964300</v>
      </c>
      <c r="D335" s="255">
        <f>BugetComplet!R933+BugetComplet!R943+BugetComplet!R953+BugetComplet!R963+BugetComplet!R973</f>
        <v>6730218</v>
      </c>
      <c r="E335" s="255">
        <f>BugetComplet!S933+BugetComplet!S943+BugetComplet!S953+BugetComplet!S963+BugetComplet!S973</f>
        <v>6806936</v>
      </c>
      <c r="F335" s="255">
        <f>BugetComplet!T933+BugetComplet!T943+BugetComplet!T953+BugetComplet!T963+BugetComplet!T973</f>
        <v>8382854</v>
      </c>
      <c r="G335" s="255">
        <f>BugetComplet!U933+BugetComplet!U943+BugetComplet!U953+BugetComplet!U963+BugetComplet!U973</f>
        <v>9960072</v>
      </c>
      <c r="H335" s="255">
        <f>BugetComplet!V933+BugetComplet!V943+BugetComplet!V953+BugetComplet!V963+BugetComplet!V973</f>
        <v>36844380</v>
      </c>
    </row>
    <row r="336" spans="1:13" ht="26.1" customHeight="1">
      <c r="A336" s="131"/>
      <c r="B336" s="169" t="s">
        <v>80</v>
      </c>
      <c r="C336" s="255">
        <f>BugetComplet!Q934+BugetComplet!Q944+BugetComplet!Q954+BugetComplet!Q964+BugetComplet!Q974</f>
        <v>4964300</v>
      </c>
      <c r="D336" s="255">
        <f>BugetComplet!R934+BugetComplet!R944+BugetComplet!R954+BugetComplet!R964+BugetComplet!R974</f>
        <v>6730218</v>
      </c>
      <c r="E336" s="255">
        <f>BugetComplet!S934+BugetComplet!S944+BugetComplet!S954+BugetComplet!S964+BugetComplet!S974</f>
        <v>6806936</v>
      </c>
      <c r="F336" s="255">
        <f>BugetComplet!T934+BugetComplet!T944+BugetComplet!T954+BugetComplet!T964+BugetComplet!T974</f>
        <v>6052154</v>
      </c>
      <c r="G336" s="255">
        <f>BugetComplet!U934+BugetComplet!U944+BugetComplet!U954+BugetComplet!U964+BugetComplet!U974</f>
        <v>7545572</v>
      </c>
      <c r="H336" s="255">
        <f>BugetComplet!V934+BugetComplet!V944+BugetComplet!V954+BugetComplet!V964+BugetComplet!V974</f>
        <v>32099180</v>
      </c>
    </row>
    <row r="337" spans="1:13" ht="26.1" customHeight="1">
      <c r="A337" s="131"/>
      <c r="B337" s="169" t="s">
        <v>429</v>
      </c>
      <c r="C337" s="255">
        <f>BugetComplet!Q935+BugetComplet!Q945+BugetComplet!Q955+BugetComplet!Q965+BugetComplet!Q975</f>
        <v>4070300</v>
      </c>
      <c r="D337" s="255">
        <f>BugetComplet!R935+BugetComplet!R945+BugetComplet!R955+BugetComplet!R965+BugetComplet!R975</f>
        <v>4314518</v>
      </c>
      <c r="E337" s="255">
        <f>BugetComplet!S935+BugetComplet!S945+BugetComplet!S955+BugetComplet!S965+BugetComplet!S975</f>
        <v>4558736</v>
      </c>
      <c r="F337" s="255">
        <f>BugetComplet!T935+BugetComplet!T945+BugetComplet!T955+BugetComplet!T965+BugetComplet!T975</f>
        <v>6052154</v>
      </c>
      <c r="G337" s="255">
        <f>BugetComplet!U935+BugetComplet!U945+BugetComplet!U955+BugetComplet!U965+BugetComplet!U975</f>
        <v>7545572</v>
      </c>
      <c r="H337" s="255">
        <f>BugetComplet!V935+BugetComplet!V945+BugetComplet!V955+BugetComplet!V965+BugetComplet!V975</f>
        <v>26541280</v>
      </c>
    </row>
    <row r="338" spans="1:13" ht="26.1" customHeight="1">
      <c r="A338" s="131"/>
      <c r="B338" s="169" t="s">
        <v>133</v>
      </c>
      <c r="C338" s="255">
        <f>BugetComplet!Q936+BugetComplet!Q946+BugetComplet!Q956+BugetComplet!Q966+BugetComplet!Q976</f>
        <v>0</v>
      </c>
      <c r="D338" s="255">
        <f>BugetComplet!R936+BugetComplet!R946+BugetComplet!R956+BugetComplet!R966+BugetComplet!R976</f>
        <v>0</v>
      </c>
      <c r="E338" s="255">
        <f>BugetComplet!S936+BugetComplet!S946+BugetComplet!S956+BugetComplet!S966+BugetComplet!S976</f>
        <v>0</v>
      </c>
      <c r="F338" s="255">
        <f>BugetComplet!T936+BugetComplet!T946+BugetComplet!T956+BugetComplet!T966+BugetComplet!T976</f>
        <v>0</v>
      </c>
      <c r="G338" s="255">
        <f>BugetComplet!U936+BugetComplet!U946+BugetComplet!U956+BugetComplet!U966+BugetComplet!U976</f>
        <v>0</v>
      </c>
      <c r="H338" s="255">
        <f>BugetComplet!V936+BugetComplet!V946+BugetComplet!V956+BugetComplet!V966+BugetComplet!V976</f>
        <v>0</v>
      </c>
    </row>
    <row r="339" spans="1:13" ht="26.1" customHeight="1">
      <c r="A339" s="131"/>
      <c r="B339" s="169" t="s">
        <v>81</v>
      </c>
      <c r="C339" s="255">
        <f>BugetComplet!Q937+BugetComplet!Q947+BugetComplet!Q957+BugetComplet!Q967+BugetComplet!Q977</f>
        <v>0</v>
      </c>
      <c r="D339" s="255">
        <f>BugetComplet!R937+BugetComplet!R947+BugetComplet!R957+BugetComplet!R967+BugetComplet!R977</f>
        <v>0</v>
      </c>
      <c r="E339" s="255">
        <f>BugetComplet!S937+BugetComplet!S947+BugetComplet!S957+BugetComplet!S967+BugetComplet!S977</f>
        <v>0</v>
      </c>
      <c r="F339" s="255">
        <f>BugetComplet!T937+BugetComplet!T947+BugetComplet!T957+BugetComplet!T967+BugetComplet!T977</f>
        <v>0</v>
      </c>
      <c r="G339" s="255">
        <f>BugetComplet!U937+BugetComplet!U947+BugetComplet!U957+BugetComplet!U967+BugetComplet!U977</f>
        <v>0</v>
      </c>
      <c r="H339" s="255">
        <f>BugetComplet!V937+BugetComplet!V947+BugetComplet!V957+BugetComplet!V967+BugetComplet!V977</f>
        <v>0</v>
      </c>
    </row>
    <row r="340" spans="1:13" ht="26.1" customHeight="1">
      <c r="A340" s="131"/>
      <c r="B340" s="169" t="s">
        <v>134</v>
      </c>
      <c r="C340" s="255">
        <f>BugetComplet!Q938+BugetComplet!Q948+BugetComplet!Q958+BugetComplet!Q968+BugetComplet!Q978</f>
        <v>0</v>
      </c>
      <c r="D340" s="255">
        <f>BugetComplet!R938+BugetComplet!R948+BugetComplet!R958+BugetComplet!R968+BugetComplet!R978</f>
        <v>0</v>
      </c>
      <c r="E340" s="255">
        <f>BugetComplet!S938+BugetComplet!S948+BugetComplet!S958+BugetComplet!S968+BugetComplet!S978</f>
        <v>0</v>
      </c>
      <c r="F340" s="255">
        <f>BugetComplet!T938+BugetComplet!T948+BugetComplet!T958+BugetComplet!T968+BugetComplet!T978</f>
        <v>0</v>
      </c>
      <c r="G340" s="255">
        <f>BugetComplet!U938+BugetComplet!U948+BugetComplet!U958+BugetComplet!U968+BugetComplet!U978</f>
        <v>0</v>
      </c>
      <c r="H340" s="255">
        <f>BugetComplet!V938+BugetComplet!V948+BugetComplet!V958+BugetComplet!V968+BugetComplet!V978</f>
        <v>0</v>
      </c>
    </row>
    <row r="341" spans="1:13" ht="26.1" customHeight="1">
      <c r="A341" s="131"/>
      <c r="B341" s="169" t="s">
        <v>82</v>
      </c>
      <c r="C341" s="255">
        <f>BugetComplet!Q939+BugetComplet!Q949+BugetComplet!Q959+BugetComplet!Q969+BugetComplet!Q979</f>
        <v>643800</v>
      </c>
      <c r="D341" s="255">
        <f>BugetComplet!R939+BugetComplet!R949+BugetComplet!R959+BugetComplet!R969+BugetComplet!R979</f>
        <v>2140750</v>
      </c>
      <c r="E341" s="255">
        <f>BugetComplet!S939+BugetComplet!S949+BugetComplet!S959+BugetComplet!S969+BugetComplet!S979</f>
        <v>1948500</v>
      </c>
      <c r="F341" s="255">
        <f>BugetComplet!T939+BugetComplet!T949+BugetComplet!T959+BugetComplet!T969+BugetComplet!T979</f>
        <v>0</v>
      </c>
      <c r="G341" s="255">
        <f>BugetComplet!U939+BugetComplet!U949+BugetComplet!U959+BugetComplet!U969+BugetComplet!U979</f>
        <v>0</v>
      </c>
      <c r="H341" s="255">
        <f>BugetComplet!V939+BugetComplet!V949+BugetComplet!V959+BugetComplet!V969+BugetComplet!V979</f>
        <v>4733050</v>
      </c>
    </row>
    <row r="342" spans="1:13" ht="26.1" customHeight="1">
      <c r="A342" s="131"/>
      <c r="B342" s="169" t="s">
        <v>90</v>
      </c>
      <c r="C342" s="255">
        <f>BugetComplet!Q940+BugetComplet!Q950+BugetComplet!Q960+BugetComplet!Q970+BugetComplet!Q980</f>
        <v>250200</v>
      </c>
      <c r="D342" s="255">
        <f>BugetComplet!R940+BugetComplet!R950+BugetComplet!R960+BugetComplet!R970+BugetComplet!R980</f>
        <v>274950</v>
      </c>
      <c r="E342" s="255">
        <f>BugetComplet!S940+BugetComplet!S950+BugetComplet!S960+BugetComplet!S970+BugetComplet!S980</f>
        <v>299700</v>
      </c>
      <c r="F342" s="255">
        <f>BugetComplet!T940+BugetComplet!T950+BugetComplet!T960+BugetComplet!T970+BugetComplet!T980</f>
        <v>0</v>
      </c>
      <c r="G342" s="255">
        <f>BugetComplet!U940+BugetComplet!U950+BugetComplet!U960+BugetComplet!U970+BugetComplet!U980</f>
        <v>0</v>
      </c>
      <c r="H342" s="255">
        <f>BugetComplet!V940+BugetComplet!V950+BugetComplet!V960+BugetComplet!V970+BugetComplet!V980</f>
        <v>824850</v>
      </c>
    </row>
    <row r="343" spans="1:13" ht="26.1" customHeight="1">
      <c r="A343" s="131"/>
      <c r="B343" s="169" t="s">
        <v>83</v>
      </c>
      <c r="C343" s="255">
        <f>BugetComplet!Q941+BugetComplet!Q951+BugetComplet!Q961+BugetComplet!Q971+BugetComplet!Q981</f>
        <v>0</v>
      </c>
      <c r="D343" s="255">
        <f>BugetComplet!R941+BugetComplet!R951+BugetComplet!R961+BugetComplet!R971+BugetComplet!R981</f>
        <v>0</v>
      </c>
      <c r="E343" s="255">
        <f>BugetComplet!S941+BugetComplet!S951+BugetComplet!S961+BugetComplet!S971+BugetComplet!S981</f>
        <v>0</v>
      </c>
      <c r="F343" s="255">
        <f>BugetComplet!T941+BugetComplet!T951+BugetComplet!T961+BugetComplet!T971+BugetComplet!T981</f>
        <v>0</v>
      </c>
      <c r="G343" s="255">
        <f>BugetComplet!U941+BugetComplet!U951+BugetComplet!U961+BugetComplet!U971+BugetComplet!U981</f>
        <v>0</v>
      </c>
      <c r="H343" s="255">
        <f>BugetComplet!V941+BugetComplet!V951+BugetComplet!V961+BugetComplet!V971+BugetComplet!V981</f>
        <v>0</v>
      </c>
    </row>
    <row r="344" spans="1:13" ht="26.1" customHeight="1">
      <c r="A344" s="131"/>
      <c r="B344" s="169" t="s">
        <v>84</v>
      </c>
      <c r="C344" s="255">
        <f>BugetComplet!Q942+BugetComplet!Q952+BugetComplet!Q962+BugetComplet!Q972+BugetComplet!Q982</f>
        <v>0</v>
      </c>
      <c r="D344" s="255">
        <f>BugetComplet!R942+BugetComplet!R952+BugetComplet!R962+BugetComplet!R972+BugetComplet!R982</f>
        <v>0</v>
      </c>
      <c r="E344" s="255">
        <f>BugetComplet!S942+BugetComplet!S952+BugetComplet!S962+BugetComplet!S972+BugetComplet!S982</f>
        <v>0</v>
      </c>
      <c r="F344" s="255">
        <f>BugetComplet!T942+BugetComplet!T952+BugetComplet!T962+BugetComplet!T972+BugetComplet!T982</f>
        <v>2330700</v>
      </c>
      <c r="G344" s="255">
        <f>BugetComplet!U942+BugetComplet!U952+BugetComplet!U962+BugetComplet!U972+BugetComplet!U982</f>
        <v>2414500</v>
      </c>
      <c r="H344" s="255">
        <f>BugetComplet!V942+BugetComplet!V952+BugetComplet!V962+BugetComplet!V972+BugetComplet!V982</f>
        <v>4745200</v>
      </c>
    </row>
    <row r="345" spans="1:13" ht="36" customHeight="1">
      <c r="A345" s="137" t="str">
        <f>BugetComplet!F$983</f>
        <v>2.3.3</v>
      </c>
      <c r="B345" s="139" t="str">
        <f>BugetComplet!G$983</f>
        <v xml:space="preserve"> Обеспечение мониторинга лечения пациентов с ВИЧ </v>
      </c>
      <c r="C345" s="257">
        <f>BugetComplet!Q$983</f>
        <v>7864362.666666666</v>
      </c>
      <c r="D345" s="257">
        <f>BugetComplet!R$983</f>
        <v>8639367.666666666</v>
      </c>
      <c r="E345" s="257">
        <f>BugetComplet!S$983</f>
        <v>9414372.666666666</v>
      </c>
      <c r="F345" s="257">
        <f>BugetComplet!T$983</f>
        <v>10189377.666666668</v>
      </c>
      <c r="G345" s="257">
        <f>BugetComplet!U$983</f>
        <v>10976594.866666665</v>
      </c>
      <c r="H345" s="257">
        <f>BugetComplet!V$983</f>
        <v>47084075.533333331</v>
      </c>
      <c r="I345" s="258"/>
      <c r="J345" s="258"/>
      <c r="K345" s="258"/>
      <c r="L345" s="258"/>
      <c r="M345" s="258"/>
    </row>
    <row r="346" spans="1:13" ht="26.1" customHeight="1">
      <c r="A346" s="131"/>
      <c r="B346" s="168" t="s">
        <v>79</v>
      </c>
      <c r="C346" s="255">
        <f>BugetComplet!Q984+BugetComplet!Q994+BugetComplet!Q1004+BugetComplet!Q1014+BugetComplet!Q1024+BugetComplet!Q1034</f>
        <v>7864362.6666666679</v>
      </c>
      <c r="D346" s="255">
        <f>BugetComplet!R984+BugetComplet!R994+BugetComplet!R1004+BugetComplet!R1014+BugetComplet!R1024+BugetComplet!R1034</f>
        <v>16192342.666666668</v>
      </c>
      <c r="E346" s="255">
        <f>BugetComplet!S984+BugetComplet!S994+BugetComplet!S1004+BugetComplet!S1014+BugetComplet!S1024+BugetComplet!S1034</f>
        <v>9414372.6666666679</v>
      </c>
      <c r="F346" s="255">
        <f>BugetComplet!T984+BugetComplet!T994+BugetComplet!T1004+BugetComplet!T1014+BugetComplet!T1024+BugetComplet!T1034</f>
        <v>10189377.666666668</v>
      </c>
      <c r="G346" s="255">
        <f>BugetComplet!U984+BugetComplet!U994+BugetComplet!U1004+BugetComplet!U1014+BugetComplet!U1024+BugetComplet!U1034</f>
        <v>10976594.866666667</v>
      </c>
      <c r="H346" s="255">
        <f>BugetComplet!V984+BugetComplet!V994+BugetComplet!V1004+BugetComplet!V1014+BugetComplet!V1024+BugetComplet!V1034</f>
        <v>54637050.533333339</v>
      </c>
    </row>
    <row r="347" spans="1:13" ht="26.1" customHeight="1">
      <c r="A347" s="131"/>
      <c r="B347" s="169" t="s">
        <v>80</v>
      </c>
      <c r="C347" s="255">
        <f>BugetComplet!Q985+BugetComplet!Q995+BugetComplet!Q1005+BugetComplet!Q1015+BugetComplet!Q1025+BugetComplet!Q1035</f>
        <v>7864362.666666666</v>
      </c>
      <c r="D347" s="255">
        <f>BugetComplet!R985+BugetComplet!R995+BugetComplet!R1005+BugetComplet!R1015+BugetComplet!R1025+BugetComplet!R1035</f>
        <v>8639367.666666666</v>
      </c>
      <c r="E347" s="255">
        <f>BugetComplet!S985+BugetComplet!S995+BugetComplet!S1005+BugetComplet!S1015+BugetComplet!S1025+BugetComplet!S1035</f>
        <v>9414372.666666666</v>
      </c>
      <c r="F347" s="255">
        <f>BugetComplet!T985+BugetComplet!T995+BugetComplet!T1005+BugetComplet!T1015+BugetComplet!T1025+BugetComplet!T1035</f>
        <v>10189377.666666668</v>
      </c>
      <c r="G347" s="255">
        <f>BugetComplet!U985+BugetComplet!U995+BugetComplet!U1005+BugetComplet!U1015+BugetComplet!U1025+BugetComplet!U1035</f>
        <v>10976594.866666665</v>
      </c>
      <c r="H347" s="255">
        <f>BugetComplet!V985+BugetComplet!V995+BugetComplet!V1005+BugetComplet!V1015+BugetComplet!V1025+BugetComplet!V1035</f>
        <v>47084075.533333331</v>
      </c>
    </row>
    <row r="348" spans="1:13" ht="26.1" customHeight="1">
      <c r="A348" s="131"/>
      <c r="B348" s="169" t="s">
        <v>429</v>
      </c>
      <c r="C348" s="255">
        <f>BugetComplet!Q986+BugetComplet!Q996+BugetComplet!Q1006+BugetComplet!Q1016+BugetComplet!Q1026+BugetComplet!Q1036</f>
        <v>4526750.5199999996</v>
      </c>
      <c r="D348" s="255">
        <f>BugetComplet!R986+BugetComplet!R996+BugetComplet!R1006+BugetComplet!R1016+BugetComplet!R1026+BugetComplet!R1036</f>
        <v>4972314.87</v>
      </c>
      <c r="E348" s="255">
        <f>BugetComplet!S986+BugetComplet!S996+BugetComplet!S1006+BugetComplet!S1016+BugetComplet!S1026+BugetComplet!S1036</f>
        <v>5417879.2199999997</v>
      </c>
      <c r="F348" s="255">
        <f>BugetComplet!T986+BugetComplet!T996+BugetComplet!T1006+BugetComplet!T1016+BugetComplet!T1026+BugetComplet!T1036</f>
        <v>5863443.5700000012</v>
      </c>
      <c r="G348" s="255">
        <f>BugetComplet!U986+BugetComplet!U996+BugetComplet!U1006+BugetComplet!U1016+BugetComplet!U1026+BugetComplet!U1036</f>
        <v>6316028.9339999994</v>
      </c>
      <c r="H348" s="255">
        <f>BugetComplet!V986+BugetComplet!V996+BugetComplet!V1006+BugetComplet!V1016+BugetComplet!V1026+BugetComplet!V1036</f>
        <v>27096417.114</v>
      </c>
    </row>
    <row r="349" spans="1:13" ht="26.1" customHeight="1">
      <c r="A349" s="131"/>
      <c r="B349" s="169" t="s">
        <v>133</v>
      </c>
      <c r="C349" s="255">
        <f>BugetComplet!Q987+BugetComplet!Q997+BugetComplet!Q1007+BugetComplet!Q1017+BugetComplet!Q1027+BugetComplet!Q1037</f>
        <v>622272.42000000004</v>
      </c>
      <c r="D349" s="255">
        <f>BugetComplet!R987+BugetComplet!R997+BugetComplet!R1007+BugetComplet!R1017+BugetComplet!R1027+BugetComplet!R1037</f>
        <v>1158591.1837500001</v>
      </c>
      <c r="E349" s="255">
        <f>BugetComplet!S987+BugetComplet!S997+BugetComplet!S1007+BugetComplet!S1017+BugetComplet!S1027+BugetComplet!S1037</f>
        <v>1780382.835</v>
      </c>
      <c r="F349" s="255">
        <f>BugetComplet!T987+BugetComplet!T997+BugetComplet!T1007+BugetComplet!T1017+BugetComplet!T1027+BugetComplet!T1037</f>
        <v>3047883.3000000003</v>
      </c>
      <c r="G349" s="255">
        <f>BugetComplet!U987+BugetComplet!U997+BugetComplet!U1007+BugetComplet!U1017+BugetComplet!U1027+BugetComplet!U1037</f>
        <v>3284048.4600000004</v>
      </c>
      <c r="H349" s="255">
        <f>BugetComplet!V987+BugetComplet!V997+BugetComplet!V1007+BugetComplet!V1017+BugetComplet!V1027+BugetComplet!V1037</f>
        <v>9893178.1987500004</v>
      </c>
    </row>
    <row r="350" spans="1:13" ht="26.1" customHeight="1">
      <c r="A350" s="131"/>
      <c r="B350" s="169" t="s">
        <v>81</v>
      </c>
      <c r="C350" s="255">
        <f>BugetComplet!Q988+BugetComplet!Q998+BugetComplet!Q1008+BugetComplet!Q1018+BugetComplet!Q1028+BugetComplet!Q1038</f>
        <v>0</v>
      </c>
      <c r="D350" s="255">
        <f>BugetComplet!R988+BugetComplet!R998+BugetComplet!R1008+BugetComplet!R1018+BugetComplet!R1028+BugetComplet!R1038</f>
        <v>0</v>
      </c>
      <c r="E350" s="255">
        <f>BugetComplet!S988+BugetComplet!S998+BugetComplet!S1008+BugetComplet!S1018+BugetComplet!S1028+BugetComplet!S1038</f>
        <v>0</v>
      </c>
      <c r="F350" s="255">
        <f>BugetComplet!T988+BugetComplet!T998+BugetComplet!T1008+BugetComplet!T1018+BugetComplet!T1028+BugetComplet!T1038</f>
        <v>0</v>
      </c>
      <c r="G350" s="255">
        <f>BugetComplet!U988+BugetComplet!U998+BugetComplet!U1008+BugetComplet!U1018+BugetComplet!U1028+BugetComplet!U1038</f>
        <v>0</v>
      </c>
      <c r="H350" s="255">
        <f>BugetComplet!V988+BugetComplet!V998+BugetComplet!V1008+BugetComplet!V1018+BugetComplet!V1028+BugetComplet!V1038</f>
        <v>0</v>
      </c>
    </row>
    <row r="351" spans="1:13" ht="26.1" customHeight="1">
      <c r="A351" s="131"/>
      <c r="B351" s="169" t="s">
        <v>134</v>
      </c>
      <c r="C351" s="255">
        <f>BugetComplet!Q989+BugetComplet!Q999+BugetComplet!Q1009+BugetComplet!Q1019+BugetComplet!Q1029+BugetComplet!Q1039</f>
        <v>987233.34666666668</v>
      </c>
      <c r="D351" s="255">
        <f>BugetComplet!R989+BugetComplet!R999+BugetComplet!R1009+BugetComplet!R1019+BugetComplet!R1029+BugetComplet!R1039</f>
        <v>1084172.4966666666</v>
      </c>
      <c r="E351" s="255">
        <f>BugetComplet!S989+BugetComplet!S999+BugetComplet!S1009+BugetComplet!S1019+BugetComplet!S1029+BugetComplet!S1039</f>
        <v>1181111.6466666667</v>
      </c>
      <c r="F351" s="255">
        <f>BugetComplet!T989+BugetComplet!T999+BugetComplet!T1009+BugetComplet!T1019+BugetComplet!T1029+BugetComplet!T1039</f>
        <v>1278050.7966666671</v>
      </c>
      <c r="G351" s="255">
        <f>BugetComplet!U989+BugetComplet!U999+BugetComplet!U1009+BugetComplet!U1019+BugetComplet!U1029+BugetComplet!U1039</f>
        <v>1376517.4726666666</v>
      </c>
      <c r="H351" s="255">
        <f>BugetComplet!V989+BugetComplet!V999+BugetComplet!V1009+BugetComplet!V1019+BugetComplet!V1029+BugetComplet!V1039</f>
        <v>5907085.7593333339</v>
      </c>
    </row>
    <row r="352" spans="1:13" ht="26.1" customHeight="1">
      <c r="A352" s="131"/>
      <c r="B352" s="169" t="s">
        <v>82</v>
      </c>
      <c r="C352" s="255">
        <f>BugetComplet!Q990+BugetComplet!Q1000+BugetComplet!Q1010+BugetComplet!Q1020+BugetComplet!Q1030+BugetComplet!Q1040</f>
        <v>0</v>
      </c>
      <c r="D352" s="255">
        <f>BugetComplet!R990+BugetComplet!R1000+BugetComplet!R1010+BugetComplet!R1020+BugetComplet!R1030+BugetComplet!R1040</f>
        <v>0</v>
      </c>
      <c r="E352" s="255">
        <f>BugetComplet!S990+BugetComplet!S1000+BugetComplet!S1010+BugetComplet!S1020+BugetComplet!S1030+BugetComplet!S1040</f>
        <v>0</v>
      </c>
      <c r="F352" s="255">
        <f>BugetComplet!T990+BugetComplet!T1000+BugetComplet!T1010+BugetComplet!T1020+BugetComplet!T1030+BugetComplet!T1040</f>
        <v>0</v>
      </c>
      <c r="G352" s="255">
        <f>BugetComplet!U990+BugetComplet!U1000+BugetComplet!U1010+BugetComplet!U1020+BugetComplet!U1030+BugetComplet!U1040</f>
        <v>0</v>
      </c>
      <c r="H352" s="255">
        <f>BugetComplet!V990+BugetComplet!V1000+BugetComplet!V1010+BugetComplet!V1020+BugetComplet!V1030+BugetComplet!V1040</f>
        <v>0</v>
      </c>
    </row>
    <row r="353" spans="1:8" ht="26.1" customHeight="1">
      <c r="A353" s="131"/>
      <c r="B353" s="169" t="s">
        <v>90</v>
      </c>
      <c r="C353" s="255">
        <f>BugetComplet!Q991+BugetComplet!Q1001+BugetComplet!Q1011+BugetComplet!Q1021+BugetComplet!Q1031+BugetComplet!Q1041</f>
        <v>1728106.38</v>
      </c>
      <c r="D353" s="255">
        <f>BugetComplet!R991+BugetComplet!R1001+BugetComplet!R1011+BugetComplet!R1021+BugetComplet!R1031+BugetComplet!R1041</f>
        <v>1424289.11625</v>
      </c>
      <c r="E353" s="255">
        <f>BugetComplet!S991+BugetComplet!S1001+BugetComplet!S1011+BugetComplet!S1021+BugetComplet!S1031+BugetComplet!S1041</f>
        <v>1034998.9650000001</v>
      </c>
      <c r="F353" s="255">
        <f>BugetComplet!T991+BugetComplet!T1001+BugetComplet!T1011+BugetComplet!T1021+BugetComplet!T1031+BugetComplet!T1041</f>
        <v>0</v>
      </c>
      <c r="G353" s="255">
        <f>BugetComplet!U991+BugetComplet!U1001+BugetComplet!U1011+BugetComplet!U1021+BugetComplet!U1031+BugetComplet!U1041</f>
        <v>0</v>
      </c>
      <c r="H353" s="255">
        <f>BugetComplet!V991+BugetComplet!V1001+BugetComplet!V1011+BugetComplet!V1021+BugetComplet!V1031+BugetComplet!V1041</f>
        <v>4187394.4612499997</v>
      </c>
    </row>
    <row r="354" spans="1:8" ht="26.1" customHeight="1">
      <c r="A354" s="131"/>
      <c r="B354" s="169" t="s">
        <v>83</v>
      </c>
      <c r="C354" s="255">
        <f>BugetComplet!Q992+BugetComplet!Q1002+BugetComplet!Q1012+BugetComplet!Q1022+BugetComplet!Q1032+BugetComplet!Q1042</f>
        <v>0</v>
      </c>
      <c r="D354" s="255">
        <f>BugetComplet!R992+BugetComplet!R1002+BugetComplet!R1012+BugetComplet!R1022+BugetComplet!R1032+BugetComplet!R1042</f>
        <v>0</v>
      </c>
      <c r="E354" s="255">
        <f>BugetComplet!S992+BugetComplet!S1002+BugetComplet!S1012+BugetComplet!S1022+BugetComplet!S1032+BugetComplet!S1042</f>
        <v>0</v>
      </c>
      <c r="F354" s="255">
        <f>BugetComplet!T992+BugetComplet!T1002+BugetComplet!T1012+BugetComplet!T1022+BugetComplet!T1032+BugetComplet!T1042</f>
        <v>0</v>
      </c>
      <c r="G354" s="255">
        <f>BugetComplet!U992+BugetComplet!U1002+BugetComplet!U1012+BugetComplet!U1022+BugetComplet!U1032+BugetComplet!U1042</f>
        <v>0</v>
      </c>
      <c r="H354" s="255">
        <f>BugetComplet!V992+BugetComplet!V1002+BugetComplet!V1012+BugetComplet!V1022+BugetComplet!V1032+BugetComplet!V1042</f>
        <v>0</v>
      </c>
    </row>
    <row r="355" spans="1:8" ht="26.1" customHeight="1">
      <c r="A355" s="131"/>
      <c r="B355" s="169" t="s">
        <v>84</v>
      </c>
      <c r="C355" s="255">
        <f>BugetComplet!Q993+BugetComplet!Q1003+BugetComplet!Q1013+BugetComplet!Q1023+BugetComplet!Q1033+BugetComplet!Q1043</f>
        <v>0</v>
      </c>
      <c r="D355" s="255">
        <f>BugetComplet!R993+BugetComplet!R1003+BugetComplet!R1013+BugetComplet!R1023+BugetComplet!R1033+BugetComplet!R1043</f>
        <v>7552975</v>
      </c>
      <c r="E355" s="255">
        <f>BugetComplet!S993+BugetComplet!S1003+BugetComplet!S1013+BugetComplet!S1023+BugetComplet!S1033+BugetComplet!S1043</f>
        <v>0</v>
      </c>
      <c r="F355" s="255">
        <f>BugetComplet!T993+BugetComplet!T1003+BugetComplet!T1013+BugetComplet!T1023+BugetComplet!T1033+BugetComplet!T1043</f>
        <v>0</v>
      </c>
      <c r="G355" s="255">
        <f>BugetComplet!U993+BugetComplet!U1003+BugetComplet!U1013+BugetComplet!U1023+BugetComplet!U1033+BugetComplet!U1043</f>
        <v>0</v>
      </c>
      <c r="H355" s="255">
        <f>BugetComplet!V993+BugetComplet!V1003+BugetComplet!V1013+BugetComplet!V1023+BugetComplet!V1033+BugetComplet!V1043</f>
        <v>7552975</v>
      </c>
    </row>
    <row r="356" spans="1:8" ht="36" customHeight="1">
      <c r="A356" s="137" t="str">
        <f>BugetComplet!F$1044</f>
        <v>2.3.4</v>
      </c>
      <c r="B356" s="139" t="str">
        <f>BugetComplet!G$1044</f>
        <v>Диагностика, профилактика и лечение ОИ и сопутствующих заболеваний</v>
      </c>
      <c r="C356" s="257">
        <f>BugetComplet!Q$1044</f>
        <v>24556648.276725028</v>
      </c>
      <c r="D356" s="257">
        <f>BugetComplet!R$1044</f>
        <v>22450588.048725028</v>
      </c>
      <c r="E356" s="257">
        <f>BugetComplet!S$1044</f>
        <v>20230633.820725024</v>
      </c>
      <c r="F356" s="257">
        <f>BugetComplet!T$1044</f>
        <v>18067626.592725027</v>
      </c>
      <c r="G356" s="257">
        <f>BugetComplet!U$1044</f>
        <v>15906475.764725029</v>
      </c>
      <c r="H356" s="257">
        <f>BugetComplet!V$1044</f>
        <v>101211972.50362514</v>
      </c>
    </row>
    <row r="357" spans="1:8" ht="26.1" customHeight="1">
      <c r="A357" s="131"/>
      <c r="B357" s="168" t="s">
        <v>79</v>
      </c>
      <c r="C357" s="255">
        <f>BugetComplet!Q1045+BugetComplet!Q1055+BugetComplet!Q1065+BugetComplet!Q1075+BugetComplet!Q1085+BugetComplet!Q1095+BugetComplet!Q1105+BugetComplet!Q1115+BugetComplet!Q1125+BugetComplet!Q1135</f>
        <v>24556648.276725028</v>
      </c>
      <c r="D357" s="255">
        <f>BugetComplet!R1045+BugetComplet!R1055+BugetComplet!R1065+BugetComplet!R1075+BugetComplet!R1085+BugetComplet!R1095+BugetComplet!R1105+BugetComplet!R1115+BugetComplet!R1125+BugetComplet!R1135</f>
        <v>22450588.048725028</v>
      </c>
      <c r="E357" s="255">
        <f>BugetComplet!S1045+BugetComplet!S1055+BugetComplet!S1065+BugetComplet!S1075+BugetComplet!S1085+BugetComplet!S1095+BugetComplet!S1105+BugetComplet!S1115+BugetComplet!S1125+BugetComplet!S1135</f>
        <v>20230633.820725027</v>
      </c>
      <c r="F357" s="255">
        <f>BugetComplet!T1045+BugetComplet!T1055+BugetComplet!T1065+BugetComplet!T1075+BugetComplet!T1085+BugetComplet!T1095+BugetComplet!T1105+BugetComplet!T1115+BugetComplet!T1125+BugetComplet!T1135</f>
        <v>18067626.592725027</v>
      </c>
      <c r="G357" s="255">
        <f>BugetComplet!U1045+BugetComplet!U1055+BugetComplet!U1065+BugetComplet!U1075+BugetComplet!U1085+BugetComplet!U1095+BugetComplet!U1105+BugetComplet!U1115+BugetComplet!U1125+BugetComplet!U1135</f>
        <v>15906475.764725029</v>
      </c>
      <c r="H357" s="255">
        <f>BugetComplet!V1045+BugetComplet!V1055+BugetComplet!V1065+BugetComplet!V1075+BugetComplet!V1085+BugetComplet!V1095+BugetComplet!V1105+BugetComplet!V1115+BugetComplet!V1125+BugetComplet!V1135</f>
        <v>101211972.50362515</v>
      </c>
    </row>
    <row r="358" spans="1:8" ht="26.1" customHeight="1">
      <c r="A358" s="131"/>
      <c r="B358" s="169" t="s">
        <v>80</v>
      </c>
      <c r="C358" s="255">
        <f>BugetComplet!Q1046+BugetComplet!Q1056+BugetComplet!Q1066+BugetComplet!Q1076+BugetComplet!Q1086+BugetComplet!Q1096+BugetComplet!Q1106+BugetComplet!Q1116+BugetComplet!Q1126+BugetComplet!Q1136</f>
        <v>24556648.276725028</v>
      </c>
      <c r="D358" s="255">
        <f>BugetComplet!R1046+BugetComplet!R1056+BugetComplet!R1066+BugetComplet!R1076+BugetComplet!R1086+BugetComplet!R1096+BugetComplet!R1106+BugetComplet!R1116+BugetComplet!R1126+BugetComplet!R1136</f>
        <v>22450588.048725028</v>
      </c>
      <c r="E358" s="255">
        <f>BugetComplet!S1046+BugetComplet!S1056+BugetComplet!S1066+BugetComplet!S1076+BugetComplet!S1086+BugetComplet!S1096+BugetComplet!S1106+BugetComplet!S1116+BugetComplet!S1126+BugetComplet!S1136</f>
        <v>20230633.820725024</v>
      </c>
      <c r="F358" s="255">
        <f>BugetComplet!T1046+BugetComplet!T1056+BugetComplet!T1066+BugetComplet!T1076+BugetComplet!T1086+BugetComplet!T1096+BugetComplet!T1106+BugetComplet!T1116+BugetComplet!T1126+BugetComplet!T1136</f>
        <v>18067626.592725027</v>
      </c>
      <c r="G358" s="255">
        <f>BugetComplet!U1046+BugetComplet!U1056+BugetComplet!U1066+BugetComplet!U1076+BugetComplet!U1086+BugetComplet!U1096+BugetComplet!U1106+BugetComplet!U1116+BugetComplet!U1126+BugetComplet!U1136</f>
        <v>15906475.764725029</v>
      </c>
      <c r="H358" s="255">
        <f>BugetComplet!V1046+BugetComplet!V1056+BugetComplet!V1066+BugetComplet!V1076+BugetComplet!V1086+BugetComplet!V1096+BugetComplet!V1106+BugetComplet!V1116+BugetComplet!V1126+BugetComplet!V1136</f>
        <v>101211972.50362515</v>
      </c>
    </row>
    <row r="359" spans="1:8" ht="26.1" customHeight="1">
      <c r="A359" s="131"/>
      <c r="B359" s="169" t="s">
        <v>429</v>
      </c>
      <c r="C359" s="255">
        <f>BugetComplet!Q1047+BugetComplet!Q1057+BugetComplet!Q1067+BugetComplet!Q1077+BugetComplet!Q1087+BugetComplet!Q1097+BugetComplet!Q1107+BugetComplet!Q1117+BugetComplet!Q1127+BugetComplet!Q1137</f>
        <v>405266.79770751984</v>
      </c>
      <c r="D359" s="255">
        <f>BugetComplet!R1047+BugetComplet!R1057+BugetComplet!R1067+BugetComplet!R1077+BugetComplet!R1087+BugetComplet!R1097+BugetComplet!R1107+BugetComplet!R1117+BugetComplet!R1127+BugetComplet!R1137</f>
        <v>405266.79770751984</v>
      </c>
      <c r="E359" s="255">
        <f>BugetComplet!S1047+BugetComplet!S1057+BugetComplet!S1067+BugetComplet!S1077+BugetComplet!S1087+BugetComplet!S1097+BugetComplet!S1107+BugetComplet!S1117+BugetComplet!S1127+BugetComplet!S1137</f>
        <v>405266.79770751984</v>
      </c>
      <c r="F359" s="255">
        <f>BugetComplet!T1047+BugetComplet!T1057+BugetComplet!T1067+BugetComplet!T1077+BugetComplet!T1087+BugetComplet!T1097+BugetComplet!T1107+BugetComplet!T1117+BugetComplet!T1127+BugetComplet!T1137</f>
        <v>405266.79770751984</v>
      </c>
      <c r="G359" s="255">
        <f>BugetComplet!U1047+BugetComplet!U1057+BugetComplet!U1067+BugetComplet!U1077+BugetComplet!U1087+BugetComplet!U1097+BugetComplet!U1107+BugetComplet!U1117+BugetComplet!U1127+BugetComplet!U1137</f>
        <v>405266.79770751984</v>
      </c>
      <c r="H359" s="255">
        <f>BugetComplet!V1047+BugetComplet!V1057+BugetComplet!V1067+BugetComplet!V1077+BugetComplet!V1087+BugetComplet!V1097+BugetComplet!V1107+BugetComplet!V1117+BugetComplet!V1127+BugetComplet!V1137</f>
        <v>2026333.9885375993</v>
      </c>
    </row>
    <row r="360" spans="1:8" ht="26.1" customHeight="1">
      <c r="A360" s="131"/>
      <c r="B360" s="169" t="s">
        <v>133</v>
      </c>
      <c r="C360" s="255">
        <f>BugetComplet!Q1048+BugetComplet!Q1058+BugetComplet!Q1068+BugetComplet!Q1078+BugetComplet!Q1088+BugetComplet!Q1098+BugetComplet!Q1108+BugetComplet!Q1118+BugetComplet!Q1128+BugetComplet!Q1138</f>
        <v>7351994.4830175089</v>
      </c>
      <c r="D360" s="255">
        <f>BugetComplet!R1048+BugetComplet!R1058+BugetComplet!R1068+BugetComplet!R1078+BugetComplet!R1088+BugetComplet!R1098+BugetComplet!R1108+BugetComplet!R1118+BugetComplet!R1128+BugetComplet!R1138</f>
        <v>6703092.314617509</v>
      </c>
      <c r="E360" s="255">
        <f>BugetComplet!S1048+BugetComplet!S1058+BugetComplet!S1068+BugetComplet!S1078+BugetComplet!S1088+BugetComplet!S1098+BugetComplet!S1108+BugetComplet!S1118+BugetComplet!S1128+BugetComplet!S1138</f>
        <v>6054190.1462175082</v>
      </c>
      <c r="F360" s="255">
        <f>BugetComplet!T1048+BugetComplet!T1058+BugetComplet!T1068+BugetComplet!T1078+BugetComplet!T1088+BugetComplet!T1098+BugetComplet!T1108+BugetComplet!T1118+BugetComplet!T1128+BugetComplet!T1138</f>
        <v>5405287.9778175084</v>
      </c>
      <c r="G360" s="255">
        <f>BugetComplet!U1048+BugetComplet!U1058+BugetComplet!U1068+BugetComplet!U1078+BugetComplet!U1088+BugetComplet!U1098+BugetComplet!U1108+BugetComplet!U1118+BugetComplet!U1128+BugetComplet!U1138</f>
        <v>4756942.7294175085</v>
      </c>
      <c r="H360" s="255">
        <f>BugetComplet!V1048+BugetComplet!V1058+BugetComplet!V1068+BugetComplet!V1078+BugetComplet!V1088+BugetComplet!V1098+BugetComplet!V1108+BugetComplet!V1118+BugetComplet!V1128+BugetComplet!V1138</f>
        <v>30271507.651087537</v>
      </c>
    </row>
    <row r="361" spans="1:8" ht="26.1" customHeight="1">
      <c r="A361" s="131"/>
      <c r="B361" s="169" t="s">
        <v>81</v>
      </c>
      <c r="C361" s="255">
        <f>BugetComplet!Q1049+BugetComplet!Q1059+BugetComplet!Q1069+BugetComplet!Q1079+BugetComplet!Q1089+BugetComplet!Q1099+BugetComplet!Q1109+BugetComplet!Q1119+BugetComplet!Q1129+BugetComplet!Q1139</f>
        <v>0</v>
      </c>
      <c r="D361" s="255">
        <f>BugetComplet!R1049+BugetComplet!R1059+BugetComplet!R1069+BugetComplet!R1079+BugetComplet!R1089+BugetComplet!R1099+BugetComplet!R1109+BugetComplet!R1119+BugetComplet!R1129+BugetComplet!R1139</f>
        <v>0</v>
      </c>
      <c r="E361" s="255">
        <f>BugetComplet!S1049+BugetComplet!S1059+BugetComplet!S1069+BugetComplet!S1079+BugetComplet!S1089+BugetComplet!S1099+BugetComplet!S1109+BugetComplet!S1119+BugetComplet!S1129+BugetComplet!S1139</f>
        <v>0</v>
      </c>
      <c r="F361" s="255">
        <f>BugetComplet!T1049+BugetComplet!T1059+BugetComplet!T1069+BugetComplet!T1079+BugetComplet!T1089+BugetComplet!T1099+BugetComplet!T1109+BugetComplet!T1119+BugetComplet!T1129+BugetComplet!T1139</f>
        <v>0</v>
      </c>
      <c r="G361" s="255">
        <f>BugetComplet!U1049+BugetComplet!U1059+BugetComplet!U1069+BugetComplet!U1079+BugetComplet!U1089+BugetComplet!U1099+BugetComplet!U1109+BugetComplet!U1119+BugetComplet!U1129+BugetComplet!U1139</f>
        <v>0</v>
      </c>
      <c r="H361" s="255">
        <f>BugetComplet!V1049+BugetComplet!V1059+BugetComplet!V1069+BugetComplet!V1079+BugetComplet!V1089+BugetComplet!V1099+BugetComplet!V1109+BugetComplet!V1119+BugetComplet!V1129+BugetComplet!V1139</f>
        <v>0</v>
      </c>
    </row>
    <row r="362" spans="1:8" ht="26.1" customHeight="1">
      <c r="A362" s="131"/>
      <c r="B362" s="169" t="s">
        <v>134</v>
      </c>
      <c r="C362" s="255">
        <f>BugetComplet!Q1050+BugetComplet!Q1060+BugetComplet!Q1070+BugetComplet!Q1080+BugetComplet!Q1090+BugetComplet!Q1100+BugetComplet!Q1110+BugetComplet!Q1120+BugetComplet!Q1130+BugetComplet!Q1140</f>
        <v>16799386.995999999</v>
      </c>
      <c r="D362" s="255">
        <f>BugetComplet!R1050+BugetComplet!R1060+BugetComplet!R1070+BugetComplet!R1080+BugetComplet!R1090+BugetComplet!R1100+BugetComplet!R1110+BugetComplet!R1120+BugetComplet!R1130+BugetComplet!R1140</f>
        <v>15285281.936400002</v>
      </c>
      <c r="E362" s="255">
        <f>BugetComplet!S1050+BugetComplet!S1060+BugetComplet!S1070+BugetComplet!S1080+BugetComplet!S1090+BugetComplet!S1100+BugetComplet!S1110+BugetComplet!S1120+BugetComplet!S1130+BugetComplet!S1140</f>
        <v>13771176.876799999</v>
      </c>
      <c r="F362" s="255">
        <f>BugetComplet!T1050+BugetComplet!T1060+BugetComplet!T1070+BugetComplet!T1080+BugetComplet!T1090+BugetComplet!T1100+BugetComplet!T1110+BugetComplet!T1120+BugetComplet!T1130+BugetComplet!T1140</f>
        <v>12257071.817199999</v>
      </c>
      <c r="G362" s="255">
        <f>BugetComplet!U1050+BugetComplet!U1060+BugetComplet!U1070+BugetComplet!U1080+BugetComplet!U1090+BugetComplet!U1100+BugetComplet!U1110+BugetComplet!U1120+BugetComplet!U1130+BugetComplet!U1140</f>
        <v>10744266.237599999</v>
      </c>
      <c r="H362" s="255">
        <f>BugetComplet!V1050+BugetComplet!V1060+BugetComplet!V1070+BugetComplet!V1080+BugetComplet!V1090+BugetComplet!V1100+BugetComplet!V1110+BugetComplet!V1120+BugetComplet!V1130+BugetComplet!V1140</f>
        <v>68857183.864000008</v>
      </c>
    </row>
    <row r="363" spans="1:8" ht="26.1" customHeight="1">
      <c r="A363" s="131"/>
      <c r="B363" s="169" t="s">
        <v>82</v>
      </c>
      <c r="C363" s="255">
        <f>BugetComplet!Q1051+BugetComplet!Q1061+BugetComplet!Q1071+BugetComplet!Q1081+BugetComplet!Q1091+BugetComplet!Q1101+BugetComplet!Q1111+BugetComplet!Q1121+BugetComplet!Q1131+BugetComplet!Q1141</f>
        <v>0</v>
      </c>
      <c r="D363" s="255">
        <f>BugetComplet!R1051+BugetComplet!R1061+BugetComplet!R1071+BugetComplet!R1081+BugetComplet!R1091+BugetComplet!R1101+BugetComplet!R1111+BugetComplet!R1121+BugetComplet!R1131+BugetComplet!R1141</f>
        <v>0</v>
      </c>
      <c r="E363" s="255">
        <f>BugetComplet!S1051+BugetComplet!S1061+BugetComplet!S1071+BugetComplet!S1081+BugetComplet!S1091+BugetComplet!S1101+BugetComplet!S1111+BugetComplet!S1121+BugetComplet!S1131+BugetComplet!S1141</f>
        <v>0</v>
      </c>
      <c r="F363" s="255">
        <f>BugetComplet!T1051+BugetComplet!T1061+BugetComplet!T1071+BugetComplet!T1081+BugetComplet!T1091+BugetComplet!T1101+BugetComplet!T1111+BugetComplet!T1121+BugetComplet!T1131+BugetComplet!T1141</f>
        <v>0</v>
      </c>
      <c r="G363" s="255">
        <f>BugetComplet!U1051+BugetComplet!U1061+BugetComplet!U1071+BugetComplet!U1081+BugetComplet!U1091+BugetComplet!U1101+BugetComplet!U1111+BugetComplet!U1121+BugetComplet!U1131+BugetComplet!U1141</f>
        <v>0</v>
      </c>
      <c r="H363" s="255">
        <f>BugetComplet!V1051+BugetComplet!V1061+BugetComplet!V1071+BugetComplet!V1081+BugetComplet!V1091+BugetComplet!V1101+BugetComplet!V1111+BugetComplet!V1121+BugetComplet!V1131+BugetComplet!V1141</f>
        <v>0</v>
      </c>
    </row>
    <row r="364" spans="1:8" ht="26.1" customHeight="1">
      <c r="A364" s="131"/>
      <c r="B364" s="169" t="s">
        <v>90</v>
      </c>
      <c r="C364" s="255">
        <f>BugetComplet!Q1052+BugetComplet!Q1062+BugetComplet!Q1072+BugetComplet!Q1082+BugetComplet!Q1092+BugetComplet!Q1102+BugetComplet!Q1112+BugetComplet!Q1122+BugetComplet!Q1132+BugetComplet!Q1142</f>
        <v>0</v>
      </c>
      <c r="D364" s="255">
        <f>BugetComplet!R1052+BugetComplet!R1062+BugetComplet!R1072+BugetComplet!R1082+BugetComplet!R1092+BugetComplet!R1102+BugetComplet!R1112+BugetComplet!R1122+BugetComplet!R1132+BugetComplet!R1142</f>
        <v>56947</v>
      </c>
      <c r="E364" s="255">
        <f>BugetComplet!S1052+BugetComplet!S1062+BugetComplet!S1072+BugetComplet!S1082+BugetComplet!S1092+BugetComplet!S1102+BugetComplet!S1112+BugetComplet!S1122+BugetComplet!S1132+BugetComplet!S1142</f>
        <v>0</v>
      </c>
      <c r="F364" s="255">
        <f>BugetComplet!T1052+BugetComplet!T1062+BugetComplet!T1072+BugetComplet!T1082+BugetComplet!T1092+BugetComplet!T1102+BugetComplet!T1112+BugetComplet!T1122+BugetComplet!T1132+BugetComplet!T1142</f>
        <v>0</v>
      </c>
      <c r="G364" s="255">
        <f>BugetComplet!U1052+BugetComplet!U1062+BugetComplet!U1072+BugetComplet!U1082+BugetComplet!U1092+BugetComplet!U1102+BugetComplet!U1112+BugetComplet!U1122+BugetComplet!U1132+BugetComplet!U1142</f>
        <v>0</v>
      </c>
      <c r="H364" s="255">
        <f>BugetComplet!V1052+BugetComplet!V1062+BugetComplet!V1072+BugetComplet!V1082+BugetComplet!V1092+BugetComplet!V1102+BugetComplet!V1112+BugetComplet!V1122+BugetComplet!V1132+BugetComplet!V1142</f>
        <v>56947</v>
      </c>
    </row>
    <row r="365" spans="1:8" ht="26.1" customHeight="1">
      <c r="A365" s="131"/>
      <c r="B365" s="169" t="s">
        <v>83</v>
      </c>
      <c r="C365" s="255">
        <f>BugetComplet!Q1053+BugetComplet!Q1063+BugetComplet!Q1073+BugetComplet!Q1083+BugetComplet!Q1093+BugetComplet!Q1103+BugetComplet!Q1113+BugetComplet!Q1123+BugetComplet!Q1133+BugetComplet!Q1143</f>
        <v>0</v>
      </c>
      <c r="D365" s="255">
        <f>BugetComplet!R1053+BugetComplet!R1063+BugetComplet!R1073+BugetComplet!R1083+BugetComplet!R1093+BugetComplet!R1103+BugetComplet!R1113+BugetComplet!R1123+BugetComplet!R1133+BugetComplet!R1143</f>
        <v>0</v>
      </c>
      <c r="E365" s="255">
        <f>BugetComplet!S1053+BugetComplet!S1063+BugetComplet!S1073+BugetComplet!S1083+BugetComplet!S1093+BugetComplet!S1103+BugetComplet!S1113+BugetComplet!S1123+BugetComplet!S1133+BugetComplet!S1143</f>
        <v>0</v>
      </c>
      <c r="F365" s="255">
        <f>BugetComplet!T1053+BugetComplet!T1063+BugetComplet!T1073+BugetComplet!T1083+BugetComplet!T1093+BugetComplet!T1103+BugetComplet!T1113+BugetComplet!T1123+BugetComplet!T1133+BugetComplet!T1143</f>
        <v>0</v>
      </c>
      <c r="G365" s="255">
        <f>BugetComplet!U1053+BugetComplet!U1063+BugetComplet!U1073+BugetComplet!U1083+BugetComplet!U1093+BugetComplet!U1103+BugetComplet!U1113+BugetComplet!U1123+BugetComplet!U1133+BugetComplet!U1143</f>
        <v>0</v>
      </c>
      <c r="H365" s="255">
        <f>BugetComplet!V1053+BugetComplet!V1063+BugetComplet!V1073+BugetComplet!V1083+BugetComplet!V1093+BugetComplet!V1103+BugetComplet!V1113+BugetComplet!V1123+BugetComplet!V1133+BugetComplet!V1143</f>
        <v>0</v>
      </c>
    </row>
    <row r="366" spans="1:8" ht="26.1" customHeight="1">
      <c r="A366" s="131"/>
      <c r="B366" s="169" t="s">
        <v>84</v>
      </c>
      <c r="C366" s="255">
        <f>BugetComplet!Q1054+BugetComplet!Q1064+BugetComplet!Q1074+BugetComplet!Q1084+BugetComplet!Q1094+BugetComplet!Q1104+BugetComplet!Q1114+BugetComplet!Q1124+BugetComplet!Q1134+BugetComplet!Q1144</f>
        <v>0</v>
      </c>
      <c r="D366" s="255">
        <f>BugetComplet!R1054+BugetComplet!R1064+BugetComplet!R1074+BugetComplet!R1084+BugetComplet!R1094+BugetComplet!R1104+BugetComplet!R1114+BugetComplet!R1124+BugetComplet!R1134+BugetComplet!R1144</f>
        <v>0</v>
      </c>
      <c r="E366" s="255">
        <f>BugetComplet!S1054+BugetComplet!S1064+BugetComplet!S1074+BugetComplet!S1084+BugetComplet!S1094+BugetComplet!S1104+BugetComplet!S1114+BugetComplet!S1124+BugetComplet!S1134+BugetComplet!S1144</f>
        <v>0</v>
      </c>
      <c r="F366" s="255">
        <f>BugetComplet!T1054+BugetComplet!T1064+BugetComplet!T1074+BugetComplet!T1084+BugetComplet!T1094+BugetComplet!T1104+BugetComplet!T1114+BugetComplet!T1124+BugetComplet!T1134+BugetComplet!T1144</f>
        <v>0</v>
      </c>
      <c r="G366" s="255">
        <f>BugetComplet!U1054+BugetComplet!U1064+BugetComplet!U1074+BugetComplet!U1084+BugetComplet!U1094+BugetComplet!U1104+BugetComplet!U1114+BugetComplet!U1124+BugetComplet!U1134+BugetComplet!U1144</f>
        <v>0</v>
      </c>
      <c r="H366" s="255">
        <f>BugetComplet!V1054+BugetComplet!V1064+BugetComplet!V1074+BugetComplet!V1084+BugetComplet!V1094+BugetComplet!V1104+BugetComplet!V1114+BugetComplet!V1124+BugetComplet!V1134+BugetComplet!V1144</f>
        <v>0</v>
      </c>
    </row>
    <row r="367" spans="1:8" ht="36" customHeight="1">
      <c r="A367" s="137" t="str">
        <f>BugetComplet!F$1145</f>
        <v>2.3.5</v>
      </c>
      <c r="B367" s="139" t="str">
        <f>BugetComplet!G$1145</f>
        <v>Надзор за эффективностью применения АРВ препаратов</v>
      </c>
      <c r="C367" s="257">
        <f>BugetComplet!Q$1145</f>
        <v>16947</v>
      </c>
      <c r="D367" s="257">
        <f>BugetComplet!R$1145</f>
        <v>16947</v>
      </c>
      <c r="E367" s="257">
        <f>BugetComplet!S$1145</f>
        <v>16947</v>
      </c>
      <c r="F367" s="257">
        <f>BugetComplet!T$1145</f>
        <v>0</v>
      </c>
      <c r="G367" s="257">
        <f>BugetComplet!U$1145</f>
        <v>0</v>
      </c>
      <c r="H367" s="257">
        <f>BugetComplet!V$1145</f>
        <v>50841</v>
      </c>
    </row>
    <row r="368" spans="1:8" ht="26.1" customHeight="1">
      <c r="A368" s="131"/>
      <c r="B368" s="168" t="s">
        <v>79</v>
      </c>
      <c r="C368" s="255">
        <f>BugetComplet!Q1146+BugetComplet!Q1156</f>
        <v>96947</v>
      </c>
      <c r="D368" s="255">
        <f>BugetComplet!R1146+BugetComplet!R1156</f>
        <v>16947</v>
      </c>
      <c r="E368" s="255">
        <f>BugetComplet!S1146+BugetComplet!S1156</f>
        <v>16947</v>
      </c>
      <c r="F368" s="255">
        <f>BugetComplet!T1146+BugetComplet!T1156</f>
        <v>16947</v>
      </c>
      <c r="G368" s="255">
        <f>BugetComplet!U1146+BugetComplet!U1156</f>
        <v>16947</v>
      </c>
      <c r="H368" s="255">
        <f>BugetComplet!V1146+BugetComplet!V1156</f>
        <v>164735</v>
      </c>
    </row>
    <row r="369" spans="1:13" ht="26.1" customHeight="1">
      <c r="A369" s="131"/>
      <c r="B369" s="169" t="s">
        <v>80</v>
      </c>
      <c r="C369" s="255">
        <f>BugetComplet!Q1147+BugetComplet!Q1157</f>
        <v>16947</v>
      </c>
      <c r="D369" s="255">
        <f>BugetComplet!R1147+BugetComplet!R1157</f>
        <v>16947</v>
      </c>
      <c r="E369" s="255">
        <f>BugetComplet!S1147+BugetComplet!S1157</f>
        <v>16947</v>
      </c>
      <c r="F369" s="255">
        <f>BugetComplet!T1147+BugetComplet!T1157</f>
        <v>0</v>
      </c>
      <c r="G369" s="255">
        <f>BugetComplet!U1147+BugetComplet!U1157</f>
        <v>0</v>
      </c>
      <c r="H369" s="255">
        <f>BugetComplet!V1147+BugetComplet!V1157</f>
        <v>50841</v>
      </c>
    </row>
    <row r="370" spans="1:13" ht="26.1" customHeight="1">
      <c r="A370" s="131"/>
      <c r="B370" s="169" t="s">
        <v>429</v>
      </c>
      <c r="C370" s="255">
        <f>BugetComplet!Q1148+BugetComplet!Q1158</f>
        <v>0</v>
      </c>
      <c r="D370" s="255">
        <f>BugetComplet!R1148+BugetComplet!R1158</f>
        <v>0</v>
      </c>
      <c r="E370" s="255">
        <f>BugetComplet!S1148+BugetComplet!S1158</f>
        <v>0</v>
      </c>
      <c r="F370" s="255">
        <f>BugetComplet!T1148+BugetComplet!T1158</f>
        <v>0</v>
      </c>
      <c r="G370" s="255">
        <f>BugetComplet!U1148+BugetComplet!U1158</f>
        <v>0</v>
      </c>
      <c r="H370" s="255">
        <f>BugetComplet!V1148+BugetComplet!V1158</f>
        <v>0</v>
      </c>
    </row>
    <row r="371" spans="1:13" ht="26.1" customHeight="1">
      <c r="A371" s="131"/>
      <c r="B371" s="169" t="s">
        <v>133</v>
      </c>
      <c r="C371" s="255">
        <f>BugetComplet!Q1149+BugetComplet!Q1159</f>
        <v>0</v>
      </c>
      <c r="D371" s="255">
        <f>BugetComplet!R1149+BugetComplet!R1159</f>
        <v>0</v>
      </c>
      <c r="E371" s="255">
        <f>BugetComplet!S1149+BugetComplet!S1159</f>
        <v>0</v>
      </c>
      <c r="F371" s="255">
        <f>BugetComplet!T1149+BugetComplet!T1159</f>
        <v>0</v>
      </c>
      <c r="G371" s="255">
        <f>BugetComplet!U1149+BugetComplet!U1159</f>
        <v>0</v>
      </c>
      <c r="H371" s="255">
        <f>BugetComplet!V1149+BugetComplet!V1159</f>
        <v>0</v>
      </c>
    </row>
    <row r="372" spans="1:13" ht="26.1" customHeight="1">
      <c r="A372" s="131"/>
      <c r="B372" s="169" t="s">
        <v>81</v>
      </c>
      <c r="C372" s="255">
        <f>BugetComplet!Q1150+BugetComplet!Q1160</f>
        <v>0</v>
      </c>
      <c r="D372" s="255">
        <f>BugetComplet!R1150+BugetComplet!R1160</f>
        <v>0</v>
      </c>
      <c r="E372" s="255">
        <f>BugetComplet!S1150+BugetComplet!S1160</f>
        <v>0</v>
      </c>
      <c r="F372" s="255">
        <f>BugetComplet!T1150+BugetComplet!T1160</f>
        <v>0</v>
      </c>
      <c r="G372" s="255">
        <f>BugetComplet!U1150+BugetComplet!U1160</f>
        <v>0</v>
      </c>
      <c r="H372" s="255">
        <f>BugetComplet!V1150+BugetComplet!V1160</f>
        <v>0</v>
      </c>
    </row>
    <row r="373" spans="1:13" ht="26.1" customHeight="1">
      <c r="A373" s="131"/>
      <c r="B373" s="169" t="s">
        <v>134</v>
      </c>
      <c r="C373" s="255">
        <f>BugetComplet!Q1151+BugetComplet!Q1161</f>
        <v>0</v>
      </c>
      <c r="D373" s="255">
        <f>BugetComplet!R1151+BugetComplet!R1161</f>
        <v>0</v>
      </c>
      <c r="E373" s="255">
        <f>BugetComplet!S1151+BugetComplet!S1161</f>
        <v>0</v>
      </c>
      <c r="F373" s="255">
        <f>BugetComplet!T1151+BugetComplet!T1161</f>
        <v>0</v>
      </c>
      <c r="G373" s="255">
        <f>BugetComplet!U1151+BugetComplet!U1161</f>
        <v>0</v>
      </c>
      <c r="H373" s="255">
        <f>BugetComplet!V1151+BugetComplet!V1161</f>
        <v>0</v>
      </c>
    </row>
    <row r="374" spans="1:13" ht="26.1" customHeight="1">
      <c r="A374" s="131"/>
      <c r="B374" s="169" t="s">
        <v>82</v>
      </c>
      <c r="C374" s="255">
        <f>BugetComplet!Q1152+BugetComplet!Q1162</f>
        <v>16947</v>
      </c>
      <c r="D374" s="255">
        <f>BugetComplet!R1152+BugetComplet!R1162</f>
        <v>16947</v>
      </c>
      <c r="E374" s="255">
        <f>BugetComplet!S1152+BugetComplet!S1162</f>
        <v>16947</v>
      </c>
      <c r="F374" s="255">
        <f>BugetComplet!T1152+BugetComplet!T1162</f>
        <v>0</v>
      </c>
      <c r="G374" s="255">
        <f>BugetComplet!U1152+BugetComplet!U1162</f>
        <v>0</v>
      </c>
      <c r="H374" s="255">
        <f>BugetComplet!V1152+BugetComplet!V1162</f>
        <v>50841</v>
      </c>
    </row>
    <row r="375" spans="1:13" ht="26.1" customHeight="1">
      <c r="A375" s="131"/>
      <c r="B375" s="169" t="s">
        <v>90</v>
      </c>
      <c r="C375" s="255">
        <f>BugetComplet!Q1153+BugetComplet!Q1163</f>
        <v>0</v>
      </c>
      <c r="D375" s="255">
        <f>BugetComplet!R1153+BugetComplet!R1163</f>
        <v>0</v>
      </c>
      <c r="E375" s="255">
        <f>BugetComplet!S1153+BugetComplet!S1163</f>
        <v>0</v>
      </c>
      <c r="F375" s="255">
        <f>BugetComplet!T1153+BugetComplet!T1163</f>
        <v>0</v>
      </c>
      <c r="G375" s="255">
        <f>BugetComplet!U1153+BugetComplet!U1163</f>
        <v>0</v>
      </c>
      <c r="H375" s="255">
        <f>BugetComplet!V1153+BugetComplet!V1163</f>
        <v>0</v>
      </c>
    </row>
    <row r="376" spans="1:13" ht="26.1" customHeight="1">
      <c r="A376" s="131"/>
      <c r="B376" s="169" t="s">
        <v>83</v>
      </c>
      <c r="C376" s="255">
        <f>BugetComplet!Q1154+BugetComplet!Q1164</f>
        <v>0</v>
      </c>
      <c r="D376" s="255">
        <f>BugetComplet!R1154+BugetComplet!R1164</f>
        <v>0</v>
      </c>
      <c r="E376" s="255">
        <f>BugetComplet!S1154+BugetComplet!S1164</f>
        <v>0</v>
      </c>
      <c r="F376" s="255">
        <f>BugetComplet!T1154+BugetComplet!T1164</f>
        <v>0</v>
      </c>
      <c r="G376" s="255">
        <f>BugetComplet!U1154+BugetComplet!U1164</f>
        <v>0</v>
      </c>
      <c r="H376" s="255">
        <f>BugetComplet!V1154+BugetComplet!V1164</f>
        <v>0</v>
      </c>
    </row>
    <row r="377" spans="1:13" ht="26.1" customHeight="1">
      <c r="A377" s="131"/>
      <c r="B377" s="169" t="s">
        <v>84</v>
      </c>
      <c r="C377" s="255">
        <f>BugetComplet!Q1155+BugetComplet!Q1165</f>
        <v>80000</v>
      </c>
      <c r="D377" s="255">
        <f>BugetComplet!R1155+BugetComplet!R1165</f>
        <v>0</v>
      </c>
      <c r="E377" s="255">
        <f>BugetComplet!S1155+BugetComplet!S1165</f>
        <v>0</v>
      </c>
      <c r="F377" s="255">
        <f>BugetComplet!T1155+BugetComplet!T1165</f>
        <v>16947</v>
      </c>
      <c r="G377" s="255">
        <f>BugetComplet!U1155+BugetComplet!U1165</f>
        <v>16947</v>
      </c>
      <c r="H377" s="255">
        <f>BugetComplet!V1155+BugetComplet!V1165</f>
        <v>113894</v>
      </c>
    </row>
    <row r="378" spans="1:13" ht="45">
      <c r="A378" s="129" t="str">
        <f>BugetComplet!F$1166</f>
        <v>2.4</v>
      </c>
      <c r="B378" s="128" t="str">
        <f>BugetComplet!G$1166</f>
        <v xml:space="preserve">Улучшение каскада лечения - устранение потерь с помощью дифференцированных моделей ухода и лечения, децентрализации, качества помощи, непрерывного подхода и интеграци профилактики и лечения </v>
      </c>
      <c r="C378" s="256">
        <f>BugetComplet!Q$1166</f>
        <v>921603.6</v>
      </c>
      <c r="D378" s="256">
        <f>BugetComplet!R$1166</f>
        <v>2017523.6</v>
      </c>
      <c r="E378" s="256">
        <f>BugetComplet!S$1166</f>
        <v>1885343.6</v>
      </c>
      <c r="F378" s="256">
        <f>BugetComplet!T$1166</f>
        <v>0</v>
      </c>
      <c r="G378" s="256">
        <f>BugetComplet!U$1166</f>
        <v>0</v>
      </c>
      <c r="H378" s="256">
        <f>BugetComplet!V$1166</f>
        <v>4824470.8000000007</v>
      </c>
      <c r="I378" s="258"/>
      <c r="J378" s="258"/>
      <c r="K378" s="258"/>
      <c r="L378" s="258"/>
      <c r="M378" s="258"/>
    </row>
    <row r="379" spans="1:13" ht="26.1" customHeight="1">
      <c r="A379" s="131"/>
      <c r="B379" s="168" t="s">
        <v>79</v>
      </c>
      <c r="C379" s="255">
        <f>C390+C401+C412+C423+C434</f>
        <v>1073783.6000000001</v>
      </c>
      <c r="D379" s="255">
        <f t="shared" ref="D379:H379" si="32">D390+D401+D412+D423+D434</f>
        <v>2189703.6</v>
      </c>
      <c r="E379" s="255">
        <f t="shared" si="32"/>
        <v>2037523.6</v>
      </c>
      <c r="F379" s="255">
        <f t="shared" si="32"/>
        <v>1877523.6</v>
      </c>
      <c r="G379" s="255">
        <f t="shared" si="32"/>
        <v>1877523.6</v>
      </c>
      <c r="H379" s="255">
        <f t="shared" si="32"/>
        <v>9056058</v>
      </c>
      <c r="I379" s="258"/>
      <c r="J379" s="258"/>
      <c r="K379" s="258"/>
      <c r="L379" s="258"/>
      <c r="M379" s="258"/>
    </row>
    <row r="380" spans="1:13" ht="26.1" customHeight="1">
      <c r="A380" s="131"/>
      <c r="B380" s="169" t="s">
        <v>80</v>
      </c>
      <c r="C380" s="255">
        <f t="shared" ref="C380:H388" si="33">C391+C402+C413+C424+C435</f>
        <v>921603.6</v>
      </c>
      <c r="D380" s="255">
        <f t="shared" si="33"/>
        <v>2017523.6</v>
      </c>
      <c r="E380" s="255">
        <f t="shared" si="33"/>
        <v>1885343.6</v>
      </c>
      <c r="F380" s="255">
        <f t="shared" si="33"/>
        <v>0</v>
      </c>
      <c r="G380" s="255">
        <f t="shared" si="33"/>
        <v>0</v>
      </c>
      <c r="H380" s="255">
        <f t="shared" si="33"/>
        <v>4824470.8</v>
      </c>
      <c r="I380" s="258"/>
      <c r="J380" s="258"/>
      <c r="K380" s="258"/>
      <c r="L380" s="258"/>
      <c r="M380" s="258"/>
    </row>
    <row r="381" spans="1:13" ht="26.1" customHeight="1">
      <c r="A381" s="131"/>
      <c r="B381" s="169" t="s">
        <v>429</v>
      </c>
      <c r="C381" s="255">
        <f t="shared" si="33"/>
        <v>0</v>
      </c>
      <c r="D381" s="255">
        <f t="shared" si="33"/>
        <v>0</v>
      </c>
      <c r="E381" s="255">
        <f t="shared" si="33"/>
        <v>0</v>
      </c>
      <c r="F381" s="255">
        <f t="shared" si="33"/>
        <v>0</v>
      </c>
      <c r="G381" s="255">
        <f t="shared" si="33"/>
        <v>0</v>
      </c>
      <c r="H381" s="255">
        <f t="shared" si="33"/>
        <v>0</v>
      </c>
    </row>
    <row r="382" spans="1:13" ht="26.1" customHeight="1">
      <c r="A382" s="131"/>
      <c r="B382" s="169" t="s">
        <v>133</v>
      </c>
      <c r="C382" s="255">
        <f t="shared" si="33"/>
        <v>0</v>
      </c>
      <c r="D382" s="255">
        <f t="shared" si="33"/>
        <v>0</v>
      </c>
      <c r="E382" s="255">
        <f t="shared" si="33"/>
        <v>0</v>
      </c>
      <c r="F382" s="255">
        <f t="shared" si="33"/>
        <v>0</v>
      </c>
      <c r="G382" s="255">
        <f t="shared" si="33"/>
        <v>0</v>
      </c>
      <c r="H382" s="255">
        <f t="shared" si="33"/>
        <v>0</v>
      </c>
    </row>
    <row r="383" spans="1:13" ht="26.1" customHeight="1">
      <c r="A383" s="131"/>
      <c r="B383" s="169" t="s">
        <v>81</v>
      </c>
      <c r="C383" s="255">
        <f t="shared" si="33"/>
        <v>0</v>
      </c>
      <c r="D383" s="255">
        <f t="shared" si="33"/>
        <v>0</v>
      </c>
      <c r="E383" s="255">
        <f t="shared" si="33"/>
        <v>0</v>
      </c>
      <c r="F383" s="255">
        <f t="shared" si="33"/>
        <v>0</v>
      </c>
      <c r="G383" s="255">
        <f t="shared" si="33"/>
        <v>0</v>
      </c>
      <c r="H383" s="255">
        <f t="shared" si="33"/>
        <v>0</v>
      </c>
    </row>
    <row r="384" spans="1:13" ht="26.1" customHeight="1">
      <c r="A384" s="131"/>
      <c r="B384" s="169" t="s">
        <v>134</v>
      </c>
      <c r="C384" s="255">
        <f t="shared" si="33"/>
        <v>0</v>
      </c>
      <c r="D384" s="255">
        <f t="shared" si="33"/>
        <v>0</v>
      </c>
      <c r="E384" s="255">
        <f t="shared" si="33"/>
        <v>0</v>
      </c>
      <c r="F384" s="255">
        <f t="shared" si="33"/>
        <v>0</v>
      </c>
      <c r="G384" s="255">
        <f t="shared" si="33"/>
        <v>0</v>
      </c>
      <c r="H384" s="255">
        <f t="shared" si="33"/>
        <v>0</v>
      </c>
    </row>
    <row r="385" spans="1:8" ht="26.1" customHeight="1">
      <c r="A385" s="131"/>
      <c r="B385" s="169" t="s">
        <v>82</v>
      </c>
      <c r="C385" s="255">
        <f t="shared" si="33"/>
        <v>903423.6</v>
      </c>
      <c r="D385" s="255">
        <f t="shared" si="33"/>
        <v>1758143.6</v>
      </c>
      <c r="E385" s="255">
        <f t="shared" si="33"/>
        <v>1645963.6</v>
      </c>
      <c r="F385" s="255">
        <f t="shared" si="33"/>
        <v>0</v>
      </c>
      <c r="G385" s="255">
        <f t="shared" si="33"/>
        <v>0</v>
      </c>
      <c r="H385" s="255">
        <f t="shared" si="33"/>
        <v>4307530.8</v>
      </c>
    </row>
    <row r="386" spans="1:8" ht="26.1" customHeight="1">
      <c r="A386" s="131"/>
      <c r="B386" s="169" t="s">
        <v>90</v>
      </c>
      <c r="C386" s="255">
        <f t="shared" si="33"/>
        <v>18180</v>
      </c>
      <c r="D386" s="255">
        <f t="shared" si="33"/>
        <v>259380</v>
      </c>
      <c r="E386" s="255">
        <f t="shared" si="33"/>
        <v>239380</v>
      </c>
      <c r="F386" s="255">
        <f t="shared" si="33"/>
        <v>0</v>
      </c>
      <c r="G386" s="255">
        <f t="shared" si="33"/>
        <v>0</v>
      </c>
      <c r="H386" s="255">
        <f t="shared" si="33"/>
        <v>516940</v>
      </c>
    </row>
    <row r="387" spans="1:8" ht="26.1" customHeight="1">
      <c r="A387" s="131"/>
      <c r="B387" s="169" t="s">
        <v>83</v>
      </c>
      <c r="C387" s="255">
        <f t="shared" si="33"/>
        <v>0</v>
      </c>
      <c r="D387" s="255">
        <f t="shared" si="33"/>
        <v>0</v>
      </c>
      <c r="E387" s="255">
        <f t="shared" si="33"/>
        <v>0</v>
      </c>
      <c r="F387" s="255">
        <f t="shared" si="33"/>
        <v>0</v>
      </c>
      <c r="G387" s="255">
        <f t="shared" si="33"/>
        <v>0</v>
      </c>
      <c r="H387" s="255">
        <f t="shared" si="33"/>
        <v>0</v>
      </c>
    </row>
    <row r="388" spans="1:8" ht="26.1" customHeight="1">
      <c r="A388" s="131"/>
      <c r="B388" s="169" t="s">
        <v>84</v>
      </c>
      <c r="C388" s="255">
        <f t="shared" si="33"/>
        <v>152180</v>
      </c>
      <c r="D388" s="255">
        <f t="shared" si="33"/>
        <v>172180</v>
      </c>
      <c r="E388" s="255">
        <f t="shared" si="33"/>
        <v>152180</v>
      </c>
      <c r="F388" s="255">
        <f t="shared" si="33"/>
        <v>1877523.6</v>
      </c>
      <c r="G388" s="255">
        <f t="shared" si="33"/>
        <v>1877523.6</v>
      </c>
      <c r="H388" s="255">
        <f t="shared" si="33"/>
        <v>4231587.2</v>
      </c>
    </row>
    <row r="389" spans="1:8" ht="36" customHeight="1">
      <c r="A389" s="137" t="str">
        <f>BugetComplet!F$1167</f>
        <v>2.4.1</v>
      </c>
      <c r="B389" s="139" t="str">
        <f>BugetComplet!G$1167</f>
        <v>Разработать дифференцированную модель предоставления услуг, включая расчет стоимости пакетов услуг</v>
      </c>
      <c r="C389" s="257">
        <f>BugetComplet!Q$1167</f>
        <v>336540</v>
      </c>
      <c r="D389" s="257">
        <f>BugetComplet!R$1167</f>
        <v>36540</v>
      </c>
      <c r="E389" s="257">
        <f>BugetComplet!S$1167</f>
        <v>36540</v>
      </c>
      <c r="F389" s="257">
        <f>BugetComplet!T$1167</f>
        <v>0</v>
      </c>
      <c r="G389" s="257">
        <f>BugetComplet!U$1167</f>
        <v>0</v>
      </c>
      <c r="H389" s="257">
        <f>BugetComplet!V$1167</f>
        <v>409620</v>
      </c>
    </row>
    <row r="390" spans="1:8" ht="26.1" customHeight="1">
      <c r="A390" s="131"/>
      <c r="B390" s="168" t="s">
        <v>79</v>
      </c>
      <c r="C390" s="255">
        <f>BugetComplet!Q1168+BugetComplet!Q1178+BugetComplet!Q1188+BugetComplet!Q1198+BugetComplet!Q1208+BugetComplet!Q1218</f>
        <v>336540</v>
      </c>
      <c r="D390" s="255">
        <f>BugetComplet!R1168+BugetComplet!R1178+BugetComplet!R1188+BugetComplet!R1198+BugetComplet!R1208+BugetComplet!R1218</f>
        <v>36540</v>
      </c>
      <c r="E390" s="255">
        <f>BugetComplet!S1168+BugetComplet!S1178+BugetComplet!S1188+BugetComplet!S1198+BugetComplet!S1208+BugetComplet!S1218</f>
        <v>36540</v>
      </c>
      <c r="F390" s="255">
        <f>BugetComplet!T1168+BugetComplet!T1178+BugetComplet!T1188+BugetComplet!T1198+BugetComplet!T1208+BugetComplet!T1218</f>
        <v>36540</v>
      </c>
      <c r="G390" s="255">
        <f>BugetComplet!U1168+BugetComplet!U1178+BugetComplet!U1188+BugetComplet!U1198+BugetComplet!U1208+BugetComplet!U1218</f>
        <v>36540</v>
      </c>
      <c r="H390" s="255">
        <f>BugetComplet!V1168+BugetComplet!V1178+BugetComplet!V1188+BugetComplet!V1198+BugetComplet!V1208+BugetComplet!V1218</f>
        <v>482700</v>
      </c>
    </row>
    <row r="391" spans="1:8" ht="26.1" customHeight="1">
      <c r="A391" s="131"/>
      <c r="B391" s="169" t="s">
        <v>80</v>
      </c>
      <c r="C391" s="255">
        <f>BugetComplet!Q1169+BugetComplet!Q1179+BugetComplet!Q1189+BugetComplet!Q1199+BugetComplet!Q1209+BugetComplet!Q1219</f>
        <v>336540</v>
      </c>
      <c r="D391" s="255">
        <f>BugetComplet!R1169+BugetComplet!R1179+BugetComplet!R1189+BugetComplet!R1199+BugetComplet!R1209+BugetComplet!R1219</f>
        <v>36540</v>
      </c>
      <c r="E391" s="255">
        <f>BugetComplet!S1169+BugetComplet!S1179+BugetComplet!S1189+BugetComplet!S1199+BugetComplet!S1209+BugetComplet!S1219</f>
        <v>36540</v>
      </c>
      <c r="F391" s="255">
        <f>BugetComplet!T1169+BugetComplet!T1179+BugetComplet!T1189+BugetComplet!T1199+BugetComplet!T1209+BugetComplet!T1219</f>
        <v>0</v>
      </c>
      <c r="G391" s="255">
        <f>BugetComplet!U1169+BugetComplet!U1179+BugetComplet!U1189+BugetComplet!U1199+BugetComplet!U1209+BugetComplet!U1219</f>
        <v>0</v>
      </c>
      <c r="H391" s="255">
        <f>BugetComplet!V1169+BugetComplet!V1179+BugetComplet!V1189+BugetComplet!V1199+BugetComplet!V1209+BugetComplet!V1219</f>
        <v>409620</v>
      </c>
    </row>
    <row r="392" spans="1:8" ht="26.1" customHeight="1">
      <c r="A392" s="131"/>
      <c r="B392" s="169" t="s">
        <v>429</v>
      </c>
      <c r="C392" s="255">
        <f>BugetComplet!Q1170+BugetComplet!Q1180+BugetComplet!Q1190+BugetComplet!Q1200+BugetComplet!Q1210+BugetComplet!Q1220</f>
        <v>0</v>
      </c>
      <c r="D392" s="255">
        <f>BugetComplet!R1170+BugetComplet!R1180+BugetComplet!R1190+BugetComplet!R1200+BugetComplet!R1210+BugetComplet!R1220</f>
        <v>0</v>
      </c>
      <c r="E392" s="255">
        <f>BugetComplet!S1170+BugetComplet!S1180+BugetComplet!S1190+BugetComplet!S1200+BugetComplet!S1210+BugetComplet!S1220</f>
        <v>0</v>
      </c>
      <c r="F392" s="255">
        <f>BugetComplet!T1170+BugetComplet!T1180+BugetComplet!T1190+BugetComplet!T1200+BugetComplet!T1210+BugetComplet!T1220</f>
        <v>0</v>
      </c>
      <c r="G392" s="255">
        <f>BugetComplet!U1170+BugetComplet!U1180+BugetComplet!U1190+BugetComplet!U1200+BugetComplet!U1210+BugetComplet!U1220</f>
        <v>0</v>
      </c>
      <c r="H392" s="255">
        <f>BugetComplet!V1170+BugetComplet!V1180+BugetComplet!V1190+BugetComplet!V1200+BugetComplet!V1210+BugetComplet!V1220</f>
        <v>0</v>
      </c>
    </row>
    <row r="393" spans="1:8" ht="26.1" customHeight="1">
      <c r="A393" s="131"/>
      <c r="B393" s="169" t="s">
        <v>133</v>
      </c>
      <c r="C393" s="255">
        <f>BugetComplet!Q1171+BugetComplet!Q1181+BugetComplet!Q1191+BugetComplet!Q1201+BugetComplet!Q1211+BugetComplet!Q1221</f>
        <v>0</v>
      </c>
      <c r="D393" s="255">
        <f>BugetComplet!R1171+BugetComplet!R1181+BugetComplet!R1191+BugetComplet!R1201+BugetComplet!R1211+BugetComplet!R1221</f>
        <v>0</v>
      </c>
      <c r="E393" s="255">
        <f>BugetComplet!S1171+BugetComplet!S1181+BugetComplet!S1191+BugetComplet!S1201+BugetComplet!S1211+BugetComplet!S1221</f>
        <v>0</v>
      </c>
      <c r="F393" s="255">
        <f>BugetComplet!T1171+BugetComplet!T1181+BugetComplet!T1191+BugetComplet!T1201+BugetComplet!T1211+BugetComplet!T1221</f>
        <v>0</v>
      </c>
      <c r="G393" s="255">
        <f>BugetComplet!U1171+BugetComplet!U1181+BugetComplet!U1191+BugetComplet!U1201+BugetComplet!U1211+BugetComplet!U1221</f>
        <v>0</v>
      </c>
      <c r="H393" s="255">
        <f>BugetComplet!V1171+BugetComplet!V1181+BugetComplet!V1191+BugetComplet!V1201+BugetComplet!V1211+BugetComplet!V1221</f>
        <v>0</v>
      </c>
    </row>
    <row r="394" spans="1:8" ht="26.1" customHeight="1">
      <c r="A394" s="131"/>
      <c r="B394" s="169" t="s">
        <v>81</v>
      </c>
      <c r="C394" s="255">
        <f>BugetComplet!Q1172+BugetComplet!Q1182+BugetComplet!Q1192+BugetComplet!Q1202+BugetComplet!Q1212+BugetComplet!Q1222</f>
        <v>0</v>
      </c>
      <c r="D394" s="255">
        <f>BugetComplet!R1172+BugetComplet!R1182+BugetComplet!R1192+BugetComplet!R1202+BugetComplet!R1212+BugetComplet!R1222</f>
        <v>0</v>
      </c>
      <c r="E394" s="255">
        <f>BugetComplet!S1172+BugetComplet!S1182+BugetComplet!S1192+BugetComplet!S1202+BugetComplet!S1212+BugetComplet!S1222</f>
        <v>0</v>
      </c>
      <c r="F394" s="255">
        <f>BugetComplet!T1172+BugetComplet!T1182+BugetComplet!T1192+BugetComplet!T1202+BugetComplet!T1212+BugetComplet!T1222</f>
        <v>0</v>
      </c>
      <c r="G394" s="255">
        <f>BugetComplet!U1172+BugetComplet!U1182+BugetComplet!U1192+BugetComplet!U1202+BugetComplet!U1212+BugetComplet!U1222</f>
        <v>0</v>
      </c>
      <c r="H394" s="255">
        <f>BugetComplet!V1172+BugetComplet!V1182+BugetComplet!V1192+BugetComplet!V1202+BugetComplet!V1212+BugetComplet!V1222</f>
        <v>0</v>
      </c>
    </row>
    <row r="395" spans="1:8" ht="26.1" customHeight="1">
      <c r="A395" s="131"/>
      <c r="B395" s="169" t="s">
        <v>134</v>
      </c>
      <c r="C395" s="255">
        <f>BugetComplet!Q1173+BugetComplet!Q1183+BugetComplet!Q1193+BugetComplet!Q1203+BugetComplet!Q1213+BugetComplet!Q1223</f>
        <v>0</v>
      </c>
      <c r="D395" s="255">
        <f>BugetComplet!R1173+BugetComplet!R1183+BugetComplet!R1193+BugetComplet!R1203+BugetComplet!R1213+BugetComplet!R1223</f>
        <v>0</v>
      </c>
      <c r="E395" s="255">
        <f>BugetComplet!S1173+BugetComplet!S1183+BugetComplet!S1193+BugetComplet!S1203+BugetComplet!S1213+BugetComplet!S1223</f>
        <v>0</v>
      </c>
      <c r="F395" s="255">
        <f>BugetComplet!T1173+BugetComplet!T1183+BugetComplet!T1193+BugetComplet!T1203+BugetComplet!T1213+BugetComplet!T1223</f>
        <v>0</v>
      </c>
      <c r="G395" s="255">
        <f>BugetComplet!U1173+BugetComplet!U1183+BugetComplet!U1193+BugetComplet!U1203+BugetComplet!U1213+BugetComplet!U1223</f>
        <v>0</v>
      </c>
      <c r="H395" s="255">
        <f>BugetComplet!V1173+BugetComplet!V1183+BugetComplet!V1193+BugetComplet!V1203+BugetComplet!V1213+BugetComplet!V1223</f>
        <v>0</v>
      </c>
    </row>
    <row r="396" spans="1:8" ht="26.1" customHeight="1">
      <c r="A396" s="131"/>
      <c r="B396" s="169" t="s">
        <v>82</v>
      </c>
      <c r="C396" s="255">
        <f>BugetComplet!Q1174+BugetComplet!Q1184+BugetComplet!Q1194+BugetComplet!Q1204+BugetComplet!Q1214+BugetComplet!Q1224</f>
        <v>324360</v>
      </c>
      <c r="D396" s="255">
        <f>BugetComplet!R1174+BugetComplet!R1184+BugetComplet!R1194+BugetComplet!R1204+BugetComplet!R1214+BugetComplet!R1224</f>
        <v>24360</v>
      </c>
      <c r="E396" s="255">
        <f>BugetComplet!S1174+BugetComplet!S1184+BugetComplet!S1194+BugetComplet!S1204+BugetComplet!S1214+BugetComplet!S1224</f>
        <v>24360</v>
      </c>
      <c r="F396" s="255">
        <f>BugetComplet!T1174+BugetComplet!T1184+BugetComplet!T1194+BugetComplet!T1204+BugetComplet!T1214+BugetComplet!T1224</f>
        <v>0</v>
      </c>
      <c r="G396" s="255">
        <f>BugetComplet!U1174+BugetComplet!U1184+BugetComplet!U1194+BugetComplet!U1204+BugetComplet!U1214+BugetComplet!U1224</f>
        <v>0</v>
      </c>
      <c r="H396" s="255">
        <f>BugetComplet!V1174+BugetComplet!V1184+BugetComplet!V1194+BugetComplet!V1204+BugetComplet!V1214+BugetComplet!V1224</f>
        <v>373080</v>
      </c>
    </row>
    <row r="397" spans="1:8" ht="26.1" customHeight="1">
      <c r="A397" s="131"/>
      <c r="B397" s="169" t="s">
        <v>90</v>
      </c>
      <c r="C397" s="255">
        <f>BugetComplet!Q1175+BugetComplet!Q1185+BugetComplet!Q1195+BugetComplet!Q1205+BugetComplet!Q1215+BugetComplet!Q1225</f>
        <v>12180</v>
      </c>
      <c r="D397" s="255">
        <f>BugetComplet!R1175+BugetComplet!R1185+BugetComplet!R1195+BugetComplet!R1205+BugetComplet!R1215+BugetComplet!R1225</f>
        <v>12180</v>
      </c>
      <c r="E397" s="255">
        <f>BugetComplet!S1175+BugetComplet!S1185+BugetComplet!S1195+BugetComplet!S1205+BugetComplet!S1215+BugetComplet!S1225</f>
        <v>12180</v>
      </c>
      <c r="F397" s="255">
        <f>BugetComplet!T1175+BugetComplet!T1185+BugetComplet!T1195+BugetComplet!T1205+BugetComplet!T1215+BugetComplet!T1225</f>
        <v>0</v>
      </c>
      <c r="G397" s="255">
        <f>BugetComplet!U1175+BugetComplet!U1185+BugetComplet!U1195+BugetComplet!U1205+BugetComplet!U1215+BugetComplet!U1225</f>
        <v>0</v>
      </c>
      <c r="H397" s="255">
        <f>BugetComplet!V1175+BugetComplet!V1185+BugetComplet!V1195+BugetComplet!V1205+BugetComplet!V1215+BugetComplet!V1225</f>
        <v>36540</v>
      </c>
    </row>
    <row r="398" spans="1:8" ht="26.1" customHeight="1">
      <c r="A398" s="131"/>
      <c r="B398" s="169" t="s">
        <v>83</v>
      </c>
      <c r="C398" s="255">
        <f>BugetComplet!Q1176+BugetComplet!Q1186+BugetComplet!Q1196+BugetComplet!Q1206+BugetComplet!Q1216+BugetComplet!Q1226</f>
        <v>0</v>
      </c>
      <c r="D398" s="255">
        <f>BugetComplet!R1176+BugetComplet!R1186+BugetComplet!R1196+BugetComplet!R1206+BugetComplet!R1216+BugetComplet!R1226</f>
        <v>0</v>
      </c>
      <c r="E398" s="255">
        <f>BugetComplet!S1176+BugetComplet!S1186+BugetComplet!S1196+BugetComplet!S1206+BugetComplet!S1216+BugetComplet!S1226</f>
        <v>0</v>
      </c>
      <c r="F398" s="255">
        <f>BugetComplet!T1176+BugetComplet!T1186+BugetComplet!T1196+BugetComplet!T1206+BugetComplet!T1216+BugetComplet!T1226</f>
        <v>0</v>
      </c>
      <c r="G398" s="255">
        <f>BugetComplet!U1176+BugetComplet!U1186+BugetComplet!U1196+BugetComplet!U1206+BugetComplet!U1216+BugetComplet!U1226</f>
        <v>0</v>
      </c>
      <c r="H398" s="255">
        <f>BugetComplet!V1176+BugetComplet!V1186+BugetComplet!V1196+BugetComplet!V1206+BugetComplet!V1216+BugetComplet!V1226</f>
        <v>0</v>
      </c>
    </row>
    <row r="399" spans="1:8" ht="26.1" customHeight="1">
      <c r="A399" s="131"/>
      <c r="B399" s="169" t="s">
        <v>84</v>
      </c>
      <c r="C399" s="255">
        <f>BugetComplet!Q1177+BugetComplet!Q1187+BugetComplet!Q1197+BugetComplet!Q1207+BugetComplet!Q1217+BugetComplet!Q1227</f>
        <v>0</v>
      </c>
      <c r="D399" s="255">
        <f>BugetComplet!R1177+BugetComplet!R1187+BugetComplet!R1197+BugetComplet!R1207+BugetComplet!R1217+BugetComplet!R1227</f>
        <v>0</v>
      </c>
      <c r="E399" s="255">
        <f>BugetComplet!S1177+BugetComplet!S1187+BugetComplet!S1197+BugetComplet!S1207+BugetComplet!S1217+BugetComplet!S1227</f>
        <v>0</v>
      </c>
      <c r="F399" s="255">
        <f>BugetComplet!T1177+BugetComplet!T1187+BugetComplet!T1197+BugetComplet!T1207+BugetComplet!T1217+BugetComplet!T1227</f>
        <v>36540</v>
      </c>
      <c r="G399" s="255">
        <f>BugetComplet!U1177+BugetComplet!U1187+BugetComplet!U1197+BugetComplet!U1207+BugetComplet!U1217+BugetComplet!U1227</f>
        <v>36540</v>
      </c>
      <c r="H399" s="255">
        <f>BugetComplet!V1177+BugetComplet!V1187+BugetComplet!V1197+BugetComplet!V1207+BugetComplet!V1217+BugetComplet!V1227</f>
        <v>73080</v>
      </c>
    </row>
    <row r="400" spans="1:8" ht="36" customHeight="1">
      <c r="A400" s="137" t="str">
        <f>BugetComplet!F$1228</f>
        <v>2.4.2</v>
      </c>
      <c r="B400" s="139" t="str">
        <f>BugetComplet!G$1228</f>
        <v>Поддержка и развитие подходов по децентрализации лечения</v>
      </c>
      <c r="C400" s="257">
        <f>BugetComplet!Q$1228</f>
        <v>357682.6</v>
      </c>
      <c r="D400" s="257">
        <f>BugetComplet!R$1228</f>
        <v>1817962.6</v>
      </c>
      <c r="E400" s="257">
        <f>BugetComplet!S$1228</f>
        <v>1777962.6</v>
      </c>
      <c r="F400" s="257">
        <f>BugetComplet!T$1228</f>
        <v>0</v>
      </c>
      <c r="G400" s="257">
        <f>BugetComplet!U$1228</f>
        <v>0</v>
      </c>
      <c r="H400" s="257">
        <f>BugetComplet!V$1228</f>
        <v>3953607.8000000003</v>
      </c>
    </row>
    <row r="401" spans="1:8" ht="26.1" customHeight="1">
      <c r="A401" s="131"/>
      <c r="B401" s="168" t="s">
        <v>79</v>
      </c>
      <c r="C401" s="255">
        <f>BugetComplet!Q1229+BugetComplet!Q1239+BugetComplet!Q1249+BugetComplet!Q1259+BugetComplet!Q1269+BugetComplet!Q1279+BugetComplet!Q1289</f>
        <v>357682.6</v>
      </c>
      <c r="D401" s="255">
        <f>BugetComplet!R1229+BugetComplet!R1239+BugetComplet!R1249+BugetComplet!R1259+BugetComplet!R1269+BugetComplet!R1279+BugetComplet!R1289</f>
        <v>1817962.6</v>
      </c>
      <c r="E401" s="255">
        <f>BugetComplet!S1229+BugetComplet!S1239+BugetComplet!S1249+BugetComplet!S1259+BugetComplet!S1269+BugetComplet!S1279+BugetComplet!S1289</f>
        <v>1777962.6</v>
      </c>
      <c r="F401" s="255">
        <f>BugetComplet!T1229+BugetComplet!T1239+BugetComplet!T1249+BugetComplet!T1259+BugetComplet!T1269+BugetComplet!T1279+BugetComplet!T1289</f>
        <v>1777962.6</v>
      </c>
      <c r="G401" s="255">
        <f>BugetComplet!U1229+BugetComplet!U1239+BugetComplet!U1249+BugetComplet!U1259+BugetComplet!U1269+BugetComplet!U1279+BugetComplet!U1289</f>
        <v>1777962.6</v>
      </c>
      <c r="H401" s="255">
        <f>BugetComplet!V1229+BugetComplet!V1239+BugetComplet!V1249+BugetComplet!V1259+BugetComplet!V1269+BugetComplet!V1279+BugetComplet!V1289</f>
        <v>7509533</v>
      </c>
    </row>
    <row r="402" spans="1:8" ht="26.1" customHeight="1">
      <c r="A402" s="131"/>
      <c r="B402" s="169" t="s">
        <v>80</v>
      </c>
      <c r="C402" s="255">
        <f>BugetComplet!Q1230+BugetComplet!Q1240+BugetComplet!Q1250+BugetComplet!Q1260+BugetComplet!Q1270+BugetComplet!Q1280+BugetComplet!Q1290</f>
        <v>357682.6</v>
      </c>
      <c r="D402" s="255">
        <f>BugetComplet!R1230+BugetComplet!R1240+BugetComplet!R1250+BugetComplet!R1260+BugetComplet!R1270+BugetComplet!R1280+BugetComplet!R1290</f>
        <v>1817962.6</v>
      </c>
      <c r="E402" s="255">
        <f>BugetComplet!S1230+BugetComplet!S1240+BugetComplet!S1250+BugetComplet!S1260+BugetComplet!S1270+BugetComplet!S1280+BugetComplet!S1290</f>
        <v>1777962.6</v>
      </c>
      <c r="F402" s="255">
        <f>BugetComplet!T1230+BugetComplet!T1240+BugetComplet!T1250+BugetComplet!T1260+BugetComplet!T1270+BugetComplet!T1280+BugetComplet!T1290</f>
        <v>0</v>
      </c>
      <c r="G402" s="255">
        <f>BugetComplet!U1230+BugetComplet!U1240+BugetComplet!U1250+BugetComplet!U1260+BugetComplet!U1270+BugetComplet!U1280+BugetComplet!U1290</f>
        <v>0</v>
      </c>
      <c r="H402" s="255">
        <f>BugetComplet!V1230+BugetComplet!V1240+BugetComplet!V1250+BugetComplet!V1260+BugetComplet!V1270+BugetComplet!V1280+BugetComplet!V1290</f>
        <v>3953607.8</v>
      </c>
    </row>
    <row r="403" spans="1:8" ht="26.1" customHeight="1">
      <c r="A403" s="131"/>
      <c r="B403" s="169" t="s">
        <v>429</v>
      </c>
      <c r="C403" s="255">
        <f>BugetComplet!Q1231+BugetComplet!Q1241+BugetComplet!Q1251+BugetComplet!Q1261+BugetComplet!Q1271+BugetComplet!Q1281+BugetComplet!Q1291</f>
        <v>0</v>
      </c>
      <c r="D403" s="255">
        <f>BugetComplet!R1231+BugetComplet!R1241+BugetComplet!R1251+BugetComplet!R1261+BugetComplet!R1271+BugetComplet!R1281+BugetComplet!R1291</f>
        <v>0</v>
      </c>
      <c r="E403" s="255">
        <f>BugetComplet!S1231+BugetComplet!S1241+BugetComplet!S1251+BugetComplet!S1261+BugetComplet!S1271+BugetComplet!S1281+BugetComplet!S1291</f>
        <v>0</v>
      </c>
      <c r="F403" s="255">
        <f>BugetComplet!T1231+BugetComplet!T1241+BugetComplet!T1251+BugetComplet!T1261+BugetComplet!T1271+BugetComplet!T1281+BugetComplet!T1291</f>
        <v>0</v>
      </c>
      <c r="G403" s="255">
        <f>BugetComplet!U1231+BugetComplet!U1241+BugetComplet!U1251+BugetComplet!U1261+BugetComplet!U1271+BugetComplet!U1281+BugetComplet!U1291</f>
        <v>0</v>
      </c>
      <c r="H403" s="255">
        <f>BugetComplet!V1231+BugetComplet!V1241+BugetComplet!V1251+BugetComplet!V1261+BugetComplet!V1271+BugetComplet!V1281+BugetComplet!V1291</f>
        <v>0</v>
      </c>
    </row>
    <row r="404" spans="1:8" ht="26.1" customHeight="1">
      <c r="A404" s="131"/>
      <c r="B404" s="169" t="s">
        <v>133</v>
      </c>
      <c r="C404" s="255">
        <f>BugetComplet!Q1232+BugetComplet!Q1242+BugetComplet!Q1252+BugetComplet!Q1262+BugetComplet!Q1272+BugetComplet!Q1282+BugetComplet!Q1292</f>
        <v>0</v>
      </c>
      <c r="D404" s="255">
        <f>BugetComplet!R1232+BugetComplet!R1242+BugetComplet!R1252+BugetComplet!R1262+BugetComplet!R1272+BugetComplet!R1282+BugetComplet!R1292</f>
        <v>0</v>
      </c>
      <c r="E404" s="255">
        <f>BugetComplet!S1232+BugetComplet!S1242+BugetComplet!S1252+BugetComplet!S1262+BugetComplet!S1272+BugetComplet!S1282+BugetComplet!S1292</f>
        <v>0</v>
      </c>
      <c r="F404" s="255">
        <f>BugetComplet!T1232+BugetComplet!T1242+BugetComplet!T1252+BugetComplet!T1262+BugetComplet!T1272+BugetComplet!T1282+BugetComplet!T1292</f>
        <v>0</v>
      </c>
      <c r="G404" s="255">
        <f>BugetComplet!U1232+BugetComplet!U1242+BugetComplet!U1252+BugetComplet!U1262+BugetComplet!U1272+BugetComplet!U1282+BugetComplet!U1292</f>
        <v>0</v>
      </c>
      <c r="H404" s="255">
        <f>BugetComplet!V1232+BugetComplet!V1242+BugetComplet!V1252+BugetComplet!V1262+BugetComplet!V1272+BugetComplet!V1282+BugetComplet!V1292</f>
        <v>0</v>
      </c>
    </row>
    <row r="405" spans="1:8" ht="26.1" customHeight="1">
      <c r="A405" s="131"/>
      <c r="B405" s="169" t="s">
        <v>81</v>
      </c>
      <c r="C405" s="255">
        <f>BugetComplet!Q1233+BugetComplet!Q1243+BugetComplet!Q1253+BugetComplet!Q1263+BugetComplet!Q1273+BugetComplet!Q1283+BugetComplet!Q1293</f>
        <v>0</v>
      </c>
      <c r="D405" s="255">
        <f>BugetComplet!R1233+BugetComplet!R1243+BugetComplet!R1253+BugetComplet!R1263+BugetComplet!R1273+BugetComplet!R1283+BugetComplet!R1293</f>
        <v>0</v>
      </c>
      <c r="E405" s="255">
        <f>BugetComplet!S1233+BugetComplet!S1243+BugetComplet!S1253+BugetComplet!S1263+BugetComplet!S1273+BugetComplet!S1283+BugetComplet!S1293</f>
        <v>0</v>
      </c>
      <c r="F405" s="255">
        <f>BugetComplet!T1233+BugetComplet!T1243+BugetComplet!T1253+BugetComplet!T1263+BugetComplet!T1273+BugetComplet!T1283+BugetComplet!T1293</f>
        <v>0</v>
      </c>
      <c r="G405" s="255">
        <f>BugetComplet!U1233+BugetComplet!U1243+BugetComplet!U1253+BugetComplet!U1263+BugetComplet!U1273+BugetComplet!U1283+BugetComplet!U1293</f>
        <v>0</v>
      </c>
      <c r="H405" s="255">
        <f>BugetComplet!V1233+BugetComplet!V1243+BugetComplet!V1253+BugetComplet!V1263+BugetComplet!V1273+BugetComplet!V1283+BugetComplet!V1293</f>
        <v>0</v>
      </c>
    </row>
    <row r="406" spans="1:8" ht="26.1" customHeight="1">
      <c r="A406" s="131"/>
      <c r="B406" s="169" t="s">
        <v>134</v>
      </c>
      <c r="C406" s="255">
        <f>BugetComplet!Q1234+BugetComplet!Q1244+BugetComplet!Q1254+BugetComplet!Q1264+BugetComplet!Q1274+BugetComplet!Q1284+BugetComplet!Q1294</f>
        <v>0</v>
      </c>
      <c r="D406" s="255">
        <f>BugetComplet!R1234+BugetComplet!R1244+BugetComplet!R1254+BugetComplet!R1264+BugetComplet!R1274+BugetComplet!R1284+BugetComplet!R1294</f>
        <v>0</v>
      </c>
      <c r="E406" s="255">
        <f>BugetComplet!S1234+BugetComplet!S1244+BugetComplet!S1254+BugetComplet!S1264+BugetComplet!S1274+BugetComplet!S1284+BugetComplet!S1294</f>
        <v>0</v>
      </c>
      <c r="F406" s="255">
        <f>BugetComplet!T1234+BugetComplet!T1244+BugetComplet!T1254+BugetComplet!T1264+BugetComplet!T1274+BugetComplet!T1284+BugetComplet!T1294</f>
        <v>0</v>
      </c>
      <c r="G406" s="255">
        <f>BugetComplet!U1234+BugetComplet!U1244+BugetComplet!U1254+BugetComplet!U1264+BugetComplet!U1274+BugetComplet!U1284+BugetComplet!U1294</f>
        <v>0</v>
      </c>
      <c r="H406" s="255">
        <f>BugetComplet!V1234+BugetComplet!V1244+BugetComplet!V1254+BugetComplet!V1264+BugetComplet!V1274+BugetComplet!V1284+BugetComplet!V1294</f>
        <v>0</v>
      </c>
    </row>
    <row r="407" spans="1:8" ht="26.1" customHeight="1">
      <c r="A407" s="131"/>
      <c r="B407" s="169" t="s">
        <v>82</v>
      </c>
      <c r="C407" s="255">
        <f>BugetComplet!Q1235+BugetComplet!Q1245+BugetComplet!Q1255+BugetComplet!Q1265+BugetComplet!Q1275+BugetComplet!Q1285+BugetComplet!Q1295</f>
        <v>351682.6</v>
      </c>
      <c r="D407" s="255">
        <f>BugetComplet!R1235+BugetComplet!R1245+BugetComplet!R1255+BugetComplet!R1265+BugetComplet!R1275+BugetComplet!R1285+BugetComplet!R1295</f>
        <v>1590762.6</v>
      </c>
      <c r="E407" s="255">
        <f>BugetComplet!S1235+BugetComplet!S1245+BugetComplet!S1255+BugetComplet!S1265+BugetComplet!S1275+BugetComplet!S1285+BugetComplet!S1295</f>
        <v>1550762.6</v>
      </c>
      <c r="F407" s="255">
        <f>BugetComplet!T1235+BugetComplet!T1245+BugetComplet!T1255+BugetComplet!T1265+BugetComplet!T1275+BugetComplet!T1285+BugetComplet!T1295</f>
        <v>0</v>
      </c>
      <c r="G407" s="255">
        <f>BugetComplet!U1235+BugetComplet!U1245+BugetComplet!U1255+BugetComplet!U1265+BugetComplet!U1275+BugetComplet!U1285+BugetComplet!U1295</f>
        <v>0</v>
      </c>
      <c r="H407" s="255">
        <f>BugetComplet!V1235+BugetComplet!V1245+BugetComplet!V1255+BugetComplet!V1265+BugetComplet!V1275+BugetComplet!V1285+BugetComplet!V1295</f>
        <v>3493207.8</v>
      </c>
    </row>
    <row r="408" spans="1:8" ht="26.1" customHeight="1">
      <c r="A408" s="131"/>
      <c r="B408" s="169" t="s">
        <v>90</v>
      </c>
      <c r="C408" s="255">
        <f>BugetComplet!Q1236+BugetComplet!Q1246+BugetComplet!Q1256+BugetComplet!Q1266+BugetComplet!Q1276+BugetComplet!Q1286+BugetComplet!Q1296</f>
        <v>6000</v>
      </c>
      <c r="D408" s="255">
        <f>BugetComplet!R1236+BugetComplet!R1246+BugetComplet!R1256+BugetComplet!R1266+BugetComplet!R1276+BugetComplet!R1286+BugetComplet!R1296</f>
        <v>227200</v>
      </c>
      <c r="E408" s="255">
        <f>BugetComplet!S1236+BugetComplet!S1246+BugetComplet!S1256+BugetComplet!S1266+BugetComplet!S1276+BugetComplet!S1286+BugetComplet!S1296</f>
        <v>227200</v>
      </c>
      <c r="F408" s="255">
        <f>BugetComplet!T1236+BugetComplet!T1246+BugetComplet!T1256+BugetComplet!T1266+BugetComplet!T1276+BugetComplet!T1286+BugetComplet!T1296</f>
        <v>0</v>
      </c>
      <c r="G408" s="255">
        <f>BugetComplet!U1236+BugetComplet!U1246+BugetComplet!U1256+BugetComplet!U1266+BugetComplet!U1276+BugetComplet!U1286+BugetComplet!U1296</f>
        <v>0</v>
      </c>
      <c r="H408" s="255">
        <f>BugetComplet!V1236+BugetComplet!V1246+BugetComplet!V1256+BugetComplet!V1266+BugetComplet!V1276+BugetComplet!V1286+BugetComplet!V1296</f>
        <v>460400</v>
      </c>
    </row>
    <row r="409" spans="1:8" ht="26.1" customHeight="1">
      <c r="A409" s="131"/>
      <c r="B409" s="169" t="s">
        <v>83</v>
      </c>
      <c r="C409" s="255">
        <f>BugetComplet!Q1237+BugetComplet!Q1247+BugetComplet!Q1257+BugetComplet!Q1267+BugetComplet!Q1277+BugetComplet!Q1287+BugetComplet!Q1297</f>
        <v>0</v>
      </c>
      <c r="D409" s="255">
        <f>BugetComplet!R1237+BugetComplet!R1247+BugetComplet!R1257+BugetComplet!R1267+BugetComplet!R1277+BugetComplet!R1287+BugetComplet!R1297</f>
        <v>0</v>
      </c>
      <c r="E409" s="255">
        <f>BugetComplet!S1237+BugetComplet!S1247+BugetComplet!S1257+BugetComplet!S1267+BugetComplet!S1277+BugetComplet!S1287+BugetComplet!S1297</f>
        <v>0</v>
      </c>
      <c r="F409" s="255">
        <f>BugetComplet!T1237+BugetComplet!T1247+BugetComplet!T1257+BugetComplet!T1267+BugetComplet!T1277+BugetComplet!T1287+BugetComplet!T1297</f>
        <v>0</v>
      </c>
      <c r="G409" s="255">
        <f>BugetComplet!U1237+BugetComplet!U1247+BugetComplet!U1257+BugetComplet!U1267+BugetComplet!U1277+BugetComplet!U1287+BugetComplet!U1297</f>
        <v>0</v>
      </c>
      <c r="H409" s="255">
        <f>BugetComplet!V1237+BugetComplet!V1247+BugetComplet!V1257+BugetComplet!V1267+BugetComplet!V1277+BugetComplet!V1287+BugetComplet!V1297</f>
        <v>0</v>
      </c>
    </row>
    <row r="410" spans="1:8" ht="26.1" customHeight="1">
      <c r="A410" s="131"/>
      <c r="B410" s="169" t="s">
        <v>84</v>
      </c>
      <c r="C410" s="255">
        <f>BugetComplet!Q1238+BugetComplet!Q1248+BugetComplet!Q1258+BugetComplet!Q1268+BugetComplet!Q1278+BugetComplet!Q1288+BugetComplet!Q1298</f>
        <v>0</v>
      </c>
      <c r="D410" s="255">
        <f>BugetComplet!R1238+BugetComplet!R1248+BugetComplet!R1258+BugetComplet!R1268+BugetComplet!R1278+BugetComplet!R1288+BugetComplet!R1298</f>
        <v>0</v>
      </c>
      <c r="E410" s="255">
        <f>BugetComplet!S1238+BugetComplet!S1248+BugetComplet!S1258+BugetComplet!S1268+BugetComplet!S1278+BugetComplet!S1288+BugetComplet!S1298</f>
        <v>0</v>
      </c>
      <c r="F410" s="255">
        <f>BugetComplet!T1238+BugetComplet!T1248+BugetComplet!T1258+BugetComplet!T1268+BugetComplet!T1278+BugetComplet!T1288+BugetComplet!T1298</f>
        <v>1777962.6</v>
      </c>
      <c r="G410" s="255">
        <f>BugetComplet!U1238+BugetComplet!U1248+BugetComplet!U1258+BugetComplet!U1268+BugetComplet!U1278+BugetComplet!U1288+BugetComplet!U1298</f>
        <v>1777962.6</v>
      </c>
      <c r="H410" s="255">
        <f>BugetComplet!V1238+BugetComplet!V1248+BugetComplet!V1258+BugetComplet!V1268+BugetComplet!V1278+BugetComplet!V1288+BugetComplet!V1298</f>
        <v>3555925.2</v>
      </c>
    </row>
    <row r="411" spans="1:8" ht="36" customHeight="1">
      <c r="A411" s="137" t="str">
        <f>BugetComplet!F$1299</f>
        <v>2.4.3</v>
      </c>
      <c r="B411" s="139" t="str">
        <f>BugetComplet!G$1299</f>
        <v>Укрепление системы здравохранения для обеспечения непрерывности услуг</v>
      </c>
      <c r="C411" s="257">
        <f>BugetComplet!Q$1299</f>
        <v>72180</v>
      </c>
      <c r="D411" s="257">
        <f>BugetComplet!R$1299</f>
        <v>52180</v>
      </c>
      <c r="E411" s="257">
        <f>BugetComplet!S$1299</f>
        <v>20000</v>
      </c>
      <c r="F411" s="257">
        <f>BugetComplet!T$1299</f>
        <v>0</v>
      </c>
      <c r="G411" s="257">
        <f>BugetComplet!U$1299</f>
        <v>0</v>
      </c>
      <c r="H411" s="257">
        <f>BugetComplet!V$1299</f>
        <v>144360</v>
      </c>
    </row>
    <row r="412" spans="1:8" ht="26.1" customHeight="1">
      <c r="A412" s="131"/>
      <c r="B412" s="168" t="s">
        <v>79</v>
      </c>
      <c r="C412" s="255">
        <f>BugetComplet!Q1300+BugetComplet!Q1310+BugetComplet!Q1320+BugetComplet!Q1330</f>
        <v>72180</v>
      </c>
      <c r="D412" s="255">
        <f>BugetComplet!R1300+BugetComplet!R1310+BugetComplet!R1320+BugetComplet!R1330</f>
        <v>52180</v>
      </c>
      <c r="E412" s="255">
        <f>BugetComplet!S1300+BugetComplet!S1310+BugetComplet!S1320+BugetComplet!S1330</f>
        <v>20000</v>
      </c>
      <c r="F412" s="255">
        <f>BugetComplet!T1300+BugetComplet!T1310+BugetComplet!T1320+BugetComplet!T1330</f>
        <v>0</v>
      </c>
      <c r="G412" s="255">
        <f>BugetComplet!U1300+BugetComplet!U1310+BugetComplet!U1320+BugetComplet!U1330</f>
        <v>0</v>
      </c>
      <c r="H412" s="255">
        <f>BugetComplet!V1300+BugetComplet!V1310+BugetComplet!V1320+BugetComplet!V1330</f>
        <v>144360</v>
      </c>
    </row>
    <row r="413" spans="1:8" ht="26.1" customHeight="1">
      <c r="A413" s="131"/>
      <c r="B413" s="169" t="s">
        <v>80</v>
      </c>
      <c r="C413" s="255">
        <f>BugetComplet!Q1301+BugetComplet!Q1311+BugetComplet!Q1321+BugetComplet!Q1331</f>
        <v>72180</v>
      </c>
      <c r="D413" s="255">
        <f>BugetComplet!R1301+BugetComplet!R1311+BugetComplet!R1321+BugetComplet!R1331</f>
        <v>52180</v>
      </c>
      <c r="E413" s="255">
        <f>BugetComplet!S1301+BugetComplet!S1311+BugetComplet!S1321+BugetComplet!S1331</f>
        <v>20000</v>
      </c>
      <c r="F413" s="255">
        <f>BugetComplet!T1301+BugetComplet!T1311+BugetComplet!T1321+BugetComplet!T1331</f>
        <v>0</v>
      </c>
      <c r="G413" s="255">
        <f>BugetComplet!U1301+BugetComplet!U1311+BugetComplet!U1321+BugetComplet!U1331</f>
        <v>0</v>
      </c>
      <c r="H413" s="255">
        <f>BugetComplet!V1301+BugetComplet!V1311+BugetComplet!V1321+BugetComplet!V1331</f>
        <v>144360</v>
      </c>
    </row>
    <row r="414" spans="1:8" ht="26.1" customHeight="1">
      <c r="A414" s="131"/>
      <c r="B414" s="169" t="s">
        <v>429</v>
      </c>
      <c r="C414" s="255">
        <f>BugetComplet!Q1302+BugetComplet!Q1312+BugetComplet!Q1322+BugetComplet!Q1332</f>
        <v>0</v>
      </c>
      <c r="D414" s="255">
        <f>BugetComplet!R1302+BugetComplet!R1312+BugetComplet!R1322+BugetComplet!R1332</f>
        <v>0</v>
      </c>
      <c r="E414" s="255">
        <f>BugetComplet!S1302+BugetComplet!S1312+BugetComplet!S1322+BugetComplet!S1332</f>
        <v>0</v>
      </c>
      <c r="F414" s="255">
        <f>BugetComplet!T1302+BugetComplet!T1312+BugetComplet!T1322+BugetComplet!T1332</f>
        <v>0</v>
      </c>
      <c r="G414" s="255">
        <f>BugetComplet!U1302+BugetComplet!U1312+BugetComplet!U1322+BugetComplet!U1332</f>
        <v>0</v>
      </c>
      <c r="H414" s="255">
        <f>BugetComplet!V1302+BugetComplet!V1312+BugetComplet!V1322+BugetComplet!V1332</f>
        <v>0</v>
      </c>
    </row>
    <row r="415" spans="1:8" ht="26.1" customHeight="1">
      <c r="A415" s="131"/>
      <c r="B415" s="169" t="s">
        <v>133</v>
      </c>
      <c r="C415" s="255">
        <f>BugetComplet!Q1303+BugetComplet!Q1313+BugetComplet!Q1323+BugetComplet!Q1333</f>
        <v>0</v>
      </c>
      <c r="D415" s="255">
        <f>BugetComplet!R1303+BugetComplet!R1313+BugetComplet!R1323+BugetComplet!R1333</f>
        <v>0</v>
      </c>
      <c r="E415" s="255">
        <f>BugetComplet!S1303+BugetComplet!S1313+BugetComplet!S1323+BugetComplet!S1333</f>
        <v>0</v>
      </c>
      <c r="F415" s="255">
        <f>BugetComplet!T1303+BugetComplet!T1313+BugetComplet!T1323+BugetComplet!T1333</f>
        <v>0</v>
      </c>
      <c r="G415" s="255">
        <f>BugetComplet!U1303+BugetComplet!U1313+BugetComplet!U1323+BugetComplet!U1333</f>
        <v>0</v>
      </c>
      <c r="H415" s="255">
        <f>BugetComplet!V1303+BugetComplet!V1313+BugetComplet!V1323+BugetComplet!V1333</f>
        <v>0</v>
      </c>
    </row>
    <row r="416" spans="1:8" ht="26.1" customHeight="1">
      <c r="A416" s="131"/>
      <c r="B416" s="169" t="s">
        <v>81</v>
      </c>
      <c r="C416" s="255">
        <f>BugetComplet!Q1304+BugetComplet!Q1314+BugetComplet!Q1324+BugetComplet!Q1334</f>
        <v>0</v>
      </c>
      <c r="D416" s="255">
        <f>BugetComplet!R1304+BugetComplet!R1314+BugetComplet!R1324+BugetComplet!R1334</f>
        <v>0</v>
      </c>
      <c r="E416" s="255">
        <f>BugetComplet!S1304+BugetComplet!S1314+BugetComplet!S1324+BugetComplet!S1334</f>
        <v>0</v>
      </c>
      <c r="F416" s="255">
        <f>BugetComplet!T1304+BugetComplet!T1314+BugetComplet!T1324+BugetComplet!T1334</f>
        <v>0</v>
      </c>
      <c r="G416" s="255">
        <f>BugetComplet!U1304+BugetComplet!U1314+BugetComplet!U1324+BugetComplet!U1334</f>
        <v>0</v>
      </c>
      <c r="H416" s="255">
        <f>BugetComplet!V1304+BugetComplet!V1314+BugetComplet!V1324+BugetComplet!V1334</f>
        <v>0</v>
      </c>
    </row>
    <row r="417" spans="1:8" ht="26.1" customHeight="1">
      <c r="A417" s="131"/>
      <c r="B417" s="169" t="s">
        <v>134</v>
      </c>
      <c r="C417" s="255">
        <f>BugetComplet!Q1305+BugetComplet!Q1315+BugetComplet!Q1325+BugetComplet!Q1335</f>
        <v>0</v>
      </c>
      <c r="D417" s="255">
        <f>BugetComplet!R1305+BugetComplet!R1315+BugetComplet!R1325+BugetComplet!R1335</f>
        <v>0</v>
      </c>
      <c r="E417" s="255">
        <f>BugetComplet!S1305+BugetComplet!S1315+BugetComplet!S1325+BugetComplet!S1335</f>
        <v>0</v>
      </c>
      <c r="F417" s="255">
        <f>BugetComplet!T1305+BugetComplet!T1315+BugetComplet!T1325+BugetComplet!T1335</f>
        <v>0</v>
      </c>
      <c r="G417" s="255">
        <f>BugetComplet!U1305+BugetComplet!U1315+BugetComplet!U1325+BugetComplet!U1335</f>
        <v>0</v>
      </c>
      <c r="H417" s="255">
        <f>BugetComplet!V1305+BugetComplet!V1315+BugetComplet!V1325+BugetComplet!V1335</f>
        <v>0</v>
      </c>
    </row>
    <row r="418" spans="1:8" ht="26.1" customHeight="1">
      <c r="A418" s="131"/>
      <c r="B418" s="169" t="s">
        <v>82</v>
      </c>
      <c r="C418" s="255">
        <f>BugetComplet!Q1306+BugetComplet!Q1316+BugetComplet!Q1326+BugetComplet!Q1336</f>
        <v>72180</v>
      </c>
      <c r="D418" s="255">
        <f>BugetComplet!R1306+BugetComplet!R1316+BugetComplet!R1326+BugetComplet!R1336</f>
        <v>52180</v>
      </c>
      <c r="E418" s="255">
        <f>BugetComplet!S1306+BugetComplet!S1316+BugetComplet!S1326+BugetComplet!S1336</f>
        <v>20000</v>
      </c>
      <c r="F418" s="255">
        <f>BugetComplet!T1306+BugetComplet!T1316+BugetComplet!T1326+BugetComplet!T1336</f>
        <v>0</v>
      </c>
      <c r="G418" s="255">
        <f>BugetComplet!U1306+BugetComplet!U1316+BugetComplet!U1326+BugetComplet!U1336</f>
        <v>0</v>
      </c>
      <c r="H418" s="255">
        <f>BugetComplet!V1306+BugetComplet!V1316+BugetComplet!V1326+BugetComplet!V1336</f>
        <v>144360</v>
      </c>
    </row>
    <row r="419" spans="1:8" ht="26.1" customHeight="1">
      <c r="A419" s="131"/>
      <c r="B419" s="169" t="s">
        <v>90</v>
      </c>
      <c r="C419" s="255">
        <f>BugetComplet!Q1307+BugetComplet!Q1317+BugetComplet!Q1327+BugetComplet!Q1337</f>
        <v>0</v>
      </c>
      <c r="D419" s="255">
        <f>BugetComplet!R1307+BugetComplet!R1317+BugetComplet!R1327+BugetComplet!R1337</f>
        <v>0</v>
      </c>
      <c r="E419" s="255">
        <f>BugetComplet!S1307+BugetComplet!S1317+BugetComplet!S1327+BugetComplet!S1337</f>
        <v>0</v>
      </c>
      <c r="F419" s="255">
        <f>BugetComplet!T1307+BugetComplet!T1317+BugetComplet!T1327+BugetComplet!T1337</f>
        <v>0</v>
      </c>
      <c r="G419" s="255">
        <f>BugetComplet!U1307+BugetComplet!U1317+BugetComplet!U1327+BugetComplet!U1337</f>
        <v>0</v>
      </c>
      <c r="H419" s="255">
        <f>BugetComplet!V1307+BugetComplet!V1317+BugetComplet!V1327+BugetComplet!V1337</f>
        <v>0</v>
      </c>
    </row>
    <row r="420" spans="1:8" ht="26.1" customHeight="1">
      <c r="A420" s="131"/>
      <c r="B420" s="169" t="s">
        <v>83</v>
      </c>
      <c r="C420" s="255">
        <f>BugetComplet!Q1308+BugetComplet!Q1318+BugetComplet!Q1328+BugetComplet!Q1338</f>
        <v>0</v>
      </c>
      <c r="D420" s="255">
        <f>BugetComplet!R1308+BugetComplet!R1318+BugetComplet!R1328+BugetComplet!R1338</f>
        <v>0</v>
      </c>
      <c r="E420" s="255">
        <f>BugetComplet!S1308+BugetComplet!S1318+BugetComplet!S1328+BugetComplet!S1338</f>
        <v>0</v>
      </c>
      <c r="F420" s="255">
        <f>BugetComplet!T1308+BugetComplet!T1318+BugetComplet!T1328+BugetComplet!T1338</f>
        <v>0</v>
      </c>
      <c r="G420" s="255">
        <f>BugetComplet!U1308+BugetComplet!U1318+BugetComplet!U1328+BugetComplet!U1338</f>
        <v>0</v>
      </c>
      <c r="H420" s="255">
        <f>BugetComplet!V1308+BugetComplet!V1318+BugetComplet!V1328+BugetComplet!V1338</f>
        <v>0</v>
      </c>
    </row>
    <row r="421" spans="1:8" ht="26.1" customHeight="1">
      <c r="A421" s="131"/>
      <c r="B421" s="169" t="s">
        <v>84</v>
      </c>
      <c r="C421" s="255">
        <f>BugetComplet!Q1309+BugetComplet!Q1319+BugetComplet!Q1329+BugetComplet!Q1339</f>
        <v>0</v>
      </c>
      <c r="D421" s="255">
        <f>BugetComplet!R1309+BugetComplet!R1319+BugetComplet!R1329+BugetComplet!R1339</f>
        <v>0</v>
      </c>
      <c r="E421" s="255">
        <f>BugetComplet!S1309+BugetComplet!S1319+BugetComplet!S1329+BugetComplet!S1339</f>
        <v>0</v>
      </c>
      <c r="F421" s="255">
        <f>BugetComplet!T1309+BugetComplet!T1319+BugetComplet!T1329+BugetComplet!T1339</f>
        <v>0</v>
      </c>
      <c r="G421" s="255">
        <f>BugetComplet!U1309+BugetComplet!U1319+BugetComplet!U1329+BugetComplet!U1339</f>
        <v>0</v>
      </c>
      <c r="H421" s="255">
        <f>BugetComplet!V1309+BugetComplet!V1319+BugetComplet!V1329+BugetComplet!V1339</f>
        <v>0</v>
      </c>
    </row>
    <row r="422" spans="1:8" ht="36" customHeight="1">
      <c r="A422" s="137" t="str">
        <f>BugetComplet!F$1340</f>
        <v>2.4.4</v>
      </c>
      <c r="B422" s="139" t="str">
        <f>BugetComplet!G$1340</f>
        <v>Укрепление системы здравохранения с целью интегрирования услуг по диагностике и лечению ВИЧ / ТБ / ВГ / ИППП / TSO на всеж уровнях (УСЗ)</v>
      </c>
      <c r="C422" s="257">
        <f>BugetComplet!Q$1340</f>
        <v>155201</v>
      </c>
      <c r="D422" s="257">
        <f>BugetComplet!R$1340</f>
        <v>110841</v>
      </c>
      <c r="E422" s="257">
        <f>BugetComplet!S$1340</f>
        <v>50841</v>
      </c>
      <c r="F422" s="257">
        <f>BugetComplet!T$1340</f>
        <v>0</v>
      </c>
      <c r="G422" s="257">
        <f>BugetComplet!U$1340</f>
        <v>0</v>
      </c>
      <c r="H422" s="257">
        <f>BugetComplet!V$1340</f>
        <v>316883</v>
      </c>
    </row>
    <row r="423" spans="1:8" ht="26.1" customHeight="1">
      <c r="A423" s="131"/>
      <c r="B423" s="168" t="s">
        <v>79</v>
      </c>
      <c r="C423" s="255">
        <f>BugetComplet!Q1341+BugetComplet!Q1351+BugetComplet!Q1361+BugetComplet!Q1371+BugetComplet!Q1381+BugetComplet!Q1391</f>
        <v>155201</v>
      </c>
      <c r="D423" s="255">
        <f>BugetComplet!R1341+BugetComplet!R1351+BugetComplet!R1361+BugetComplet!R1371+BugetComplet!R1381+BugetComplet!R1391</f>
        <v>110841</v>
      </c>
      <c r="E423" s="255">
        <f>BugetComplet!S1341+BugetComplet!S1351+BugetComplet!S1361+BugetComplet!S1371+BugetComplet!S1381+BugetComplet!S1391</f>
        <v>50841</v>
      </c>
      <c r="F423" s="255">
        <f>BugetComplet!T1341+BugetComplet!T1351+BugetComplet!T1361+BugetComplet!T1371+BugetComplet!T1381+BugetComplet!T1391</f>
        <v>50841</v>
      </c>
      <c r="G423" s="255">
        <f>BugetComplet!U1341+BugetComplet!U1351+BugetComplet!U1361+BugetComplet!U1371+BugetComplet!U1381+BugetComplet!U1391</f>
        <v>50841</v>
      </c>
      <c r="H423" s="255">
        <f>BugetComplet!V1341+BugetComplet!V1351+BugetComplet!V1361+BugetComplet!V1371+BugetComplet!V1381+BugetComplet!V1391</f>
        <v>418565</v>
      </c>
    </row>
    <row r="424" spans="1:8" ht="26.1" customHeight="1">
      <c r="A424" s="131"/>
      <c r="B424" s="169" t="s">
        <v>80</v>
      </c>
      <c r="C424" s="255">
        <f>BugetComplet!Q1342+BugetComplet!Q1352+BugetComplet!Q1362+BugetComplet!Q1372+BugetComplet!Q1382+BugetComplet!Q1392</f>
        <v>155201</v>
      </c>
      <c r="D424" s="255">
        <f>BugetComplet!R1342+BugetComplet!R1352+BugetComplet!R1362+BugetComplet!R1372+BugetComplet!R1382+BugetComplet!R1392</f>
        <v>110841</v>
      </c>
      <c r="E424" s="255">
        <f>BugetComplet!S1342+BugetComplet!S1352+BugetComplet!S1362+BugetComplet!S1372+BugetComplet!S1382+BugetComplet!S1392</f>
        <v>50841</v>
      </c>
      <c r="F424" s="255">
        <f>BugetComplet!T1342+BugetComplet!T1352+BugetComplet!T1362+BugetComplet!T1372+BugetComplet!T1382+BugetComplet!T1392</f>
        <v>0</v>
      </c>
      <c r="G424" s="255">
        <f>BugetComplet!U1342+BugetComplet!U1352+BugetComplet!U1362+BugetComplet!U1372+BugetComplet!U1382+BugetComplet!U1392</f>
        <v>0</v>
      </c>
      <c r="H424" s="255">
        <f>BugetComplet!V1342+BugetComplet!V1352+BugetComplet!V1362+BugetComplet!V1372+BugetComplet!V1382+BugetComplet!V1392</f>
        <v>316883</v>
      </c>
    </row>
    <row r="425" spans="1:8" ht="26.1" customHeight="1">
      <c r="A425" s="131"/>
      <c r="B425" s="169" t="s">
        <v>429</v>
      </c>
      <c r="C425" s="255">
        <f>BugetComplet!Q1343+BugetComplet!Q1353+BugetComplet!Q1363+BugetComplet!Q1373+BugetComplet!Q1383+BugetComplet!Q1393</f>
        <v>0</v>
      </c>
      <c r="D425" s="255">
        <f>BugetComplet!R1343+BugetComplet!R1353+BugetComplet!R1363+BugetComplet!R1373+BugetComplet!R1383+BugetComplet!R1393</f>
        <v>0</v>
      </c>
      <c r="E425" s="255">
        <f>BugetComplet!S1343+BugetComplet!S1353+BugetComplet!S1363+BugetComplet!S1373+BugetComplet!S1383+BugetComplet!S1393</f>
        <v>0</v>
      </c>
      <c r="F425" s="255">
        <f>BugetComplet!T1343+BugetComplet!T1353+BugetComplet!T1363+BugetComplet!T1373+BugetComplet!T1383+BugetComplet!T1393</f>
        <v>0</v>
      </c>
      <c r="G425" s="255">
        <f>BugetComplet!U1343+BugetComplet!U1353+BugetComplet!U1363+BugetComplet!U1373+BugetComplet!U1383+BugetComplet!U1393</f>
        <v>0</v>
      </c>
      <c r="H425" s="255">
        <f>BugetComplet!V1343+BugetComplet!V1353+BugetComplet!V1363+BugetComplet!V1373+BugetComplet!V1383+BugetComplet!V1393</f>
        <v>0</v>
      </c>
    </row>
    <row r="426" spans="1:8" ht="26.1" customHeight="1">
      <c r="A426" s="131"/>
      <c r="B426" s="169" t="s">
        <v>133</v>
      </c>
      <c r="C426" s="255">
        <f>BugetComplet!Q1344+BugetComplet!Q1354+BugetComplet!Q1364+BugetComplet!Q1374+BugetComplet!Q1384+BugetComplet!Q1394</f>
        <v>0</v>
      </c>
      <c r="D426" s="255">
        <f>BugetComplet!R1344+BugetComplet!R1354+BugetComplet!R1364+BugetComplet!R1374+BugetComplet!R1384+BugetComplet!R1394</f>
        <v>0</v>
      </c>
      <c r="E426" s="255">
        <f>BugetComplet!S1344+BugetComplet!S1354+BugetComplet!S1364+BugetComplet!S1374+BugetComplet!S1384+BugetComplet!S1394</f>
        <v>0</v>
      </c>
      <c r="F426" s="255">
        <f>BugetComplet!T1344+BugetComplet!T1354+BugetComplet!T1364+BugetComplet!T1374+BugetComplet!T1384+BugetComplet!T1394</f>
        <v>0</v>
      </c>
      <c r="G426" s="255">
        <f>BugetComplet!U1344+BugetComplet!U1354+BugetComplet!U1364+BugetComplet!U1374+BugetComplet!U1384+BugetComplet!U1394</f>
        <v>0</v>
      </c>
      <c r="H426" s="255">
        <f>BugetComplet!V1344+BugetComplet!V1354+BugetComplet!V1364+BugetComplet!V1374+BugetComplet!V1384+BugetComplet!V1394</f>
        <v>0</v>
      </c>
    </row>
    <row r="427" spans="1:8" ht="26.1" customHeight="1">
      <c r="A427" s="131"/>
      <c r="B427" s="169" t="s">
        <v>81</v>
      </c>
      <c r="C427" s="255">
        <f>BugetComplet!Q1345+BugetComplet!Q1355+BugetComplet!Q1365+BugetComplet!Q1375+BugetComplet!Q1385+BugetComplet!Q1395</f>
        <v>0</v>
      </c>
      <c r="D427" s="255">
        <f>BugetComplet!R1345+BugetComplet!R1355+BugetComplet!R1365+BugetComplet!R1375+BugetComplet!R1385+BugetComplet!R1395</f>
        <v>0</v>
      </c>
      <c r="E427" s="255">
        <f>BugetComplet!S1345+BugetComplet!S1355+BugetComplet!S1365+BugetComplet!S1375+BugetComplet!S1385+BugetComplet!S1395</f>
        <v>0</v>
      </c>
      <c r="F427" s="255">
        <f>BugetComplet!T1345+BugetComplet!T1355+BugetComplet!T1365+BugetComplet!T1375+BugetComplet!T1385+BugetComplet!T1395</f>
        <v>0</v>
      </c>
      <c r="G427" s="255">
        <f>BugetComplet!U1345+BugetComplet!U1355+BugetComplet!U1365+BugetComplet!U1375+BugetComplet!U1385+BugetComplet!U1395</f>
        <v>0</v>
      </c>
      <c r="H427" s="255">
        <f>BugetComplet!V1345+BugetComplet!V1355+BugetComplet!V1365+BugetComplet!V1375+BugetComplet!V1385+BugetComplet!V1395</f>
        <v>0</v>
      </c>
    </row>
    <row r="428" spans="1:8" ht="26.1" customHeight="1">
      <c r="A428" s="131"/>
      <c r="B428" s="169" t="s">
        <v>134</v>
      </c>
      <c r="C428" s="255">
        <f>BugetComplet!Q1346+BugetComplet!Q1356+BugetComplet!Q1366+BugetComplet!Q1376+BugetComplet!Q1386+BugetComplet!Q1396</f>
        <v>0</v>
      </c>
      <c r="D428" s="255">
        <f>BugetComplet!R1346+BugetComplet!R1356+BugetComplet!R1366+BugetComplet!R1376+BugetComplet!R1386+BugetComplet!R1396</f>
        <v>0</v>
      </c>
      <c r="E428" s="255">
        <f>BugetComplet!S1346+BugetComplet!S1356+BugetComplet!S1366+BugetComplet!S1376+BugetComplet!S1386+BugetComplet!S1396</f>
        <v>0</v>
      </c>
      <c r="F428" s="255">
        <f>BugetComplet!T1346+BugetComplet!T1356+BugetComplet!T1366+BugetComplet!T1376+BugetComplet!T1386+BugetComplet!T1396</f>
        <v>0</v>
      </c>
      <c r="G428" s="255">
        <f>BugetComplet!U1346+BugetComplet!U1356+BugetComplet!U1366+BugetComplet!U1376+BugetComplet!U1386+BugetComplet!U1396</f>
        <v>0</v>
      </c>
      <c r="H428" s="255">
        <f>BugetComplet!V1346+BugetComplet!V1356+BugetComplet!V1366+BugetComplet!V1376+BugetComplet!V1386+BugetComplet!V1396</f>
        <v>0</v>
      </c>
    </row>
    <row r="429" spans="1:8" ht="26.1" customHeight="1">
      <c r="A429" s="131"/>
      <c r="B429" s="169" t="s">
        <v>82</v>
      </c>
      <c r="C429" s="255">
        <f>BugetComplet!Q1347+BugetComplet!Q1357+BugetComplet!Q1367+BugetComplet!Q1377+BugetComplet!Q1387+BugetComplet!Q1397</f>
        <v>155201</v>
      </c>
      <c r="D429" s="255">
        <f>BugetComplet!R1347+BugetComplet!R1357+BugetComplet!R1367+BugetComplet!R1377+BugetComplet!R1387+BugetComplet!R1397</f>
        <v>90841</v>
      </c>
      <c r="E429" s="255">
        <f>BugetComplet!S1347+BugetComplet!S1357+BugetComplet!S1367+BugetComplet!S1377+BugetComplet!S1387+BugetComplet!S1397</f>
        <v>50841</v>
      </c>
      <c r="F429" s="255">
        <f>BugetComplet!T1347+BugetComplet!T1357+BugetComplet!T1367+BugetComplet!T1377+BugetComplet!T1387+BugetComplet!T1397</f>
        <v>0</v>
      </c>
      <c r="G429" s="255">
        <f>BugetComplet!U1347+BugetComplet!U1357+BugetComplet!U1367+BugetComplet!U1377+BugetComplet!U1387+BugetComplet!U1397</f>
        <v>0</v>
      </c>
      <c r="H429" s="255">
        <f>BugetComplet!V1347+BugetComplet!V1357+BugetComplet!V1367+BugetComplet!V1377+BugetComplet!V1387+BugetComplet!V1397</f>
        <v>296883</v>
      </c>
    </row>
    <row r="430" spans="1:8" ht="26.1" customHeight="1">
      <c r="A430" s="131"/>
      <c r="B430" s="169" t="s">
        <v>90</v>
      </c>
      <c r="C430" s="255">
        <f>BugetComplet!Q1348+BugetComplet!Q1358+BugetComplet!Q1368+BugetComplet!Q1378+BugetComplet!Q1388+BugetComplet!Q1398</f>
        <v>0</v>
      </c>
      <c r="D430" s="255">
        <f>BugetComplet!R1348+BugetComplet!R1358+BugetComplet!R1368+BugetComplet!R1378+BugetComplet!R1388+BugetComplet!R1398</f>
        <v>20000</v>
      </c>
      <c r="E430" s="255">
        <f>BugetComplet!S1348+BugetComplet!S1358+BugetComplet!S1368+BugetComplet!S1378+BugetComplet!S1388+BugetComplet!S1398</f>
        <v>0</v>
      </c>
      <c r="F430" s="255">
        <f>BugetComplet!T1348+BugetComplet!T1358+BugetComplet!T1368+BugetComplet!T1378+BugetComplet!T1388+BugetComplet!T1398</f>
        <v>0</v>
      </c>
      <c r="G430" s="255">
        <f>BugetComplet!U1348+BugetComplet!U1358+BugetComplet!U1368+BugetComplet!U1378+BugetComplet!U1388+BugetComplet!U1398</f>
        <v>0</v>
      </c>
      <c r="H430" s="255">
        <f>BugetComplet!V1348+BugetComplet!V1358+BugetComplet!V1368+BugetComplet!V1378+BugetComplet!V1388+BugetComplet!V1398</f>
        <v>20000</v>
      </c>
    </row>
    <row r="431" spans="1:8" ht="26.1" customHeight="1">
      <c r="A431" s="131"/>
      <c r="B431" s="169" t="s">
        <v>83</v>
      </c>
      <c r="C431" s="255">
        <f>BugetComplet!Q1349+BugetComplet!Q1359+BugetComplet!Q1369+BugetComplet!Q1379+BugetComplet!Q1389+BugetComplet!Q1399</f>
        <v>0</v>
      </c>
      <c r="D431" s="255">
        <f>BugetComplet!R1349+BugetComplet!R1359+BugetComplet!R1369+BugetComplet!R1379+BugetComplet!R1389+BugetComplet!R1399</f>
        <v>0</v>
      </c>
      <c r="E431" s="255">
        <f>BugetComplet!S1349+BugetComplet!S1359+BugetComplet!S1369+BugetComplet!S1379+BugetComplet!S1389+BugetComplet!S1399</f>
        <v>0</v>
      </c>
      <c r="F431" s="255">
        <f>BugetComplet!T1349+BugetComplet!T1359+BugetComplet!T1369+BugetComplet!T1379+BugetComplet!T1389+BugetComplet!T1399</f>
        <v>0</v>
      </c>
      <c r="G431" s="255">
        <f>BugetComplet!U1349+BugetComplet!U1359+BugetComplet!U1369+BugetComplet!U1379+BugetComplet!U1389+BugetComplet!U1399</f>
        <v>0</v>
      </c>
      <c r="H431" s="255">
        <f>BugetComplet!V1349+BugetComplet!V1359+BugetComplet!V1369+BugetComplet!V1379+BugetComplet!V1389+BugetComplet!V1399</f>
        <v>0</v>
      </c>
    </row>
    <row r="432" spans="1:8" ht="26.1" customHeight="1">
      <c r="A432" s="131"/>
      <c r="B432" s="169" t="s">
        <v>84</v>
      </c>
      <c r="C432" s="255">
        <f>BugetComplet!Q1350+BugetComplet!Q1360+BugetComplet!Q1370+BugetComplet!Q1380+BugetComplet!Q1390+BugetComplet!Q1400</f>
        <v>0</v>
      </c>
      <c r="D432" s="255">
        <f>BugetComplet!R1350+BugetComplet!R1360+BugetComplet!R1370+BugetComplet!R1380+BugetComplet!R1390+BugetComplet!R1400</f>
        <v>0</v>
      </c>
      <c r="E432" s="255">
        <f>BugetComplet!S1350+BugetComplet!S1360+BugetComplet!S1370+BugetComplet!S1380+BugetComplet!S1390+BugetComplet!S1400</f>
        <v>0</v>
      </c>
      <c r="F432" s="255">
        <f>BugetComplet!T1350+BugetComplet!T1360+BugetComplet!T1370+BugetComplet!T1380+BugetComplet!T1390+BugetComplet!T1400</f>
        <v>50841</v>
      </c>
      <c r="G432" s="255">
        <f>BugetComplet!U1350+BugetComplet!U1360+BugetComplet!U1370+BugetComplet!U1380+BugetComplet!U1390+BugetComplet!U1400</f>
        <v>50841</v>
      </c>
      <c r="H432" s="255">
        <f>BugetComplet!V1350+BugetComplet!V1360+BugetComplet!V1370+BugetComplet!V1380+BugetComplet!V1390+BugetComplet!V1400</f>
        <v>101682</v>
      </c>
    </row>
    <row r="433" spans="1:13" ht="36" customHeight="1">
      <c r="A433" s="137" t="str">
        <f>BugetComplet!F$1401</f>
        <v>2.4.5</v>
      </c>
      <c r="B433" s="139" t="str">
        <f>BugetComplet!G$1401</f>
        <v xml:space="preserve">Укрепление системы здравохранения с целю улучшения качества предоставления услуг </v>
      </c>
      <c r="C433" s="257">
        <f>BugetComplet!Q$1401</f>
        <v>0</v>
      </c>
      <c r="D433" s="257">
        <f>BugetComplet!R$1401</f>
        <v>0</v>
      </c>
      <c r="E433" s="257">
        <f>BugetComplet!S$1401</f>
        <v>0</v>
      </c>
      <c r="F433" s="257">
        <f>BugetComplet!T$1401</f>
        <v>0</v>
      </c>
      <c r="G433" s="257">
        <f>BugetComplet!U$1401</f>
        <v>0</v>
      </c>
      <c r="H433" s="257">
        <f>BugetComplet!V$1401</f>
        <v>0</v>
      </c>
    </row>
    <row r="434" spans="1:13" ht="26.1" customHeight="1">
      <c r="A434" s="131"/>
      <c r="B434" s="168" t="s">
        <v>79</v>
      </c>
      <c r="C434" s="255">
        <f>BugetComplet!Q1402+BugetComplet!Q1412+BugetComplet!Q1422</f>
        <v>152180</v>
      </c>
      <c r="D434" s="255">
        <f>BugetComplet!R1402+BugetComplet!R1412+BugetComplet!R1422</f>
        <v>172180</v>
      </c>
      <c r="E434" s="255">
        <f>BugetComplet!S1402+BugetComplet!S1412+BugetComplet!S1422</f>
        <v>152180</v>
      </c>
      <c r="F434" s="255">
        <f>BugetComplet!T1402+BugetComplet!T1412+BugetComplet!T1422</f>
        <v>12180</v>
      </c>
      <c r="G434" s="255">
        <f>BugetComplet!U1402+BugetComplet!U1412+BugetComplet!U1422</f>
        <v>12180</v>
      </c>
      <c r="H434" s="255">
        <f>BugetComplet!V1402+BugetComplet!V1412+BugetComplet!V1422</f>
        <v>500900</v>
      </c>
    </row>
    <row r="435" spans="1:13" ht="26.1" customHeight="1">
      <c r="A435" s="131"/>
      <c r="B435" s="169" t="s">
        <v>80</v>
      </c>
      <c r="C435" s="255">
        <f>BugetComplet!Q1403+BugetComplet!Q1413+BugetComplet!Q1423</f>
        <v>0</v>
      </c>
      <c r="D435" s="255">
        <f>BugetComplet!R1403+BugetComplet!R1413+BugetComplet!R1423</f>
        <v>0</v>
      </c>
      <c r="E435" s="255">
        <f>BugetComplet!S1403+BugetComplet!S1413+BugetComplet!S1423</f>
        <v>0</v>
      </c>
      <c r="F435" s="255">
        <f>BugetComplet!T1403+BugetComplet!T1413+BugetComplet!T1423</f>
        <v>0</v>
      </c>
      <c r="G435" s="255">
        <f>BugetComplet!U1403+BugetComplet!U1413+BugetComplet!U1423</f>
        <v>0</v>
      </c>
      <c r="H435" s="255">
        <f>BugetComplet!V1403+BugetComplet!V1413+BugetComplet!V1423</f>
        <v>0</v>
      </c>
    </row>
    <row r="436" spans="1:13" ht="26.1" customHeight="1">
      <c r="A436" s="131"/>
      <c r="B436" s="169" t="s">
        <v>429</v>
      </c>
      <c r="C436" s="255">
        <f>BugetComplet!Q1404+BugetComplet!Q1414+BugetComplet!Q1424</f>
        <v>0</v>
      </c>
      <c r="D436" s="255">
        <f>BugetComplet!R1404+BugetComplet!R1414+BugetComplet!R1424</f>
        <v>0</v>
      </c>
      <c r="E436" s="255">
        <f>BugetComplet!S1404+BugetComplet!S1414+BugetComplet!S1424</f>
        <v>0</v>
      </c>
      <c r="F436" s="255">
        <f>BugetComplet!T1404+BugetComplet!T1414+BugetComplet!T1424</f>
        <v>0</v>
      </c>
      <c r="G436" s="255">
        <f>BugetComplet!U1404+BugetComplet!U1414+BugetComplet!U1424</f>
        <v>0</v>
      </c>
      <c r="H436" s="255">
        <f>BugetComplet!V1404+BugetComplet!V1414+BugetComplet!V1424</f>
        <v>0</v>
      </c>
    </row>
    <row r="437" spans="1:13" ht="26.1" customHeight="1">
      <c r="A437" s="131"/>
      <c r="B437" s="169" t="s">
        <v>133</v>
      </c>
      <c r="C437" s="255">
        <f>BugetComplet!Q1405+BugetComplet!Q1415+BugetComplet!Q1425</f>
        <v>0</v>
      </c>
      <c r="D437" s="255">
        <f>BugetComplet!R1405+BugetComplet!R1415+BugetComplet!R1425</f>
        <v>0</v>
      </c>
      <c r="E437" s="255">
        <f>BugetComplet!S1405+BugetComplet!S1415+BugetComplet!S1425</f>
        <v>0</v>
      </c>
      <c r="F437" s="255">
        <f>BugetComplet!T1405+BugetComplet!T1415+BugetComplet!T1425</f>
        <v>0</v>
      </c>
      <c r="G437" s="255">
        <f>BugetComplet!U1405+BugetComplet!U1415+BugetComplet!U1425</f>
        <v>0</v>
      </c>
      <c r="H437" s="255">
        <f>BugetComplet!V1405+BugetComplet!V1415+BugetComplet!V1425</f>
        <v>0</v>
      </c>
    </row>
    <row r="438" spans="1:13" ht="26.1" customHeight="1">
      <c r="A438" s="131"/>
      <c r="B438" s="169" t="s">
        <v>81</v>
      </c>
      <c r="C438" s="255">
        <f>BugetComplet!Q1406+BugetComplet!Q1416+BugetComplet!Q1426</f>
        <v>0</v>
      </c>
      <c r="D438" s="255">
        <f>BugetComplet!R1406+BugetComplet!R1416+BugetComplet!R1426</f>
        <v>0</v>
      </c>
      <c r="E438" s="255">
        <f>BugetComplet!S1406+BugetComplet!S1416+BugetComplet!S1426</f>
        <v>0</v>
      </c>
      <c r="F438" s="255">
        <f>BugetComplet!T1406+BugetComplet!T1416+BugetComplet!T1426</f>
        <v>0</v>
      </c>
      <c r="G438" s="255">
        <f>BugetComplet!U1406+BugetComplet!U1416+BugetComplet!U1426</f>
        <v>0</v>
      </c>
      <c r="H438" s="255">
        <f>BugetComplet!V1406+BugetComplet!V1416+BugetComplet!V1426</f>
        <v>0</v>
      </c>
    </row>
    <row r="439" spans="1:13" ht="26.1" customHeight="1">
      <c r="A439" s="131"/>
      <c r="B439" s="169" t="s">
        <v>134</v>
      </c>
      <c r="C439" s="255">
        <f>BugetComplet!Q1407+BugetComplet!Q1417+BugetComplet!Q1427</f>
        <v>0</v>
      </c>
      <c r="D439" s="255">
        <f>BugetComplet!R1407+BugetComplet!R1417+BugetComplet!R1427</f>
        <v>0</v>
      </c>
      <c r="E439" s="255">
        <f>BugetComplet!S1407+BugetComplet!S1417+BugetComplet!S1427</f>
        <v>0</v>
      </c>
      <c r="F439" s="255">
        <f>BugetComplet!T1407+BugetComplet!T1417+BugetComplet!T1427</f>
        <v>0</v>
      </c>
      <c r="G439" s="255">
        <f>BugetComplet!U1407+BugetComplet!U1417+BugetComplet!U1427</f>
        <v>0</v>
      </c>
      <c r="H439" s="255">
        <f>BugetComplet!V1407+BugetComplet!V1417+BugetComplet!V1427</f>
        <v>0</v>
      </c>
    </row>
    <row r="440" spans="1:13" ht="26.1" customHeight="1">
      <c r="A440" s="131"/>
      <c r="B440" s="169" t="s">
        <v>82</v>
      </c>
      <c r="C440" s="255">
        <f>BugetComplet!Q1408+BugetComplet!Q1418+BugetComplet!Q1428</f>
        <v>0</v>
      </c>
      <c r="D440" s="255">
        <f>BugetComplet!R1408+BugetComplet!R1418+BugetComplet!R1428</f>
        <v>0</v>
      </c>
      <c r="E440" s="255">
        <f>BugetComplet!S1408+BugetComplet!S1418+BugetComplet!S1428</f>
        <v>0</v>
      </c>
      <c r="F440" s="255">
        <f>BugetComplet!T1408+BugetComplet!T1418+BugetComplet!T1428</f>
        <v>0</v>
      </c>
      <c r="G440" s="255">
        <f>BugetComplet!U1408+BugetComplet!U1418+BugetComplet!U1428</f>
        <v>0</v>
      </c>
      <c r="H440" s="255">
        <f>BugetComplet!V1408+BugetComplet!V1418+BugetComplet!V1428</f>
        <v>0</v>
      </c>
    </row>
    <row r="441" spans="1:13" ht="26.1" customHeight="1">
      <c r="A441" s="131"/>
      <c r="B441" s="169" t="s">
        <v>90</v>
      </c>
      <c r="C441" s="255">
        <f>BugetComplet!Q1409+BugetComplet!Q1419+BugetComplet!Q1429</f>
        <v>0</v>
      </c>
      <c r="D441" s="255">
        <f>BugetComplet!R1409+BugetComplet!R1419+BugetComplet!R1429</f>
        <v>0</v>
      </c>
      <c r="E441" s="255">
        <f>BugetComplet!S1409+BugetComplet!S1419+BugetComplet!S1429</f>
        <v>0</v>
      </c>
      <c r="F441" s="255">
        <f>BugetComplet!T1409+BugetComplet!T1419+BugetComplet!T1429</f>
        <v>0</v>
      </c>
      <c r="G441" s="255">
        <f>BugetComplet!U1409+BugetComplet!U1419+BugetComplet!U1429</f>
        <v>0</v>
      </c>
      <c r="H441" s="255">
        <f>BugetComplet!V1409+BugetComplet!V1419+BugetComplet!V1429</f>
        <v>0</v>
      </c>
    </row>
    <row r="442" spans="1:13" ht="26.1" customHeight="1">
      <c r="A442" s="131"/>
      <c r="B442" s="169" t="s">
        <v>83</v>
      </c>
      <c r="C442" s="255">
        <f>BugetComplet!Q1410+BugetComplet!Q1420+BugetComplet!Q1430</f>
        <v>0</v>
      </c>
      <c r="D442" s="255">
        <f>BugetComplet!R1410+BugetComplet!R1420+BugetComplet!R1430</f>
        <v>0</v>
      </c>
      <c r="E442" s="255">
        <f>BugetComplet!S1410+BugetComplet!S1420+BugetComplet!S1430</f>
        <v>0</v>
      </c>
      <c r="F442" s="255">
        <f>BugetComplet!T1410+BugetComplet!T1420+BugetComplet!T1430</f>
        <v>0</v>
      </c>
      <c r="G442" s="255">
        <f>BugetComplet!U1410+BugetComplet!U1420+BugetComplet!U1430</f>
        <v>0</v>
      </c>
      <c r="H442" s="255">
        <f>BugetComplet!V1410+BugetComplet!V1420+BugetComplet!V1430</f>
        <v>0</v>
      </c>
    </row>
    <row r="443" spans="1:13" ht="26.1" customHeight="1">
      <c r="A443" s="131"/>
      <c r="B443" s="169" t="s">
        <v>84</v>
      </c>
      <c r="C443" s="255">
        <f>BugetComplet!Q1411+BugetComplet!Q1421+BugetComplet!Q1431</f>
        <v>152180</v>
      </c>
      <c r="D443" s="255">
        <f>BugetComplet!R1411+BugetComplet!R1421+BugetComplet!R1431</f>
        <v>172180</v>
      </c>
      <c r="E443" s="255">
        <f>BugetComplet!S1411+BugetComplet!S1421+BugetComplet!S1431</f>
        <v>152180</v>
      </c>
      <c r="F443" s="255">
        <f>BugetComplet!T1411+BugetComplet!T1421+BugetComplet!T1431</f>
        <v>12180</v>
      </c>
      <c r="G443" s="255">
        <f>BugetComplet!U1411+BugetComplet!U1421+BugetComplet!U1431</f>
        <v>12180</v>
      </c>
      <c r="H443" s="255">
        <f>BugetComplet!V1411+BugetComplet!V1421+BugetComplet!V1431</f>
        <v>500900</v>
      </c>
    </row>
    <row r="444" spans="1:13" ht="54">
      <c r="A444" s="134" t="str">
        <f>BugetComplet!F$1432</f>
        <v>3.</v>
      </c>
      <c r="B444" s="136" t="str">
        <f>BugetComplet!G$1432</f>
        <v>Обеспечение эффективного управления Программой, в том числе путем укрепления системы здравоохранения (стратегической информации)</v>
      </c>
      <c r="C444" s="254">
        <f ca="1">BugetComplet!Q$1432</f>
        <v>13829785.498699997</v>
      </c>
      <c r="D444" s="254">
        <f ca="1">BugetComplet!R$1432</f>
        <v>11416097.556000002</v>
      </c>
      <c r="E444" s="254">
        <f ca="1">BugetComplet!S$1432</f>
        <v>10217978.104600001</v>
      </c>
      <c r="F444" s="254">
        <f ca="1">BugetComplet!T$1432</f>
        <v>2898254.5505599999</v>
      </c>
      <c r="G444" s="254">
        <f ca="1">BugetComplet!U$1432</f>
        <v>2963123.515416</v>
      </c>
      <c r="H444" s="254">
        <f ca="1">BugetComplet!V$1432</f>
        <v>41325239.225276001</v>
      </c>
      <c r="I444" s="258"/>
      <c r="J444" s="258"/>
      <c r="K444" s="258"/>
      <c r="L444" s="258"/>
      <c r="M444" s="258"/>
    </row>
    <row r="445" spans="1:13" ht="26.1" customHeight="1">
      <c r="A445" s="131"/>
      <c r="B445" s="168" t="s">
        <v>79</v>
      </c>
      <c r="C445" s="255">
        <f ca="1">C456+C489+C555+C610+C643+C665+C698</f>
        <v>17118405.498699997</v>
      </c>
      <c r="D445" s="255">
        <f t="shared" ref="D445:H445" ca="1" si="34">D456+D489+D555+D610+D643+D665+D698</f>
        <v>18628877.555999998</v>
      </c>
      <c r="E445" s="255">
        <f t="shared" ca="1" si="34"/>
        <v>14027199.484600002</v>
      </c>
      <c r="F445" s="255">
        <f t="shared" ca="1" si="34"/>
        <v>11278896.03156</v>
      </c>
      <c r="G445" s="255">
        <f t="shared" ca="1" si="34"/>
        <v>9526744.0664160009</v>
      </c>
      <c r="H445" s="255">
        <f t="shared" ca="1" si="34"/>
        <v>70580122.637275994</v>
      </c>
      <c r="I445" s="258"/>
      <c r="J445" s="258"/>
    </row>
    <row r="446" spans="1:13" ht="26.1" customHeight="1">
      <c r="A446" s="131"/>
      <c r="B446" s="169" t="s">
        <v>80</v>
      </c>
      <c r="C446" s="255">
        <f t="shared" ref="C446:H446" ca="1" si="35">C457+C490+C556+C611+C644+C666+C699</f>
        <v>13829785.498699997</v>
      </c>
      <c r="D446" s="255">
        <f t="shared" ca="1" si="35"/>
        <v>11416097.555999998</v>
      </c>
      <c r="E446" s="255">
        <f t="shared" ca="1" si="35"/>
        <v>10217978.104600001</v>
      </c>
      <c r="F446" s="255">
        <f t="shared" ca="1" si="35"/>
        <v>2898254.5505599999</v>
      </c>
      <c r="G446" s="255">
        <f t="shared" ca="1" si="35"/>
        <v>2963123.515416</v>
      </c>
      <c r="H446" s="255">
        <f t="shared" ca="1" si="35"/>
        <v>41325239.225276001</v>
      </c>
      <c r="I446" s="258"/>
      <c r="J446" s="258"/>
    </row>
    <row r="447" spans="1:13" ht="26.1" customHeight="1">
      <c r="A447" s="131"/>
      <c r="B447" s="169" t="s">
        <v>429</v>
      </c>
      <c r="C447" s="255">
        <f t="shared" ref="C447:H447" ca="1" si="36">C458+C491+C557+C612+C645+C667+C700</f>
        <v>0</v>
      </c>
      <c r="D447" s="255">
        <f t="shared" ca="1" si="36"/>
        <v>0</v>
      </c>
      <c r="E447" s="255">
        <f t="shared" ca="1" si="36"/>
        <v>0</v>
      </c>
      <c r="F447" s="255">
        <f t="shared" ca="1" si="36"/>
        <v>535869.83199200011</v>
      </c>
      <c r="G447" s="255">
        <f t="shared" ca="1" si="36"/>
        <v>591073.35819120007</v>
      </c>
      <c r="H447" s="255">
        <f t="shared" ca="1" si="36"/>
        <v>1126943.1901831999</v>
      </c>
      <c r="I447" s="258"/>
      <c r="J447" s="258"/>
    </row>
    <row r="448" spans="1:13" ht="26.1" customHeight="1">
      <c r="A448" s="131"/>
      <c r="B448" s="169" t="s">
        <v>133</v>
      </c>
      <c r="C448" s="255">
        <f t="shared" ref="C448:H448" ca="1" si="37">C459+C492+C558+C613+C646+C668+C701</f>
        <v>0</v>
      </c>
      <c r="D448" s="255">
        <f t="shared" ca="1" si="37"/>
        <v>0</v>
      </c>
      <c r="E448" s="255">
        <f t="shared" ca="1" si="37"/>
        <v>0</v>
      </c>
      <c r="F448" s="255">
        <f t="shared" ca="1" si="37"/>
        <v>112804.71856800001</v>
      </c>
      <c r="G448" s="255">
        <f t="shared" ca="1" si="37"/>
        <v>122470.1572248</v>
      </c>
      <c r="H448" s="255">
        <f t="shared" ca="1" si="37"/>
        <v>235274.87579280001</v>
      </c>
      <c r="I448" s="258"/>
      <c r="J448" s="258"/>
    </row>
    <row r="449" spans="1:13" ht="26.1" customHeight="1">
      <c r="A449" s="131"/>
      <c r="B449" s="169" t="s">
        <v>81</v>
      </c>
      <c r="C449" s="255">
        <f t="shared" ref="C449:H449" ca="1" si="38">C460+C493+C559+C614+C647+C669+C702</f>
        <v>0</v>
      </c>
      <c r="D449" s="255">
        <f t="shared" ca="1" si="38"/>
        <v>0</v>
      </c>
      <c r="E449" s="255">
        <f t="shared" ca="1" si="38"/>
        <v>0</v>
      </c>
      <c r="F449" s="255">
        <f t="shared" ca="1" si="38"/>
        <v>0</v>
      </c>
      <c r="G449" s="255">
        <f t="shared" ca="1" si="38"/>
        <v>0</v>
      </c>
      <c r="H449" s="255">
        <f t="shared" ca="1" si="38"/>
        <v>0</v>
      </c>
      <c r="I449" s="258"/>
      <c r="J449" s="258"/>
    </row>
    <row r="450" spans="1:13" ht="26.1" customHeight="1">
      <c r="A450" s="131"/>
      <c r="B450" s="169" t="s">
        <v>134</v>
      </c>
      <c r="C450" s="255">
        <f t="shared" ref="C450:H450" ca="1" si="39">C461+C494+C560+C615+C648+C670+C703</f>
        <v>2013055</v>
      </c>
      <c r="D450" s="255">
        <f t="shared" ca="1" si="39"/>
        <v>2013055</v>
      </c>
      <c r="E450" s="255">
        <f t="shared" ca="1" si="39"/>
        <v>2013055</v>
      </c>
      <c r="F450" s="255">
        <f t="shared" ca="1" si="39"/>
        <v>2249580</v>
      </c>
      <c r="G450" s="255">
        <f t="shared" ca="1" si="39"/>
        <v>2249580</v>
      </c>
      <c r="H450" s="255">
        <f t="shared" ca="1" si="39"/>
        <v>10538325</v>
      </c>
      <c r="I450" s="258"/>
      <c r="J450" s="258"/>
    </row>
    <row r="451" spans="1:13" ht="26.1" customHeight="1">
      <c r="A451" s="131"/>
      <c r="B451" s="169" t="s">
        <v>82</v>
      </c>
      <c r="C451" s="255">
        <f t="shared" ref="C451:H451" ca="1" si="40">C462+C495+C561+C616+C649+C671+C704</f>
        <v>10925105.498699997</v>
      </c>
      <c r="D451" s="255">
        <f t="shared" ca="1" si="40"/>
        <v>9054717.555999998</v>
      </c>
      <c r="E451" s="255">
        <f t="shared" ca="1" si="40"/>
        <v>7663298.1046000002</v>
      </c>
      <c r="F451" s="255">
        <f t="shared" ca="1" si="40"/>
        <v>0</v>
      </c>
      <c r="G451" s="255">
        <f t="shared" ca="1" si="40"/>
        <v>0</v>
      </c>
      <c r="H451" s="255">
        <f t="shared" ca="1" si="40"/>
        <v>27453307.159299999</v>
      </c>
      <c r="I451" s="958"/>
      <c r="J451" s="258"/>
    </row>
    <row r="452" spans="1:13" ht="26.1" customHeight="1">
      <c r="A452" s="131"/>
      <c r="B452" s="169" t="s">
        <v>90</v>
      </c>
      <c r="C452" s="255">
        <f t="shared" ref="C452:H452" ca="1" si="41">C463+C496+C562+C617+C650+C672+C705</f>
        <v>348325</v>
      </c>
      <c r="D452" s="255">
        <f t="shared" ca="1" si="41"/>
        <v>348325</v>
      </c>
      <c r="E452" s="255">
        <f t="shared" ca="1" si="41"/>
        <v>348325</v>
      </c>
      <c r="F452" s="255">
        <f t="shared" ca="1" si="41"/>
        <v>0</v>
      </c>
      <c r="G452" s="255">
        <f t="shared" ca="1" si="41"/>
        <v>0</v>
      </c>
      <c r="H452" s="255">
        <f t="shared" ca="1" si="41"/>
        <v>1044975</v>
      </c>
      <c r="I452" s="958"/>
      <c r="J452" s="258"/>
    </row>
    <row r="453" spans="1:13" ht="26.1" customHeight="1">
      <c r="A453" s="131"/>
      <c r="B453" s="169" t="s">
        <v>83</v>
      </c>
      <c r="C453" s="255">
        <f ca="1">C464+C497+C563+C618+C651+C673+C706</f>
        <v>543300</v>
      </c>
      <c r="D453" s="255">
        <f t="shared" ref="D453:H453" ca="1" si="42">D464+D497+D563+D618+D651+D673+D706</f>
        <v>0</v>
      </c>
      <c r="E453" s="255">
        <f t="shared" ca="1" si="42"/>
        <v>193300</v>
      </c>
      <c r="F453" s="255">
        <f t="shared" ca="1" si="42"/>
        <v>0</v>
      </c>
      <c r="G453" s="255">
        <f t="shared" ca="1" si="42"/>
        <v>0</v>
      </c>
      <c r="H453" s="255">
        <f t="shared" ca="1" si="42"/>
        <v>736600</v>
      </c>
    </row>
    <row r="454" spans="1:13" ht="26.1" customHeight="1">
      <c r="A454" s="131"/>
      <c r="B454" s="169" t="s">
        <v>84</v>
      </c>
      <c r="C454" s="255">
        <f t="shared" ref="C454:H454" ca="1" si="43">C465+C498+C564+C619+C652+C674+C707</f>
        <v>3288620</v>
      </c>
      <c r="D454" s="255">
        <f t="shared" ca="1" si="43"/>
        <v>7212780</v>
      </c>
      <c r="E454" s="255">
        <f t="shared" ca="1" si="43"/>
        <v>3809221.38</v>
      </c>
      <c r="F454" s="255">
        <f t="shared" ca="1" si="43"/>
        <v>8380641.4809999987</v>
      </c>
      <c r="G454" s="255">
        <f t="shared" ca="1" si="43"/>
        <v>6563620.551</v>
      </c>
      <c r="H454" s="255">
        <f t="shared" ca="1" si="43"/>
        <v>29254883.412</v>
      </c>
      <c r="I454" s="258"/>
      <c r="J454" s="258"/>
    </row>
    <row r="455" spans="1:13" ht="45">
      <c r="A455" s="129" t="str">
        <f>BugetComplet!F$1433</f>
        <v>3.1</v>
      </c>
      <c r="B455" s="128" t="str">
        <f>BugetComplet!G$1433</f>
        <v>Укрепить потенциал и улучшить  системы управления, координации и администрирования для эффективного управления программами по ВИЧ/ТБ/ Гепатитам</v>
      </c>
      <c r="C455" s="256">
        <f>BugetComplet!Q$1433</f>
        <v>2374182.6</v>
      </c>
      <c r="D455" s="256">
        <f>BugetComplet!R$1433</f>
        <v>2461050</v>
      </c>
      <c r="E455" s="256">
        <f>BugetComplet!S$1433</f>
        <v>2344500</v>
      </c>
      <c r="F455" s="256">
        <f>BugetComplet!T$1433</f>
        <v>1781910</v>
      </c>
      <c r="G455" s="256">
        <f>BugetComplet!U$1433</f>
        <v>1781910</v>
      </c>
      <c r="H455" s="256">
        <f>BugetComplet!V$1433</f>
        <v>10743552.6</v>
      </c>
      <c r="I455" s="258"/>
      <c r="J455" s="258"/>
      <c r="K455" s="258"/>
      <c r="L455" s="258"/>
      <c r="M455" s="258"/>
    </row>
    <row r="456" spans="1:13" ht="26.1" customHeight="1">
      <c r="A456" s="131"/>
      <c r="B456" s="168" t="s">
        <v>79</v>
      </c>
      <c r="C456" s="255">
        <f>C467+C478</f>
        <v>2374182.6</v>
      </c>
      <c r="D456" s="255">
        <f t="shared" ref="D456:H456" si="44">D467+D478</f>
        <v>2461050</v>
      </c>
      <c r="E456" s="255">
        <f t="shared" si="44"/>
        <v>2344500</v>
      </c>
      <c r="F456" s="255">
        <f t="shared" si="44"/>
        <v>2284500</v>
      </c>
      <c r="G456" s="255">
        <f t="shared" si="44"/>
        <v>2284500</v>
      </c>
      <c r="H456" s="255">
        <f t="shared" si="44"/>
        <v>11748732.6</v>
      </c>
      <c r="I456" s="258"/>
      <c r="J456" s="258"/>
    </row>
    <row r="457" spans="1:13" ht="26.1" customHeight="1">
      <c r="A457" s="131"/>
      <c r="B457" s="169" t="s">
        <v>80</v>
      </c>
      <c r="C457" s="255">
        <f t="shared" ref="C457:H465" si="45">C468+C479</f>
        <v>2374182.6</v>
      </c>
      <c r="D457" s="255">
        <f t="shared" si="45"/>
        <v>2461050</v>
      </c>
      <c r="E457" s="255">
        <f t="shared" si="45"/>
        <v>2344500</v>
      </c>
      <c r="F457" s="255">
        <f t="shared" si="45"/>
        <v>1781910</v>
      </c>
      <c r="G457" s="255">
        <f t="shared" si="45"/>
        <v>1781910</v>
      </c>
      <c r="H457" s="255">
        <f t="shared" si="45"/>
        <v>10743552.6</v>
      </c>
    </row>
    <row r="458" spans="1:13" ht="26.1" customHeight="1">
      <c r="A458" s="131"/>
      <c r="B458" s="169" t="s">
        <v>429</v>
      </c>
      <c r="C458" s="255">
        <f t="shared" si="45"/>
        <v>0</v>
      </c>
      <c r="D458" s="255">
        <f t="shared" si="45"/>
        <v>0</v>
      </c>
      <c r="E458" s="255">
        <f t="shared" si="45"/>
        <v>0</v>
      </c>
      <c r="F458" s="255">
        <f t="shared" si="45"/>
        <v>0</v>
      </c>
      <c r="G458" s="255">
        <f t="shared" si="45"/>
        <v>0</v>
      </c>
      <c r="H458" s="255">
        <f t="shared" si="45"/>
        <v>0</v>
      </c>
    </row>
    <row r="459" spans="1:13" ht="26.1" customHeight="1">
      <c r="A459" s="131"/>
      <c r="B459" s="169" t="s">
        <v>133</v>
      </c>
      <c r="C459" s="255">
        <f t="shared" si="45"/>
        <v>0</v>
      </c>
      <c r="D459" s="255">
        <f t="shared" si="45"/>
        <v>0</v>
      </c>
      <c r="E459" s="255">
        <f t="shared" si="45"/>
        <v>0</v>
      </c>
      <c r="F459" s="255">
        <f t="shared" si="45"/>
        <v>0</v>
      </c>
      <c r="G459" s="255">
        <f t="shared" si="45"/>
        <v>0</v>
      </c>
      <c r="H459" s="255">
        <f t="shared" si="45"/>
        <v>0</v>
      </c>
    </row>
    <row r="460" spans="1:13" ht="26.1" customHeight="1">
      <c r="A460" s="131"/>
      <c r="B460" s="169" t="s">
        <v>81</v>
      </c>
      <c r="C460" s="255">
        <f t="shared" si="45"/>
        <v>0</v>
      </c>
      <c r="D460" s="255">
        <f t="shared" si="45"/>
        <v>0</v>
      </c>
      <c r="E460" s="255">
        <f t="shared" si="45"/>
        <v>0</v>
      </c>
      <c r="F460" s="255">
        <f t="shared" si="45"/>
        <v>0</v>
      </c>
      <c r="G460" s="255">
        <f t="shared" si="45"/>
        <v>0</v>
      </c>
      <c r="H460" s="255">
        <f t="shared" si="45"/>
        <v>0</v>
      </c>
    </row>
    <row r="461" spans="1:13" ht="26.1" customHeight="1">
      <c r="A461" s="131"/>
      <c r="B461" s="169" t="s">
        <v>134</v>
      </c>
      <c r="C461" s="255">
        <f t="shared" si="45"/>
        <v>1781910</v>
      </c>
      <c r="D461" s="255">
        <f t="shared" si="45"/>
        <v>1781910</v>
      </c>
      <c r="E461" s="255">
        <f t="shared" si="45"/>
        <v>1781910</v>
      </c>
      <c r="F461" s="255">
        <f t="shared" si="45"/>
        <v>1781910</v>
      </c>
      <c r="G461" s="255">
        <f t="shared" si="45"/>
        <v>1781910</v>
      </c>
      <c r="H461" s="255">
        <f t="shared" si="45"/>
        <v>8909550</v>
      </c>
    </row>
    <row r="462" spans="1:13" ht="26.1" customHeight="1">
      <c r="A462" s="131"/>
      <c r="B462" s="169" t="s">
        <v>82</v>
      </c>
      <c r="C462" s="255">
        <f t="shared" si="45"/>
        <v>592272.6</v>
      </c>
      <c r="D462" s="255">
        <f t="shared" si="45"/>
        <v>679140</v>
      </c>
      <c r="E462" s="255">
        <f t="shared" si="45"/>
        <v>562590</v>
      </c>
      <c r="F462" s="255">
        <f t="shared" si="45"/>
        <v>0</v>
      </c>
      <c r="G462" s="255">
        <f t="shared" si="45"/>
        <v>0</v>
      </c>
      <c r="H462" s="255">
        <f t="shared" si="45"/>
        <v>1834002.6</v>
      </c>
      <c r="I462" s="958"/>
    </row>
    <row r="463" spans="1:13" ht="26.1" customHeight="1">
      <c r="A463" s="131"/>
      <c r="B463" s="169" t="s">
        <v>90</v>
      </c>
      <c r="C463" s="255">
        <f t="shared" si="45"/>
        <v>0</v>
      </c>
      <c r="D463" s="255">
        <f t="shared" si="45"/>
        <v>0</v>
      </c>
      <c r="E463" s="255">
        <f t="shared" si="45"/>
        <v>0</v>
      </c>
      <c r="F463" s="255">
        <f t="shared" si="45"/>
        <v>0</v>
      </c>
      <c r="G463" s="255">
        <f t="shared" si="45"/>
        <v>0</v>
      </c>
      <c r="H463" s="255">
        <f t="shared" si="45"/>
        <v>0</v>
      </c>
    </row>
    <row r="464" spans="1:13" ht="26.1" customHeight="1">
      <c r="A464" s="131"/>
      <c r="B464" s="169" t="s">
        <v>83</v>
      </c>
      <c r="C464" s="255">
        <f t="shared" si="45"/>
        <v>0</v>
      </c>
      <c r="D464" s="255">
        <f t="shared" si="45"/>
        <v>0</v>
      </c>
      <c r="E464" s="255">
        <f t="shared" si="45"/>
        <v>0</v>
      </c>
      <c r="F464" s="255">
        <f t="shared" si="45"/>
        <v>0</v>
      </c>
      <c r="G464" s="255">
        <f t="shared" si="45"/>
        <v>0</v>
      </c>
      <c r="H464" s="255">
        <f t="shared" si="45"/>
        <v>0</v>
      </c>
    </row>
    <row r="465" spans="1:10" ht="26.1" customHeight="1">
      <c r="A465" s="131"/>
      <c r="B465" s="169" t="s">
        <v>84</v>
      </c>
      <c r="C465" s="255">
        <f t="shared" si="45"/>
        <v>0</v>
      </c>
      <c r="D465" s="255">
        <f t="shared" si="45"/>
        <v>0</v>
      </c>
      <c r="E465" s="255">
        <f t="shared" si="45"/>
        <v>0</v>
      </c>
      <c r="F465" s="255">
        <f t="shared" si="45"/>
        <v>502590</v>
      </c>
      <c r="G465" s="255">
        <f t="shared" si="45"/>
        <v>502590</v>
      </c>
      <c r="H465" s="255">
        <f t="shared" si="45"/>
        <v>1005180</v>
      </c>
    </row>
    <row r="466" spans="1:10" ht="36" customHeight="1">
      <c r="A466" s="137" t="str">
        <f>BugetComplet!F$1434</f>
        <v>3.1.1</v>
      </c>
      <c r="B466" s="139" t="str">
        <f>BugetComplet!G$1434</f>
        <v>Усиление координации програм путем укрепления потенциала управления программой</v>
      </c>
      <c r="C466" s="257">
        <f>BugetComplet!Q$1434</f>
        <v>2374182.6</v>
      </c>
      <c r="D466" s="257">
        <f>BugetComplet!R$1434</f>
        <v>2284500</v>
      </c>
      <c r="E466" s="257">
        <f>BugetComplet!S$1434</f>
        <v>2284500</v>
      </c>
      <c r="F466" s="257">
        <f>BugetComplet!T$1434</f>
        <v>1781910</v>
      </c>
      <c r="G466" s="257">
        <f>BugetComplet!U$1434</f>
        <v>1781910</v>
      </c>
      <c r="H466" s="257">
        <f>BugetComplet!V$1434</f>
        <v>10507002.6</v>
      </c>
    </row>
    <row r="467" spans="1:10" ht="26.1" customHeight="1">
      <c r="A467" s="131"/>
      <c r="B467" s="168" t="s">
        <v>79</v>
      </c>
      <c r="C467" s="255">
        <f>BugetComplet!Q1435+BugetComplet!Q1445</f>
        <v>2374182.6</v>
      </c>
      <c r="D467" s="255">
        <f>BugetComplet!R1435+BugetComplet!R1445</f>
        <v>2284500</v>
      </c>
      <c r="E467" s="255">
        <f>BugetComplet!S1435+BugetComplet!S1445</f>
        <v>2284500</v>
      </c>
      <c r="F467" s="255">
        <f>BugetComplet!T1435+BugetComplet!T1445</f>
        <v>2284500</v>
      </c>
      <c r="G467" s="255">
        <f>BugetComplet!U1435+BugetComplet!U1445</f>
        <v>2284500</v>
      </c>
      <c r="H467" s="255">
        <f>BugetComplet!V1435+BugetComplet!V1445</f>
        <v>11512182.6</v>
      </c>
      <c r="I467" s="258"/>
      <c r="J467" s="258"/>
    </row>
    <row r="468" spans="1:10" ht="26.1" customHeight="1">
      <c r="A468" s="131"/>
      <c r="B468" s="169" t="s">
        <v>80</v>
      </c>
      <c r="C468" s="255">
        <f>BugetComplet!Q1436+BugetComplet!Q1446</f>
        <v>2374182.6</v>
      </c>
      <c r="D468" s="255">
        <f>BugetComplet!R1436+BugetComplet!R1446</f>
        <v>2284500</v>
      </c>
      <c r="E468" s="255">
        <f>BugetComplet!S1436+BugetComplet!S1446</f>
        <v>2284500</v>
      </c>
      <c r="F468" s="255">
        <f>BugetComplet!T1436+BugetComplet!T1446</f>
        <v>1781910</v>
      </c>
      <c r="G468" s="255">
        <f>BugetComplet!U1436+BugetComplet!U1446</f>
        <v>1781910</v>
      </c>
      <c r="H468" s="255">
        <f>BugetComplet!V1436+BugetComplet!V1446</f>
        <v>10507002.6</v>
      </c>
    </row>
    <row r="469" spans="1:10" ht="26.1" customHeight="1">
      <c r="A469" s="131"/>
      <c r="B469" s="169" t="s">
        <v>429</v>
      </c>
      <c r="C469" s="255">
        <f>BugetComplet!Q1437+BugetComplet!Q1447</f>
        <v>0</v>
      </c>
      <c r="D469" s="255">
        <f>BugetComplet!R1437+BugetComplet!R1447</f>
        <v>0</v>
      </c>
      <c r="E469" s="255">
        <f>BugetComplet!S1437+BugetComplet!S1447</f>
        <v>0</v>
      </c>
      <c r="F469" s="255">
        <f>BugetComplet!T1437+BugetComplet!T1447</f>
        <v>0</v>
      </c>
      <c r="G469" s="255">
        <f>BugetComplet!U1437+BugetComplet!U1447</f>
        <v>0</v>
      </c>
      <c r="H469" s="255">
        <f>BugetComplet!V1437+BugetComplet!V1447</f>
        <v>0</v>
      </c>
    </row>
    <row r="470" spans="1:10" ht="26.1" customHeight="1">
      <c r="A470" s="131"/>
      <c r="B470" s="169" t="s">
        <v>133</v>
      </c>
      <c r="C470" s="255">
        <f>BugetComplet!Q1438+BugetComplet!Q1448</f>
        <v>0</v>
      </c>
      <c r="D470" s="255">
        <f>BugetComplet!R1438+BugetComplet!R1448</f>
        <v>0</v>
      </c>
      <c r="E470" s="255">
        <f>BugetComplet!S1438+BugetComplet!S1448</f>
        <v>0</v>
      </c>
      <c r="F470" s="255">
        <f>BugetComplet!T1438+BugetComplet!T1448</f>
        <v>0</v>
      </c>
      <c r="G470" s="255">
        <f>BugetComplet!U1438+BugetComplet!U1448</f>
        <v>0</v>
      </c>
      <c r="H470" s="255">
        <f>BugetComplet!V1438+BugetComplet!V1448</f>
        <v>0</v>
      </c>
    </row>
    <row r="471" spans="1:10" ht="26.1" customHeight="1">
      <c r="A471" s="131"/>
      <c r="B471" s="169" t="s">
        <v>81</v>
      </c>
      <c r="C471" s="255">
        <f>BugetComplet!Q1439+BugetComplet!Q1449</f>
        <v>0</v>
      </c>
      <c r="D471" s="255">
        <f>BugetComplet!R1439+BugetComplet!R1449</f>
        <v>0</v>
      </c>
      <c r="E471" s="255">
        <f>BugetComplet!S1439+BugetComplet!S1449</f>
        <v>0</v>
      </c>
      <c r="F471" s="255">
        <f>BugetComplet!T1439+BugetComplet!T1449</f>
        <v>0</v>
      </c>
      <c r="G471" s="255">
        <f>BugetComplet!U1439+BugetComplet!U1449</f>
        <v>0</v>
      </c>
      <c r="H471" s="255">
        <f>BugetComplet!V1439+BugetComplet!V1449</f>
        <v>0</v>
      </c>
    </row>
    <row r="472" spans="1:10" ht="26.1" customHeight="1">
      <c r="A472" s="131"/>
      <c r="B472" s="169" t="s">
        <v>134</v>
      </c>
      <c r="C472" s="255">
        <f>BugetComplet!Q1440+BugetComplet!Q1450</f>
        <v>1781910</v>
      </c>
      <c r="D472" s="255">
        <f>BugetComplet!R1440+BugetComplet!R1450</f>
        <v>1781910</v>
      </c>
      <c r="E472" s="255">
        <f>BugetComplet!S1440+BugetComplet!S1450</f>
        <v>1781910</v>
      </c>
      <c r="F472" s="255">
        <f>BugetComplet!T1440+BugetComplet!T1450</f>
        <v>1781910</v>
      </c>
      <c r="G472" s="255">
        <f>BugetComplet!U1440+BugetComplet!U1450</f>
        <v>1781910</v>
      </c>
      <c r="H472" s="255">
        <f>BugetComplet!V1440+BugetComplet!V1450</f>
        <v>8909550</v>
      </c>
    </row>
    <row r="473" spans="1:10" ht="26.1" customHeight="1">
      <c r="A473" s="131"/>
      <c r="B473" s="169" t="s">
        <v>82</v>
      </c>
      <c r="C473" s="255">
        <f>BugetComplet!Q1441+BugetComplet!Q1451</f>
        <v>592272.6</v>
      </c>
      <c r="D473" s="255">
        <f>BugetComplet!R1441+BugetComplet!R1451</f>
        <v>502590</v>
      </c>
      <c r="E473" s="255">
        <f>BugetComplet!S1441+BugetComplet!S1451</f>
        <v>502590</v>
      </c>
      <c r="F473" s="255">
        <f>BugetComplet!T1441+BugetComplet!T1451</f>
        <v>0</v>
      </c>
      <c r="G473" s="255">
        <f>BugetComplet!U1441+BugetComplet!U1451</f>
        <v>0</v>
      </c>
      <c r="H473" s="255">
        <f>BugetComplet!V1441+BugetComplet!V1451</f>
        <v>1597452.6</v>
      </c>
    </row>
    <row r="474" spans="1:10" ht="26.1" customHeight="1">
      <c r="A474" s="131"/>
      <c r="B474" s="169" t="s">
        <v>90</v>
      </c>
      <c r="C474" s="255">
        <f>BugetComplet!Q1442+BugetComplet!Q1452</f>
        <v>0</v>
      </c>
      <c r="D474" s="255">
        <f>BugetComplet!R1442+BugetComplet!R1452</f>
        <v>0</v>
      </c>
      <c r="E474" s="255">
        <f>BugetComplet!S1442+BugetComplet!S1452</f>
        <v>0</v>
      </c>
      <c r="F474" s="255">
        <f>BugetComplet!T1442+BugetComplet!T1452</f>
        <v>0</v>
      </c>
      <c r="G474" s="255">
        <f>BugetComplet!U1442+BugetComplet!U1452</f>
        <v>0</v>
      </c>
      <c r="H474" s="255">
        <f>BugetComplet!V1442+BugetComplet!V1452</f>
        <v>0</v>
      </c>
    </row>
    <row r="475" spans="1:10" ht="26.1" customHeight="1">
      <c r="A475" s="131"/>
      <c r="B475" s="169" t="s">
        <v>83</v>
      </c>
      <c r="C475" s="255">
        <f>BugetComplet!Q1443+BugetComplet!Q1453</f>
        <v>0</v>
      </c>
      <c r="D475" s="255">
        <f>BugetComplet!R1443+BugetComplet!R1453</f>
        <v>0</v>
      </c>
      <c r="E475" s="255">
        <f>BugetComplet!S1443+BugetComplet!S1453</f>
        <v>0</v>
      </c>
      <c r="F475" s="255">
        <f>BugetComplet!T1443+BugetComplet!T1453</f>
        <v>0</v>
      </c>
      <c r="G475" s="255">
        <f>BugetComplet!U1443+BugetComplet!U1453</f>
        <v>0</v>
      </c>
      <c r="H475" s="255">
        <f>BugetComplet!V1443+BugetComplet!V1453</f>
        <v>0</v>
      </c>
    </row>
    <row r="476" spans="1:10" ht="26.1" customHeight="1">
      <c r="A476" s="131"/>
      <c r="B476" s="169" t="s">
        <v>84</v>
      </c>
      <c r="C476" s="255">
        <f>BugetComplet!Q1444+BugetComplet!Q1454</f>
        <v>0</v>
      </c>
      <c r="D476" s="255">
        <f>BugetComplet!R1444+BugetComplet!R1454</f>
        <v>0</v>
      </c>
      <c r="E476" s="255">
        <f>BugetComplet!S1444+BugetComplet!S1454</f>
        <v>0</v>
      </c>
      <c r="F476" s="255">
        <f>BugetComplet!T1444+BugetComplet!T1454</f>
        <v>502590</v>
      </c>
      <c r="G476" s="255">
        <f>BugetComplet!U1444+BugetComplet!U1454</f>
        <v>502590</v>
      </c>
      <c r="H476" s="255">
        <f>BugetComplet!V1444+BugetComplet!V1454</f>
        <v>1005180</v>
      </c>
    </row>
    <row r="477" spans="1:10" ht="36" customHeight="1">
      <c r="A477" s="137" t="str">
        <f>BugetComplet!F$1455</f>
        <v>3.1.2</v>
      </c>
      <c r="B477" s="139" t="str">
        <f>BugetComplet!G$1455</f>
        <v>Повышение координации менеджмента программ по ВИЧ, ТБ и гепатитам</v>
      </c>
      <c r="C477" s="257">
        <f>BugetComplet!Q$1455</f>
        <v>0</v>
      </c>
      <c r="D477" s="257">
        <f>BugetComplet!I$1455</f>
        <v>0</v>
      </c>
      <c r="E477" s="257">
        <f>BugetComplet!S1455</f>
        <v>60000</v>
      </c>
      <c r="F477" s="257">
        <f>BugetComplet!J$1455</f>
        <v>0</v>
      </c>
      <c r="G477" s="257">
        <f>BugetComplet!K$1455</f>
        <v>0</v>
      </c>
      <c r="H477" s="257">
        <f>BugetComplet!L$1455</f>
        <v>0</v>
      </c>
    </row>
    <row r="478" spans="1:10" ht="26.1" customHeight="1">
      <c r="A478" s="131"/>
      <c r="B478" s="168" t="s">
        <v>79</v>
      </c>
      <c r="C478" s="255">
        <f>BugetComplet!Q1456+BugetComplet!Q1466+BugetComplet!Q1476</f>
        <v>0</v>
      </c>
      <c r="D478" s="255">
        <f>BugetComplet!R1456+BugetComplet!R1466+BugetComplet!R1476</f>
        <v>176550</v>
      </c>
      <c r="E478" s="255">
        <f>BugetComplet!S1456+BugetComplet!S1466+BugetComplet!S1476</f>
        <v>60000</v>
      </c>
      <c r="F478" s="255">
        <f>BugetComplet!T1456+BugetComplet!T1466+BugetComplet!T1476</f>
        <v>0</v>
      </c>
      <c r="G478" s="255">
        <f>BugetComplet!U1456+BugetComplet!U1466+BugetComplet!U1476</f>
        <v>0</v>
      </c>
      <c r="H478" s="255">
        <f>BugetComplet!V1456+BugetComplet!V1466+BugetComplet!V1476</f>
        <v>236550</v>
      </c>
      <c r="I478" s="258"/>
      <c r="J478" s="258"/>
    </row>
    <row r="479" spans="1:10" ht="26.1" customHeight="1">
      <c r="A479" s="131"/>
      <c r="B479" s="169" t="s">
        <v>80</v>
      </c>
      <c r="C479" s="255">
        <f>BugetComplet!Q1457+BugetComplet!Q1467+BugetComplet!Q1477</f>
        <v>0</v>
      </c>
      <c r="D479" s="255">
        <f>BugetComplet!R1457+BugetComplet!R1467+BugetComplet!R1477</f>
        <v>176550</v>
      </c>
      <c r="E479" s="255">
        <f>BugetComplet!S1457+BugetComplet!S1467+BugetComplet!S1477</f>
        <v>60000</v>
      </c>
      <c r="F479" s="255">
        <f>BugetComplet!T1457+BugetComplet!T1467+BugetComplet!T1477</f>
        <v>0</v>
      </c>
      <c r="G479" s="255">
        <f>BugetComplet!U1457+BugetComplet!U1467+BugetComplet!U1477</f>
        <v>0</v>
      </c>
      <c r="H479" s="255">
        <f>BugetComplet!V1457+BugetComplet!V1467+BugetComplet!V1477</f>
        <v>236550</v>
      </c>
    </row>
    <row r="480" spans="1:10" ht="26.1" customHeight="1">
      <c r="A480" s="131"/>
      <c r="B480" s="169" t="s">
        <v>429</v>
      </c>
      <c r="C480" s="255">
        <f>BugetComplet!Q1458+BugetComplet!Q1468+BugetComplet!Q1478</f>
        <v>0</v>
      </c>
      <c r="D480" s="255">
        <f>BugetComplet!R1458+BugetComplet!R1468+BugetComplet!R1478</f>
        <v>0</v>
      </c>
      <c r="E480" s="255">
        <f>BugetComplet!S1458+BugetComplet!S1468+BugetComplet!S1478</f>
        <v>0</v>
      </c>
      <c r="F480" s="255">
        <f>BugetComplet!T1458+BugetComplet!T1468+BugetComplet!T1478</f>
        <v>0</v>
      </c>
      <c r="G480" s="255">
        <f>BugetComplet!U1458+BugetComplet!U1468+BugetComplet!U1478</f>
        <v>0</v>
      </c>
      <c r="H480" s="255">
        <f>BugetComplet!V1458+BugetComplet!V1468+BugetComplet!V1478</f>
        <v>0</v>
      </c>
    </row>
    <row r="481" spans="1:13" ht="26.1" customHeight="1">
      <c r="A481" s="131"/>
      <c r="B481" s="169" t="s">
        <v>133</v>
      </c>
      <c r="C481" s="255">
        <f>BugetComplet!Q1459+BugetComplet!Q1469+BugetComplet!Q1479</f>
        <v>0</v>
      </c>
      <c r="D481" s="255">
        <f>BugetComplet!R1459+BugetComplet!R1469+BugetComplet!R1479</f>
        <v>0</v>
      </c>
      <c r="E481" s="255">
        <f>BugetComplet!S1459+BugetComplet!S1469+BugetComplet!S1479</f>
        <v>0</v>
      </c>
      <c r="F481" s="255">
        <f>BugetComplet!T1459+BugetComplet!T1469+BugetComplet!T1479</f>
        <v>0</v>
      </c>
      <c r="G481" s="255">
        <f>BugetComplet!U1459+BugetComplet!U1469+BugetComplet!U1479</f>
        <v>0</v>
      </c>
      <c r="H481" s="255">
        <f>BugetComplet!V1459+BugetComplet!V1469+BugetComplet!V1479</f>
        <v>0</v>
      </c>
    </row>
    <row r="482" spans="1:13" ht="26.1" customHeight="1">
      <c r="A482" s="131"/>
      <c r="B482" s="169" t="s">
        <v>81</v>
      </c>
      <c r="C482" s="255">
        <f>BugetComplet!Q1460+BugetComplet!Q1470+BugetComplet!Q1480</f>
        <v>0</v>
      </c>
      <c r="D482" s="255">
        <f>BugetComplet!R1460+BugetComplet!R1470+BugetComplet!R1480</f>
        <v>0</v>
      </c>
      <c r="E482" s="255">
        <f>BugetComplet!S1460+BugetComplet!S1470+BugetComplet!S1480</f>
        <v>0</v>
      </c>
      <c r="F482" s="255">
        <f>BugetComplet!T1460+BugetComplet!T1470+BugetComplet!T1480</f>
        <v>0</v>
      </c>
      <c r="G482" s="255">
        <f>BugetComplet!U1460+BugetComplet!U1470+BugetComplet!U1480</f>
        <v>0</v>
      </c>
      <c r="H482" s="255">
        <f>BugetComplet!V1460+BugetComplet!V1470+BugetComplet!V1480</f>
        <v>0</v>
      </c>
    </row>
    <row r="483" spans="1:13" ht="26.1" customHeight="1">
      <c r="A483" s="131"/>
      <c r="B483" s="169" t="s">
        <v>134</v>
      </c>
      <c r="C483" s="255">
        <f>BugetComplet!Q1461+BugetComplet!Q1471+BugetComplet!Q1481</f>
        <v>0</v>
      </c>
      <c r="D483" s="255">
        <f>BugetComplet!R1461+BugetComplet!R1471+BugetComplet!R1481</f>
        <v>0</v>
      </c>
      <c r="E483" s="255">
        <f>BugetComplet!S1461+BugetComplet!S1471+BugetComplet!S1481</f>
        <v>0</v>
      </c>
      <c r="F483" s="255">
        <f>BugetComplet!T1461+BugetComplet!T1471+BugetComplet!T1481</f>
        <v>0</v>
      </c>
      <c r="G483" s="255">
        <f>BugetComplet!U1461+BugetComplet!U1471+BugetComplet!U1481</f>
        <v>0</v>
      </c>
      <c r="H483" s="255">
        <f>BugetComplet!V1461+BugetComplet!V1471+BugetComplet!V1481</f>
        <v>0</v>
      </c>
    </row>
    <row r="484" spans="1:13" ht="26.1" customHeight="1">
      <c r="A484" s="131"/>
      <c r="B484" s="169" t="s">
        <v>82</v>
      </c>
      <c r="C484" s="255">
        <f>BugetComplet!Q1462+BugetComplet!Q1472+BugetComplet!Q1482</f>
        <v>0</v>
      </c>
      <c r="D484" s="255">
        <f>BugetComplet!R1462+BugetComplet!R1472+BugetComplet!R1482</f>
        <v>176550</v>
      </c>
      <c r="E484" s="255">
        <f>BugetComplet!S1462+BugetComplet!S1472+BugetComplet!S1482</f>
        <v>60000</v>
      </c>
      <c r="F484" s="255">
        <f>BugetComplet!T1462+BugetComplet!T1472+BugetComplet!T1482</f>
        <v>0</v>
      </c>
      <c r="G484" s="255">
        <f>BugetComplet!U1462+BugetComplet!U1472+BugetComplet!U1482</f>
        <v>0</v>
      </c>
      <c r="H484" s="255">
        <f>BugetComplet!V1462+BugetComplet!V1472+BugetComplet!V1482</f>
        <v>236550</v>
      </c>
    </row>
    <row r="485" spans="1:13" ht="26.1" customHeight="1">
      <c r="A485" s="131"/>
      <c r="B485" s="169" t="s">
        <v>90</v>
      </c>
      <c r="C485" s="255">
        <f>BugetComplet!Q1463+BugetComplet!Q1473+BugetComplet!Q1483</f>
        <v>0</v>
      </c>
      <c r="D485" s="255">
        <f>BugetComplet!R1463+BugetComplet!R1473+BugetComplet!R1483</f>
        <v>0</v>
      </c>
      <c r="E485" s="255">
        <f>BugetComplet!S1463+BugetComplet!S1473+BugetComplet!S1483</f>
        <v>0</v>
      </c>
      <c r="F485" s="255">
        <f>BugetComplet!T1463+BugetComplet!T1473+BugetComplet!T1483</f>
        <v>0</v>
      </c>
      <c r="G485" s="255">
        <f>BugetComplet!U1463+BugetComplet!U1473+BugetComplet!U1483</f>
        <v>0</v>
      </c>
      <c r="H485" s="255">
        <f>BugetComplet!V1463+BugetComplet!V1473+BugetComplet!V1483</f>
        <v>0</v>
      </c>
    </row>
    <row r="486" spans="1:13" ht="26.1" customHeight="1">
      <c r="A486" s="131"/>
      <c r="B486" s="169" t="s">
        <v>83</v>
      </c>
      <c r="C486" s="255">
        <f>BugetComplet!Q1464+BugetComplet!Q1474+BugetComplet!Q1484</f>
        <v>0</v>
      </c>
      <c r="D486" s="255">
        <f>BugetComplet!R1464+BugetComplet!R1474+BugetComplet!R1484</f>
        <v>0</v>
      </c>
      <c r="E486" s="255">
        <f>BugetComplet!S1464+BugetComplet!S1474+BugetComplet!S1484</f>
        <v>0</v>
      </c>
      <c r="F486" s="255">
        <f>BugetComplet!T1464+BugetComplet!T1474+BugetComplet!T1484</f>
        <v>0</v>
      </c>
      <c r="G486" s="255">
        <f>BugetComplet!U1464+BugetComplet!U1474+BugetComplet!U1484</f>
        <v>0</v>
      </c>
      <c r="H486" s="255">
        <f>BugetComplet!V1464+BugetComplet!V1474+BugetComplet!V1484</f>
        <v>0</v>
      </c>
    </row>
    <row r="487" spans="1:13" ht="26.1" customHeight="1">
      <c r="A487" s="131"/>
      <c r="B487" s="169" t="s">
        <v>84</v>
      </c>
      <c r="C487" s="255">
        <f>BugetComplet!Q1465+BugetComplet!Q1475+BugetComplet!Q1485</f>
        <v>0</v>
      </c>
      <c r="D487" s="255">
        <f>BugetComplet!R1465+BugetComplet!R1475+BugetComplet!R1485</f>
        <v>0</v>
      </c>
      <c r="E487" s="255">
        <f>BugetComplet!S1465+BugetComplet!S1475+BugetComplet!S1485</f>
        <v>0</v>
      </c>
      <c r="F487" s="255">
        <f>BugetComplet!T1465+BugetComplet!T1475+BugetComplet!T1485</f>
        <v>0</v>
      </c>
      <c r="G487" s="255">
        <f>BugetComplet!U1465+BugetComplet!U1475+BugetComplet!U1485</f>
        <v>0</v>
      </c>
      <c r="H487" s="255">
        <f>BugetComplet!V1465+BugetComplet!V1475+BugetComplet!V1485</f>
        <v>0</v>
      </c>
    </row>
    <row r="488" spans="1:13" ht="31.5" customHeight="1">
      <c r="A488" s="129" t="str">
        <f>BugetComplet!F$1486</f>
        <v>3.2</v>
      </c>
      <c r="B488" s="128" t="str">
        <f>BugetComplet!G$1486</f>
        <v>Предоставить своевременную, качественую информацию для принятия стратегических решений</v>
      </c>
      <c r="C488" s="256">
        <f ca="1">BugetComplet!Q$1486</f>
        <v>7290648.8886999991</v>
      </c>
      <c r="D488" s="256">
        <f ca="1">BugetComplet!R$1486</f>
        <v>2699240.676</v>
      </c>
      <c r="E488" s="256">
        <f ca="1">BugetComplet!S$1486</f>
        <v>3003230.3056000001</v>
      </c>
      <c r="F488" s="256">
        <f ca="1">BugetComplet!T$1486</f>
        <v>127465.72856000002</v>
      </c>
      <c r="G488" s="256">
        <f ca="1">BugetComplet!U$1486</f>
        <v>159683.85741600004</v>
      </c>
      <c r="H488" s="256">
        <f ca="1">BugetComplet!V$1486</f>
        <v>13280269.456276001</v>
      </c>
      <c r="I488" s="258"/>
      <c r="J488" s="258"/>
      <c r="K488" s="258"/>
      <c r="L488" s="258"/>
      <c r="M488" s="258"/>
    </row>
    <row r="489" spans="1:13" ht="26.1" customHeight="1">
      <c r="A489" s="131"/>
      <c r="B489" s="168" t="s">
        <v>79</v>
      </c>
      <c r="C489" s="255">
        <f ca="1">C500+C511+C522+C533+C544</f>
        <v>7512648.8886999991</v>
      </c>
      <c r="D489" s="255">
        <f t="shared" ref="D489:H489" ca="1" si="46">D500+D511+D522+D533+D544</f>
        <v>2831420.676</v>
      </c>
      <c r="E489" s="255">
        <f t="shared" ca="1" si="46"/>
        <v>4906460.3056000005</v>
      </c>
      <c r="F489" s="255">
        <f t="shared" ca="1" si="46"/>
        <v>5008042.6685600001</v>
      </c>
      <c r="G489" s="255">
        <f t="shared" ca="1" si="46"/>
        <v>3080550.0674160002</v>
      </c>
      <c r="H489" s="255">
        <f t="shared" ca="1" si="46"/>
        <v>23339122.606275998</v>
      </c>
      <c r="I489" s="258"/>
      <c r="J489" s="258"/>
    </row>
    <row r="490" spans="1:13" ht="26.1" customHeight="1">
      <c r="A490" s="131"/>
      <c r="B490" s="169" t="s">
        <v>80</v>
      </c>
      <c r="C490" s="255">
        <f t="shared" ref="C490:H498" ca="1" si="47">C501+C512+C523+C534+C545</f>
        <v>7290648.8886999991</v>
      </c>
      <c r="D490" s="255">
        <f t="shared" ca="1" si="47"/>
        <v>2699240.676</v>
      </c>
      <c r="E490" s="255">
        <f t="shared" ca="1" si="47"/>
        <v>3003230.3056000001</v>
      </c>
      <c r="F490" s="255">
        <f t="shared" ca="1" si="47"/>
        <v>127465.72856000002</v>
      </c>
      <c r="G490" s="255">
        <f t="shared" ca="1" si="47"/>
        <v>159683.85741600004</v>
      </c>
      <c r="H490" s="255">
        <f t="shared" ca="1" si="47"/>
        <v>13280269.456276</v>
      </c>
    </row>
    <row r="491" spans="1:13" ht="26.1" customHeight="1">
      <c r="A491" s="131"/>
      <c r="B491" s="169" t="s">
        <v>429</v>
      </c>
      <c r="C491" s="255">
        <f t="shared" ca="1" si="47"/>
        <v>0</v>
      </c>
      <c r="D491" s="255">
        <f t="shared" ca="1" si="47"/>
        <v>0</v>
      </c>
      <c r="E491" s="255">
        <f t="shared" ca="1" si="47"/>
        <v>0</v>
      </c>
      <c r="F491" s="255">
        <f t="shared" ca="1" si="47"/>
        <v>83136.009992000007</v>
      </c>
      <c r="G491" s="255">
        <f t="shared" ca="1" si="47"/>
        <v>105688.70019120003</v>
      </c>
      <c r="H491" s="255">
        <f t="shared" ca="1" si="47"/>
        <v>188824.71018320002</v>
      </c>
    </row>
    <row r="492" spans="1:13" ht="26.1" customHeight="1">
      <c r="A492" s="131"/>
      <c r="B492" s="169" t="s">
        <v>133</v>
      </c>
      <c r="C492" s="255">
        <f t="shared" ca="1" si="47"/>
        <v>0</v>
      </c>
      <c r="D492" s="255">
        <f t="shared" ca="1" si="47"/>
        <v>0</v>
      </c>
      <c r="E492" s="255">
        <f t="shared" ca="1" si="47"/>
        <v>0</v>
      </c>
      <c r="F492" s="255">
        <f t="shared" ca="1" si="47"/>
        <v>37804.718568000004</v>
      </c>
      <c r="G492" s="255">
        <f t="shared" ca="1" si="47"/>
        <v>47470.157224800008</v>
      </c>
      <c r="H492" s="255">
        <f t="shared" ca="1" si="47"/>
        <v>85274.875792800012</v>
      </c>
    </row>
    <row r="493" spans="1:13" ht="26.1" customHeight="1">
      <c r="A493" s="131"/>
      <c r="B493" s="169" t="s">
        <v>81</v>
      </c>
      <c r="C493" s="255">
        <f t="shared" ca="1" si="47"/>
        <v>0</v>
      </c>
      <c r="D493" s="255">
        <f t="shared" ca="1" si="47"/>
        <v>0</v>
      </c>
      <c r="E493" s="255">
        <f t="shared" ca="1" si="47"/>
        <v>0</v>
      </c>
      <c r="F493" s="255">
        <f t="shared" ca="1" si="47"/>
        <v>0</v>
      </c>
      <c r="G493" s="255">
        <f t="shared" ca="1" si="47"/>
        <v>0</v>
      </c>
      <c r="H493" s="255">
        <f t="shared" ca="1" si="47"/>
        <v>0</v>
      </c>
    </row>
    <row r="494" spans="1:13" ht="26.1" customHeight="1">
      <c r="A494" s="131"/>
      <c r="B494" s="169" t="s">
        <v>134</v>
      </c>
      <c r="C494" s="255">
        <f t="shared" ca="1" si="47"/>
        <v>0</v>
      </c>
      <c r="D494" s="255">
        <f t="shared" ca="1" si="47"/>
        <v>0</v>
      </c>
      <c r="E494" s="255">
        <f t="shared" ca="1" si="47"/>
        <v>0</v>
      </c>
      <c r="F494" s="255">
        <f t="shared" ca="1" si="47"/>
        <v>6525</v>
      </c>
      <c r="G494" s="255">
        <f t="shared" ca="1" si="47"/>
        <v>6525</v>
      </c>
      <c r="H494" s="255">
        <f t="shared" ca="1" si="47"/>
        <v>13050</v>
      </c>
    </row>
    <row r="495" spans="1:13" ht="26.1" customHeight="1">
      <c r="A495" s="131"/>
      <c r="B495" s="169" t="s">
        <v>82</v>
      </c>
      <c r="C495" s="255">
        <f t="shared" ca="1" si="47"/>
        <v>7287473.8886999991</v>
      </c>
      <c r="D495" s="255">
        <f t="shared" ca="1" si="47"/>
        <v>2696065.676</v>
      </c>
      <c r="E495" s="255">
        <f t="shared" ca="1" si="47"/>
        <v>2806755.3056000001</v>
      </c>
      <c r="F495" s="255">
        <f t="shared" ca="1" si="47"/>
        <v>0</v>
      </c>
      <c r="G495" s="255">
        <f t="shared" ca="1" si="47"/>
        <v>0</v>
      </c>
      <c r="H495" s="255">
        <f t="shared" ca="1" si="47"/>
        <v>12600480.870299999</v>
      </c>
      <c r="I495" s="958"/>
    </row>
    <row r="496" spans="1:13" ht="26.1" customHeight="1">
      <c r="A496" s="131"/>
      <c r="B496" s="169" t="s">
        <v>90</v>
      </c>
      <c r="C496" s="255">
        <f t="shared" ca="1" si="47"/>
        <v>3175</v>
      </c>
      <c r="D496" s="255">
        <f t="shared" ca="1" si="47"/>
        <v>3175</v>
      </c>
      <c r="E496" s="255">
        <f t="shared" ca="1" si="47"/>
        <v>3175</v>
      </c>
      <c r="F496" s="255">
        <f t="shared" ca="1" si="47"/>
        <v>0</v>
      </c>
      <c r="G496" s="255">
        <f t="shared" ca="1" si="47"/>
        <v>0</v>
      </c>
      <c r="H496" s="255">
        <f t="shared" ca="1" si="47"/>
        <v>9525</v>
      </c>
    </row>
    <row r="497" spans="1:13" ht="26.1" customHeight="1">
      <c r="A497" s="131"/>
      <c r="B497" s="169" t="s">
        <v>83</v>
      </c>
      <c r="C497" s="255">
        <f ca="1">C508+C519+C530+C541+C552</f>
        <v>0</v>
      </c>
      <c r="D497" s="255">
        <f t="shared" ca="1" si="47"/>
        <v>0</v>
      </c>
      <c r="E497" s="255">
        <f t="shared" ca="1" si="47"/>
        <v>193300</v>
      </c>
      <c r="F497" s="255">
        <f t="shared" ca="1" si="47"/>
        <v>0</v>
      </c>
      <c r="G497" s="255">
        <f t="shared" ca="1" si="47"/>
        <v>0</v>
      </c>
      <c r="H497" s="255">
        <f t="shared" ca="1" si="47"/>
        <v>193300</v>
      </c>
    </row>
    <row r="498" spans="1:13" ht="26.1" customHeight="1">
      <c r="A498" s="131"/>
      <c r="B498" s="169" t="s">
        <v>84</v>
      </c>
      <c r="C498" s="255">
        <f t="shared" ca="1" si="47"/>
        <v>222000</v>
      </c>
      <c r="D498" s="255">
        <f t="shared" ca="1" si="47"/>
        <v>132180</v>
      </c>
      <c r="E498" s="255">
        <f t="shared" ca="1" si="47"/>
        <v>1903230</v>
      </c>
      <c r="F498" s="255">
        <f t="shared" ca="1" si="47"/>
        <v>4880576.9399999995</v>
      </c>
      <c r="G498" s="255">
        <f t="shared" ca="1" si="47"/>
        <v>2920866.21</v>
      </c>
      <c r="H498" s="255">
        <f t="shared" ca="1" si="47"/>
        <v>10058853.149999999</v>
      </c>
    </row>
    <row r="499" spans="1:13" ht="36" customHeight="1">
      <c r="A499" s="137" t="str">
        <f>BugetComplet!F$1487</f>
        <v>3.2.1</v>
      </c>
      <c r="B499" s="139" t="str">
        <f>BugetComplet!G$1487</f>
        <v>Создать интегрированную платформу для Стратегической информации  и обеспечение ефективной работы (SIME HIV)</v>
      </c>
      <c r="C499" s="257">
        <f>BugetComplet!Q$1487</f>
        <v>4271983.0866999999</v>
      </c>
      <c r="D499" s="257">
        <f>BugetComplet!R$1487</f>
        <v>827566.6</v>
      </c>
      <c r="E499" s="257">
        <f>BugetComplet!S$1487</f>
        <v>827566.6</v>
      </c>
      <c r="F499" s="257">
        <f>BugetComplet!T$1487</f>
        <v>0</v>
      </c>
      <c r="G499" s="257">
        <f>BugetComplet!U$1487</f>
        <v>0</v>
      </c>
      <c r="H499" s="257">
        <f>BugetComplet!V$1487</f>
        <v>5927116.2866999991</v>
      </c>
      <c r="I499" s="258"/>
      <c r="J499" s="258"/>
      <c r="K499" s="258"/>
      <c r="L499" s="258"/>
      <c r="M499" s="258"/>
    </row>
    <row r="500" spans="1:13" ht="26.1" customHeight="1">
      <c r="A500" s="131"/>
      <c r="B500" s="168" t="s">
        <v>79</v>
      </c>
      <c r="C500" s="255">
        <f>BugetComplet!Q1488++BugetComplet!Q1508+BugetComplet!Q1518+BugetComplet!Q1498</f>
        <v>4271983.0866999999</v>
      </c>
      <c r="D500" s="255">
        <f>BugetComplet!R1488++BugetComplet!R1508+BugetComplet!R1518+BugetComplet!R1498</f>
        <v>827566.6</v>
      </c>
      <c r="E500" s="255">
        <f>BugetComplet!S1488++BugetComplet!S1508+BugetComplet!S1518+BugetComplet!S1498</f>
        <v>827566.6</v>
      </c>
      <c r="F500" s="255">
        <f>BugetComplet!T1488++BugetComplet!T1508+BugetComplet!T1518+BugetComplet!T1498</f>
        <v>827566.6</v>
      </c>
      <c r="G500" s="255">
        <f>BugetComplet!U1488++BugetComplet!U1508+BugetComplet!U1518+BugetComplet!U1498</f>
        <v>827566.6</v>
      </c>
      <c r="H500" s="255">
        <f>BugetComplet!V1488++BugetComplet!V1508+BugetComplet!V1518+BugetComplet!V1498</f>
        <v>7582249.4867000002</v>
      </c>
      <c r="I500" s="258"/>
      <c r="J500" s="258"/>
    </row>
    <row r="501" spans="1:13" ht="26.1" customHeight="1">
      <c r="A501" s="131"/>
      <c r="B501" s="169" t="s">
        <v>80</v>
      </c>
      <c r="C501" s="255">
        <f>BugetComplet!Q1489++BugetComplet!Q1509+BugetComplet!Q1519+BugetComplet!Q1499</f>
        <v>4271983.0866999999</v>
      </c>
      <c r="D501" s="255">
        <f>BugetComplet!R1489++BugetComplet!R1509+BugetComplet!R1519+BugetComplet!R1499</f>
        <v>827566.6</v>
      </c>
      <c r="E501" s="255">
        <f>BugetComplet!S1489++BugetComplet!S1509+BugetComplet!S1519+BugetComplet!S1499</f>
        <v>827566.6</v>
      </c>
      <c r="F501" s="255">
        <f>BugetComplet!T1489++BugetComplet!T1509+BugetComplet!T1519+BugetComplet!T1499</f>
        <v>0</v>
      </c>
      <c r="G501" s="255">
        <f>BugetComplet!U1489++BugetComplet!U1509+BugetComplet!U1519+BugetComplet!U1499</f>
        <v>0</v>
      </c>
      <c r="H501" s="255">
        <f>BugetComplet!V1489++BugetComplet!V1509+BugetComplet!V1519+BugetComplet!V1499</f>
        <v>5927116.2867000001</v>
      </c>
    </row>
    <row r="502" spans="1:13" ht="26.1" customHeight="1">
      <c r="A502" s="131"/>
      <c r="B502" s="169" t="s">
        <v>429</v>
      </c>
      <c r="C502" s="255">
        <f>BugetComplet!Q1490++BugetComplet!Q1510+BugetComplet!Q1520+BugetComplet!Q1500</f>
        <v>0</v>
      </c>
      <c r="D502" s="255">
        <f>BugetComplet!R1490++BugetComplet!R1510+BugetComplet!R1520+BugetComplet!R1500</f>
        <v>0</v>
      </c>
      <c r="E502" s="255">
        <f>BugetComplet!S1490++BugetComplet!S1510+BugetComplet!S1520+BugetComplet!S1500</f>
        <v>0</v>
      </c>
      <c r="F502" s="255">
        <f>BugetComplet!T1490++BugetComplet!T1510+BugetComplet!T1520+BugetComplet!T1500</f>
        <v>0</v>
      </c>
      <c r="G502" s="255">
        <f>BugetComplet!U1490++BugetComplet!U1510+BugetComplet!U1520+BugetComplet!U1500</f>
        <v>0</v>
      </c>
      <c r="H502" s="255">
        <f>BugetComplet!V1490++BugetComplet!V1510+BugetComplet!V1520+BugetComplet!V1500</f>
        <v>0</v>
      </c>
    </row>
    <row r="503" spans="1:13" ht="26.1" customHeight="1">
      <c r="A503" s="131"/>
      <c r="B503" s="169" t="s">
        <v>133</v>
      </c>
      <c r="C503" s="255">
        <f>BugetComplet!Q1491++BugetComplet!Q1511+BugetComplet!Q1521+BugetComplet!Q1501</f>
        <v>0</v>
      </c>
      <c r="D503" s="255">
        <f>BugetComplet!R1491++BugetComplet!R1511+BugetComplet!R1521+BugetComplet!R1501</f>
        <v>0</v>
      </c>
      <c r="E503" s="255">
        <f>BugetComplet!S1491++BugetComplet!S1511+BugetComplet!S1521+BugetComplet!S1501</f>
        <v>0</v>
      </c>
      <c r="F503" s="255">
        <f>BugetComplet!T1491++BugetComplet!T1511+BugetComplet!T1521+BugetComplet!T1501</f>
        <v>0</v>
      </c>
      <c r="G503" s="255">
        <f>BugetComplet!U1491++BugetComplet!U1511+BugetComplet!U1521+BugetComplet!U1501</f>
        <v>0</v>
      </c>
      <c r="H503" s="255">
        <f>BugetComplet!V1491++BugetComplet!V1511+BugetComplet!V1521+BugetComplet!V1501</f>
        <v>0</v>
      </c>
    </row>
    <row r="504" spans="1:13" ht="26.1" customHeight="1">
      <c r="A504" s="131"/>
      <c r="B504" s="169" t="s">
        <v>81</v>
      </c>
      <c r="C504" s="255">
        <f>BugetComplet!Q1492++BugetComplet!Q1512+BugetComplet!Q1522+BugetComplet!Q1502</f>
        <v>0</v>
      </c>
      <c r="D504" s="255">
        <f>BugetComplet!R1492++BugetComplet!R1512+BugetComplet!R1522+BugetComplet!R1502</f>
        <v>0</v>
      </c>
      <c r="E504" s="255">
        <f>BugetComplet!S1492++BugetComplet!S1512+BugetComplet!S1522+BugetComplet!S1502</f>
        <v>0</v>
      </c>
      <c r="F504" s="255">
        <f>BugetComplet!T1492++BugetComplet!T1512+BugetComplet!T1522+BugetComplet!T1502</f>
        <v>0</v>
      </c>
      <c r="G504" s="255">
        <f>BugetComplet!U1492++BugetComplet!U1512+BugetComplet!U1522+BugetComplet!U1502</f>
        <v>0</v>
      </c>
      <c r="H504" s="255">
        <f>BugetComplet!V1492++BugetComplet!V1512+BugetComplet!V1522+BugetComplet!V1502</f>
        <v>0</v>
      </c>
    </row>
    <row r="505" spans="1:13" ht="26.1" customHeight="1">
      <c r="A505" s="131"/>
      <c r="B505" s="169" t="s">
        <v>134</v>
      </c>
      <c r="C505" s="255">
        <f>BugetComplet!Q1493++BugetComplet!Q1513+BugetComplet!Q1523+BugetComplet!Q1503</f>
        <v>0</v>
      </c>
      <c r="D505" s="255">
        <f>BugetComplet!R1493++BugetComplet!R1513+BugetComplet!R1523+BugetComplet!R1503</f>
        <v>0</v>
      </c>
      <c r="E505" s="255">
        <f>BugetComplet!S1493++BugetComplet!S1513+BugetComplet!S1523+BugetComplet!S1503</f>
        <v>0</v>
      </c>
      <c r="F505" s="255">
        <f>BugetComplet!T1493++BugetComplet!T1513+BugetComplet!T1523+BugetComplet!T1503</f>
        <v>0</v>
      </c>
      <c r="G505" s="255">
        <f>BugetComplet!U1493++BugetComplet!U1513+BugetComplet!U1523+BugetComplet!U1503</f>
        <v>0</v>
      </c>
      <c r="H505" s="255">
        <f>BugetComplet!V1493++BugetComplet!V1513+BugetComplet!V1523+BugetComplet!V1503</f>
        <v>0</v>
      </c>
    </row>
    <row r="506" spans="1:13" ht="26.1" customHeight="1">
      <c r="A506" s="131"/>
      <c r="B506" s="169" t="s">
        <v>82</v>
      </c>
      <c r="C506" s="255">
        <f>BugetComplet!Q1494++BugetComplet!Q1514+BugetComplet!Q1524+BugetComplet!Q1504</f>
        <v>4271983.0866999999</v>
      </c>
      <c r="D506" s="255">
        <f>BugetComplet!R1494++BugetComplet!R1514+BugetComplet!R1524+BugetComplet!R1504</f>
        <v>827566.6</v>
      </c>
      <c r="E506" s="255">
        <f>BugetComplet!S1494++BugetComplet!S1514+BugetComplet!S1524+BugetComplet!S1504</f>
        <v>827566.6</v>
      </c>
      <c r="F506" s="255">
        <f>BugetComplet!T1494++BugetComplet!T1514+BugetComplet!T1524+BugetComplet!T1504</f>
        <v>0</v>
      </c>
      <c r="G506" s="255">
        <f>BugetComplet!U1494++BugetComplet!U1514+BugetComplet!U1524+BugetComplet!U1504</f>
        <v>0</v>
      </c>
      <c r="H506" s="255">
        <f>BugetComplet!V1494++BugetComplet!V1514+BugetComplet!V1524+BugetComplet!V1504</f>
        <v>5927116.2867000001</v>
      </c>
      <c r="I506" s="958"/>
    </row>
    <row r="507" spans="1:13" ht="26.1" customHeight="1">
      <c r="A507" s="131"/>
      <c r="B507" s="169" t="s">
        <v>90</v>
      </c>
      <c r="C507" s="255">
        <f>BugetComplet!Q1495++BugetComplet!Q1515+BugetComplet!Q1525+BugetComplet!Q1505</f>
        <v>0</v>
      </c>
      <c r="D507" s="255">
        <f>BugetComplet!R1495++BugetComplet!R1515+BugetComplet!R1525+BugetComplet!R1505</f>
        <v>0</v>
      </c>
      <c r="E507" s="255">
        <f>BugetComplet!S1495++BugetComplet!S1515+BugetComplet!S1525+BugetComplet!S1505</f>
        <v>0</v>
      </c>
      <c r="F507" s="255">
        <f>BugetComplet!T1495++BugetComplet!T1515+BugetComplet!T1525+BugetComplet!T1505</f>
        <v>0</v>
      </c>
      <c r="G507" s="255">
        <f>BugetComplet!U1495++BugetComplet!U1515+BugetComplet!U1525+BugetComplet!U1505</f>
        <v>0</v>
      </c>
      <c r="H507" s="255">
        <f>BugetComplet!V1495++BugetComplet!V1515+BugetComplet!V1525+BugetComplet!V1505</f>
        <v>0</v>
      </c>
    </row>
    <row r="508" spans="1:13" ht="26.1" customHeight="1">
      <c r="A508" s="131"/>
      <c r="B508" s="169" t="s">
        <v>83</v>
      </c>
      <c r="C508" s="255">
        <f>BugetComplet!Q1496++BugetComplet!Q1516+BugetComplet!Q1526+BugetComplet!Q1506</f>
        <v>0</v>
      </c>
      <c r="D508" s="255">
        <f>BugetComplet!R1496++BugetComplet!R1516+BugetComplet!R1526+BugetComplet!R1506</f>
        <v>0</v>
      </c>
      <c r="E508" s="255">
        <f>BugetComplet!S1496++BugetComplet!S1516+BugetComplet!S1526+BugetComplet!S1506</f>
        <v>0</v>
      </c>
      <c r="F508" s="255">
        <f>BugetComplet!T1496++BugetComplet!T1516+BugetComplet!T1526+BugetComplet!T1506</f>
        <v>0</v>
      </c>
      <c r="G508" s="255">
        <f>BugetComplet!U1496++BugetComplet!U1516+BugetComplet!U1526+BugetComplet!U1506</f>
        <v>0</v>
      </c>
      <c r="H508" s="255">
        <f>BugetComplet!V1496++BugetComplet!V1516+BugetComplet!V1526+BugetComplet!V1506</f>
        <v>0</v>
      </c>
    </row>
    <row r="509" spans="1:13" ht="26.1" customHeight="1">
      <c r="A509" s="131"/>
      <c r="B509" s="169" t="s">
        <v>84</v>
      </c>
      <c r="C509" s="255">
        <f>BugetComplet!Q1497++BugetComplet!Q1517+BugetComplet!Q1527+BugetComplet!Q1507</f>
        <v>0</v>
      </c>
      <c r="D509" s="255">
        <f>BugetComplet!R1497++BugetComplet!R1517+BugetComplet!R1527+BugetComplet!R1507</f>
        <v>0</v>
      </c>
      <c r="E509" s="255">
        <f>BugetComplet!S1497++BugetComplet!S1517+BugetComplet!S1527+BugetComplet!S1507</f>
        <v>0</v>
      </c>
      <c r="F509" s="255">
        <f>BugetComplet!T1497++BugetComplet!T1517+BugetComplet!T1527+BugetComplet!T1507</f>
        <v>827566.6</v>
      </c>
      <c r="G509" s="255">
        <f>BugetComplet!U1497++BugetComplet!U1517+BugetComplet!U1527+BugetComplet!U1507</f>
        <v>827566.6</v>
      </c>
      <c r="H509" s="255">
        <f>BugetComplet!V1497++BugetComplet!V1517+BugetComplet!V1527+BugetComplet!V1507</f>
        <v>1655133.2</v>
      </c>
    </row>
    <row r="510" spans="1:13" ht="36" customHeight="1">
      <c r="A510" s="137" t="str">
        <f>BugetComplet!F$1528</f>
        <v>3.2.2</v>
      </c>
      <c r="B510" s="139" t="str">
        <f>BugetComplet!G$1528</f>
        <v xml:space="preserve"> Реструктуризация и усиление системы МиО</v>
      </c>
      <c r="C510" s="257">
        <f>BugetComplet!Q1528</f>
        <v>866216.34000000008</v>
      </c>
      <c r="D510" s="257">
        <f>BugetComplet!R$1528</f>
        <v>866216.34000000008</v>
      </c>
      <c r="E510" s="257">
        <f>BugetComplet!S$1528</f>
        <v>947836.36</v>
      </c>
      <c r="F510" s="257">
        <f>BugetComplet!T$1528</f>
        <v>8700</v>
      </c>
      <c r="G510" s="257">
        <f>BugetComplet!U$1528</f>
        <v>8700</v>
      </c>
      <c r="H510" s="257">
        <f>BugetComplet!V$1528</f>
        <v>2697669.04</v>
      </c>
      <c r="I510" s="258"/>
      <c r="J510" s="258"/>
      <c r="K510" s="258"/>
      <c r="L510" s="258"/>
      <c r="M510" s="258"/>
    </row>
    <row r="511" spans="1:13" ht="26.1" customHeight="1">
      <c r="A511" s="131"/>
      <c r="B511" s="168" t="s">
        <v>79</v>
      </c>
      <c r="C511" s="255">
        <f>BugetComplet!Q1529+BugetComplet!Q1539+BugetComplet!Q1549+BugetComplet!Q1559+BugetComplet!Q1569+BugetComplet!Q1579+BugetComplet!Q1589</f>
        <v>866216.34000000008</v>
      </c>
      <c r="D511" s="255">
        <f>BugetComplet!R1529+BugetComplet!R1539+BugetComplet!R1549+BugetComplet!R1559+BugetComplet!R1569+BugetComplet!R1579+BugetComplet!R1589</f>
        <v>878396.34000000008</v>
      </c>
      <c r="E511" s="255">
        <f>BugetComplet!S1529+BugetComplet!S1539+BugetComplet!S1549+BugetComplet!S1559+BugetComplet!S1569+BugetComplet!S1579+BugetComplet!S1589</f>
        <v>988016.36</v>
      </c>
      <c r="F511" s="255">
        <f>BugetComplet!T1529+BugetComplet!T1539+BugetComplet!T1549+BugetComplet!T1559+BugetComplet!T1569+BugetComplet!T1579+BugetComplet!T1589</f>
        <v>866216.34000000008</v>
      </c>
      <c r="G511" s="255">
        <f>BugetComplet!U1529+BugetComplet!U1539+BugetComplet!U1549+BugetComplet!U1559+BugetComplet!U1569+BugetComplet!U1579+BugetComplet!U1589</f>
        <v>866216.34000000008</v>
      </c>
      <c r="H511" s="255">
        <f>BugetComplet!V1529+BugetComplet!V1539+BugetComplet!V1549+BugetComplet!V1559+BugetComplet!V1569+BugetComplet!V1579+BugetComplet!V1589</f>
        <v>4465061.72</v>
      </c>
      <c r="I511" s="258"/>
      <c r="J511" s="258"/>
    </row>
    <row r="512" spans="1:13" ht="26.1" customHeight="1">
      <c r="A512" s="131"/>
      <c r="B512" s="169" t="s">
        <v>80</v>
      </c>
      <c r="C512" s="255">
        <f>BugetComplet!Q1530+BugetComplet!Q1540+BugetComplet!Q1550+BugetComplet!Q1560+BugetComplet!Q1570+BugetComplet!Q1580+BugetComplet!Q1590</f>
        <v>866216.34000000008</v>
      </c>
      <c r="D512" s="255">
        <f>BugetComplet!R1530+BugetComplet!R1540+BugetComplet!R1550+BugetComplet!R1560+BugetComplet!R1570+BugetComplet!R1580+BugetComplet!R1590</f>
        <v>866216.34000000008</v>
      </c>
      <c r="E512" s="255">
        <f>BugetComplet!S1530+BugetComplet!S1540+BugetComplet!S1550+BugetComplet!S1560+BugetComplet!S1570+BugetComplet!S1580+BugetComplet!S1590</f>
        <v>947836.36</v>
      </c>
      <c r="F512" s="255">
        <f>BugetComplet!T1530+BugetComplet!T1540+BugetComplet!T1550+BugetComplet!T1560+BugetComplet!T1570+BugetComplet!T1580+BugetComplet!T1590</f>
        <v>8700</v>
      </c>
      <c r="G512" s="255">
        <f>BugetComplet!U1530+BugetComplet!U1540+BugetComplet!U1550+BugetComplet!U1560+BugetComplet!U1570+BugetComplet!U1580+BugetComplet!U1590</f>
        <v>8700</v>
      </c>
      <c r="H512" s="255">
        <f>BugetComplet!V1530+BugetComplet!V1540+BugetComplet!V1550+BugetComplet!V1560+BugetComplet!V1570+BugetComplet!V1580+BugetComplet!V1590</f>
        <v>2697669.04</v>
      </c>
    </row>
    <row r="513" spans="1:13" ht="26.1" customHeight="1">
      <c r="A513" s="131"/>
      <c r="B513" s="169" t="s">
        <v>429</v>
      </c>
      <c r="C513" s="255">
        <f>BugetComplet!Q1531+BugetComplet!Q1541+BugetComplet!Q1551+BugetComplet!Q1561+BugetComplet!Q1571+BugetComplet!Q1581+BugetComplet!Q1591</f>
        <v>0</v>
      </c>
      <c r="D513" s="255">
        <f>BugetComplet!R1531+BugetComplet!R1541+BugetComplet!R1551+BugetComplet!R1561+BugetComplet!R1571+BugetComplet!R1581+BugetComplet!R1591</f>
        <v>0</v>
      </c>
      <c r="E513" s="255">
        <f>BugetComplet!S1531+BugetComplet!S1541+BugetComplet!S1551+BugetComplet!S1561+BugetComplet!S1571+BugetComplet!S1581+BugetComplet!S1591</f>
        <v>0</v>
      </c>
      <c r="F513" s="255">
        <f>BugetComplet!T1531+BugetComplet!T1541+BugetComplet!T1551+BugetComplet!T1561+BugetComplet!T1571+BugetComplet!T1581+BugetComplet!T1591</f>
        <v>0</v>
      </c>
      <c r="G513" s="255">
        <f>BugetComplet!U1531+BugetComplet!U1541+BugetComplet!U1551+BugetComplet!U1561+BugetComplet!U1571+BugetComplet!U1581+BugetComplet!U1591</f>
        <v>0</v>
      </c>
      <c r="H513" s="255">
        <f>BugetComplet!V1531+BugetComplet!V1541+BugetComplet!V1551+BugetComplet!V1561+BugetComplet!V1571+BugetComplet!V1581+BugetComplet!V1591</f>
        <v>0</v>
      </c>
    </row>
    <row r="514" spans="1:13" ht="26.1" customHeight="1">
      <c r="A514" s="131"/>
      <c r="B514" s="169" t="s">
        <v>133</v>
      </c>
      <c r="C514" s="255">
        <f>BugetComplet!Q1532+BugetComplet!Q1542+BugetComplet!Q1552+BugetComplet!Q1562+BugetComplet!Q1572+BugetComplet!Q1582+BugetComplet!Q1592</f>
        <v>0</v>
      </c>
      <c r="D514" s="255">
        <f>BugetComplet!R1532+BugetComplet!R1542+BugetComplet!R1552+BugetComplet!R1562+BugetComplet!R1572+BugetComplet!R1582+BugetComplet!R1592</f>
        <v>0</v>
      </c>
      <c r="E514" s="255">
        <f>BugetComplet!S1532+BugetComplet!S1542+BugetComplet!S1552+BugetComplet!S1562+BugetComplet!S1572+BugetComplet!S1582+BugetComplet!S1592</f>
        <v>0</v>
      </c>
      <c r="F514" s="255">
        <f>BugetComplet!T1532+BugetComplet!T1542+BugetComplet!T1552+BugetComplet!T1562+BugetComplet!T1572+BugetComplet!T1582+BugetComplet!T1592</f>
        <v>2175</v>
      </c>
      <c r="G514" s="255">
        <f>BugetComplet!U1532+BugetComplet!U1542+BugetComplet!U1552+BugetComplet!U1562+BugetComplet!U1572+BugetComplet!U1582+BugetComplet!U1592</f>
        <v>2175</v>
      </c>
      <c r="H514" s="255">
        <f>BugetComplet!V1532+BugetComplet!V1542+BugetComplet!V1552+BugetComplet!V1562+BugetComplet!V1572+BugetComplet!V1582+BugetComplet!V1592</f>
        <v>4350</v>
      </c>
    </row>
    <row r="515" spans="1:13" ht="26.1" customHeight="1">
      <c r="A515" s="131"/>
      <c r="B515" s="169" t="s">
        <v>81</v>
      </c>
      <c r="C515" s="255">
        <f>BugetComplet!Q1533+BugetComplet!Q1543+BugetComplet!Q1553+BugetComplet!Q1563+BugetComplet!Q1573+BugetComplet!Q1583+BugetComplet!Q1593</f>
        <v>0</v>
      </c>
      <c r="D515" s="255">
        <f>BugetComplet!R1533+BugetComplet!R1543+BugetComplet!R1553+BugetComplet!R1563+BugetComplet!R1573+BugetComplet!R1583+BugetComplet!R1593</f>
        <v>0</v>
      </c>
      <c r="E515" s="255">
        <f>BugetComplet!S1533+BugetComplet!S1543+BugetComplet!S1553+BugetComplet!S1563+BugetComplet!S1573+BugetComplet!S1583+BugetComplet!S1593</f>
        <v>0</v>
      </c>
      <c r="F515" s="255">
        <f>BugetComplet!T1533+BugetComplet!T1543+BugetComplet!T1553+BugetComplet!T1563+BugetComplet!T1573+BugetComplet!T1583+BugetComplet!T1593</f>
        <v>0</v>
      </c>
      <c r="G515" s="255">
        <f>BugetComplet!U1533+BugetComplet!U1543+BugetComplet!U1553+BugetComplet!U1563+BugetComplet!U1573+BugetComplet!U1583+BugetComplet!U1593</f>
        <v>0</v>
      </c>
      <c r="H515" s="255">
        <f>BugetComplet!V1533+BugetComplet!V1543+BugetComplet!V1553+BugetComplet!V1563+BugetComplet!V1573+BugetComplet!V1583+BugetComplet!V1593</f>
        <v>0</v>
      </c>
    </row>
    <row r="516" spans="1:13" ht="26.1" customHeight="1">
      <c r="A516" s="131"/>
      <c r="B516" s="169" t="s">
        <v>134</v>
      </c>
      <c r="C516" s="255">
        <f>BugetComplet!Q1534+BugetComplet!Q1544+BugetComplet!Q1554+BugetComplet!Q1564+BugetComplet!Q1574+BugetComplet!Q1584+BugetComplet!Q1594</f>
        <v>0</v>
      </c>
      <c r="D516" s="255">
        <f>BugetComplet!R1534+BugetComplet!R1544+BugetComplet!R1554+BugetComplet!R1564+BugetComplet!R1574+BugetComplet!R1584+BugetComplet!R1594</f>
        <v>0</v>
      </c>
      <c r="E516" s="255">
        <f>BugetComplet!S1534+BugetComplet!S1544+BugetComplet!S1554+BugetComplet!S1564+BugetComplet!S1574+BugetComplet!S1584+BugetComplet!S1594</f>
        <v>0</v>
      </c>
      <c r="F516" s="255">
        <f>BugetComplet!T1534+BugetComplet!T1544+BugetComplet!T1554+BugetComplet!T1564+BugetComplet!T1574+BugetComplet!T1584+BugetComplet!T1594</f>
        <v>6525</v>
      </c>
      <c r="G516" s="255">
        <f>BugetComplet!U1534+BugetComplet!U1544+BugetComplet!U1554+BugetComplet!U1564+BugetComplet!U1574+BugetComplet!U1584+BugetComplet!U1594</f>
        <v>6525</v>
      </c>
      <c r="H516" s="255">
        <f>BugetComplet!V1534+BugetComplet!V1544+BugetComplet!V1554+BugetComplet!V1564+BugetComplet!V1574+BugetComplet!V1584+BugetComplet!V1594</f>
        <v>13050</v>
      </c>
    </row>
    <row r="517" spans="1:13" ht="26.1" customHeight="1">
      <c r="A517" s="131"/>
      <c r="B517" s="169" t="s">
        <v>82</v>
      </c>
      <c r="C517" s="255">
        <f>BugetComplet!Q1535+BugetComplet!Q1545+BugetComplet!Q1555+BugetComplet!Q1565+BugetComplet!Q1575+BugetComplet!Q1585+BugetComplet!Q1595</f>
        <v>864041.34000000008</v>
      </c>
      <c r="D517" s="255">
        <f>BugetComplet!R1535+BugetComplet!R1545+BugetComplet!R1555+BugetComplet!R1565+BugetComplet!R1575+BugetComplet!R1585+BugetComplet!R1595</f>
        <v>864041.34000000008</v>
      </c>
      <c r="E517" s="255">
        <f>BugetComplet!S1535+BugetComplet!S1545+BugetComplet!S1555+BugetComplet!S1565+BugetComplet!S1575+BugetComplet!S1585+BugetComplet!S1595</f>
        <v>945661.36</v>
      </c>
      <c r="F517" s="255">
        <f>BugetComplet!T1535+BugetComplet!T1545+BugetComplet!T1555+BugetComplet!T1565+BugetComplet!T1575+BugetComplet!T1585+BugetComplet!T1595</f>
        <v>0</v>
      </c>
      <c r="G517" s="255">
        <f>BugetComplet!U1535+BugetComplet!U1545+BugetComplet!U1555+BugetComplet!U1565+BugetComplet!U1575+BugetComplet!U1585+BugetComplet!U1595</f>
        <v>0</v>
      </c>
      <c r="H517" s="255">
        <f>BugetComplet!V1535+BugetComplet!V1545+BugetComplet!V1555+BugetComplet!V1565+BugetComplet!V1575+BugetComplet!V1585+BugetComplet!V1595</f>
        <v>2483930.04</v>
      </c>
      <c r="I517" s="958"/>
    </row>
    <row r="518" spans="1:13" ht="26.1" customHeight="1">
      <c r="A518" s="131"/>
      <c r="B518" s="169" t="s">
        <v>90</v>
      </c>
      <c r="C518" s="255">
        <f>BugetComplet!Q1536+BugetComplet!Q1546+BugetComplet!Q1556+BugetComplet!Q1566+BugetComplet!Q1576+BugetComplet!Q1586+BugetComplet!Q1596</f>
        <v>2175</v>
      </c>
      <c r="D518" s="255">
        <f>BugetComplet!R1536+BugetComplet!R1546+BugetComplet!R1556+BugetComplet!R1566+BugetComplet!R1576+BugetComplet!R1586+BugetComplet!R1596</f>
        <v>2175</v>
      </c>
      <c r="E518" s="255">
        <f>BugetComplet!S1536+BugetComplet!S1546+BugetComplet!S1556+BugetComplet!S1566+BugetComplet!S1576+BugetComplet!S1586+BugetComplet!S1596</f>
        <v>2175</v>
      </c>
      <c r="F518" s="255">
        <f>BugetComplet!T1536+BugetComplet!T1546+BugetComplet!T1556+BugetComplet!T1566+BugetComplet!T1576+BugetComplet!T1586+BugetComplet!T1596</f>
        <v>0</v>
      </c>
      <c r="G518" s="255">
        <f>BugetComplet!U1536+BugetComplet!U1546+BugetComplet!U1556+BugetComplet!U1566+BugetComplet!U1576+BugetComplet!U1586+BugetComplet!U1596</f>
        <v>0</v>
      </c>
      <c r="H518" s="255">
        <f>BugetComplet!V1536+BugetComplet!V1546+BugetComplet!V1556+BugetComplet!V1566+BugetComplet!V1576+BugetComplet!V1586+BugetComplet!V1596</f>
        <v>6525</v>
      </c>
    </row>
    <row r="519" spans="1:13" ht="26.1" customHeight="1">
      <c r="A519" s="131"/>
      <c r="B519" s="169" t="s">
        <v>83</v>
      </c>
      <c r="C519" s="255">
        <f>BugetComplet!Q1537+BugetComplet!Q1547+BugetComplet!Q1557+BugetComplet!Q1567+BugetComplet!Q1577+BugetComplet!Q1587+BugetComplet!Q1597</f>
        <v>0</v>
      </c>
      <c r="D519" s="255">
        <f>BugetComplet!R1537+BugetComplet!R1547+BugetComplet!R1557+BugetComplet!R1567+BugetComplet!R1577+BugetComplet!R1587+BugetComplet!R1597</f>
        <v>0</v>
      </c>
      <c r="E519" s="255">
        <f>BugetComplet!S1537+BugetComplet!S1547+BugetComplet!S1557+BugetComplet!S1567+BugetComplet!S1577+BugetComplet!S1587+BugetComplet!S1597</f>
        <v>0</v>
      </c>
      <c r="F519" s="255">
        <f>BugetComplet!T1537+BugetComplet!T1547+BugetComplet!T1557+BugetComplet!T1567+BugetComplet!T1577+BugetComplet!T1587+BugetComplet!T1597</f>
        <v>0</v>
      </c>
      <c r="G519" s="255">
        <f>BugetComplet!U1537+BugetComplet!U1547+BugetComplet!U1557+BugetComplet!U1567+BugetComplet!U1577+BugetComplet!U1587+BugetComplet!U1597</f>
        <v>0</v>
      </c>
      <c r="H519" s="255">
        <f>BugetComplet!V1537+BugetComplet!V1547+BugetComplet!V1557+BugetComplet!V1567+BugetComplet!V1577+BugetComplet!V1587+BugetComplet!V1597</f>
        <v>0</v>
      </c>
    </row>
    <row r="520" spans="1:13" ht="26.1" customHeight="1">
      <c r="A520" s="131"/>
      <c r="B520" s="169" t="s">
        <v>84</v>
      </c>
      <c r="C520" s="255">
        <f>BugetComplet!Q1538+BugetComplet!Q1548+BugetComplet!Q1558+BugetComplet!Q1568+BugetComplet!Q1578+BugetComplet!Q1588+BugetComplet!Q1598</f>
        <v>0</v>
      </c>
      <c r="D520" s="255">
        <f>BugetComplet!R1538+BugetComplet!R1548+BugetComplet!R1558+BugetComplet!R1568+BugetComplet!R1578+BugetComplet!R1588+BugetComplet!R1598</f>
        <v>12180</v>
      </c>
      <c r="E520" s="255">
        <f>BugetComplet!S1538+BugetComplet!S1548+BugetComplet!S1558+BugetComplet!S1568+BugetComplet!S1578+BugetComplet!S1588+BugetComplet!S1598</f>
        <v>40180</v>
      </c>
      <c r="F520" s="255">
        <f>BugetComplet!T1538+BugetComplet!T1548+BugetComplet!T1558+BugetComplet!T1568+BugetComplet!T1578+BugetComplet!T1588+BugetComplet!T1598</f>
        <v>857516.34000000008</v>
      </c>
      <c r="G520" s="255">
        <f>BugetComplet!U1538+BugetComplet!U1548+BugetComplet!U1558+BugetComplet!U1568+BugetComplet!U1578+BugetComplet!U1588+BugetComplet!U1598</f>
        <v>857516.34000000008</v>
      </c>
      <c r="H520" s="255">
        <f>BugetComplet!V1538+BugetComplet!V1548+BugetComplet!V1558+BugetComplet!V1568+BugetComplet!V1578+BugetComplet!V1588+BugetComplet!V1598</f>
        <v>1767392.6800000002</v>
      </c>
    </row>
    <row r="521" spans="1:13" ht="36" customHeight="1">
      <c r="A521" s="137" t="str">
        <f>BugetComplet!F$1599</f>
        <v>3.2.3</v>
      </c>
      <c r="B521" s="139" t="str">
        <f>BugetComplet!G$1599</f>
        <v>Обеспечение эпидемиологического надзора (рутинного и cased based)  за ВИЧ и ИППП, интегрированного в систему   ГНОЗ .</v>
      </c>
      <c r="C521" s="257">
        <f>BugetComplet!Q$1599</f>
        <v>122629</v>
      </c>
      <c r="D521" s="257">
        <f>BugetComplet!R$1599</f>
        <v>37894</v>
      </c>
      <c r="E521" s="257">
        <f>BugetComplet!S$1599</f>
        <v>37894</v>
      </c>
      <c r="F521" s="257">
        <f>BugetComplet!T$1599</f>
        <v>0</v>
      </c>
      <c r="G521" s="257">
        <f>BugetComplet!U$1599</f>
        <v>0</v>
      </c>
      <c r="H521" s="257">
        <f>BugetComplet!V$1599</f>
        <v>198417</v>
      </c>
      <c r="I521" s="258"/>
      <c r="J521" s="258"/>
      <c r="K521" s="258"/>
      <c r="L521" s="258"/>
      <c r="M521" s="258"/>
    </row>
    <row r="522" spans="1:13" ht="26.1" customHeight="1">
      <c r="A522" s="131"/>
      <c r="B522" s="168" t="s">
        <v>79</v>
      </c>
      <c r="C522" s="255">
        <f>BugetComplet!Q1600+BugetComplet!Q1610+BugetComplet!Q1620+BugetComplet!Q1630+BugetComplet!Q1640+BugetComplet!Q1650+BugetComplet!Q1660</f>
        <v>224629</v>
      </c>
      <c r="D522" s="255">
        <f>BugetComplet!R1600+BugetComplet!R1610+BugetComplet!R1620+BugetComplet!R1630+BugetComplet!R1640+BugetComplet!R1650+BugetComplet!R1660</f>
        <v>37894</v>
      </c>
      <c r="E522" s="255">
        <f>BugetComplet!S1600+BugetComplet!S1610+BugetComplet!S1620+BugetComplet!S1630+BugetComplet!S1640+BugetComplet!S1650+BugetComplet!S1660</f>
        <v>37894</v>
      </c>
      <c r="F522" s="255">
        <f>BugetComplet!T1600+BugetComplet!T1610+BugetComplet!T1620+BugetComplet!T1630+BugetComplet!T1640+BugetComplet!T1650+BugetComplet!T1660</f>
        <v>37894</v>
      </c>
      <c r="G522" s="255">
        <f>BugetComplet!U1600+BugetComplet!U1610+BugetComplet!U1620+BugetComplet!U1630+BugetComplet!U1640+BugetComplet!U1650+BugetComplet!U1660</f>
        <v>37894</v>
      </c>
      <c r="H522" s="255">
        <f>BugetComplet!V1600+BugetComplet!V1610+BugetComplet!V1620+BugetComplet!V1630+BugetComplet!V1640+BugetComplet!V1650+BugetComplet!V1660</f>
        <v>376205</v>
      </c>
      <c r="I522" s="258"/>
      <c r="J522" s="258"/>
    </row>
    <row r="523" spans="1:13" ht="26.1" customHeight="1">
      <c r="A523" s="131"/>
      <c r="B523" s="169" t="s">
        <v>80</v>
      </c>
      <c r="C523" s="255">
        <f>BugetComplet!Q1601+BugetComplet!Q1611+BugetComplet!Q1621+BugetComplet!Q1631+BugetComplet!Q1641+BugetComplet!Q1651+BugetComplet!Q1661</f>
        <v>122629</v>
      </c>
      <c r="D523" s="255">
        <f>BugetComplet!R1601+BugetComplet!R1611+BugetComplet!R1621+BugetComplet!R1631+BugetComplet!R1641+BugetComplet!R1651+BugetComplet!R1661</f>
        <v>37894</v>
      </c>
      <c r="E523" s="255">
        <f>BugetComplet!S1601+BugetComplet!S1611+BugetComplet!S1621+BugetComplet!S1631+BugetComplet!S1641+BugetComplet!S1651+BugetComplet!S1661</f>
        <v>37894</v>
      </c>
      <c r="F523" s="255">
        <f>BugetComplet!T1601+BugetComplet!T1611+BugetComplet!T1621+BugetComplet!T1631+BugetComplet!T1641+BugetComplet!T1651+BugetComplet!T1661</f>
        <v>0</v>
      </c>
      <c r="G523" s="255">
        <f>BugetComplet!U1601+BugetComplet!U1611+BugetComplet!U1621+BugetComplet!U1631+BugetComplet!U1641+BugetComplet!U1651+BugetComplet!U1661</f>
        <v>0</v>
      </c>
      <c r="H523" s="255">
        <f>BugetComplet!V1601+BugetComplet!V1611+BugetComplet!V1621+BugetComplet!V1631+BugetComplet!V1641+BugetComplet!V1651+BugetComplet!V1661</f>
        <v>198417</v>
      </c>
    </row>
    <row r="524" spans="1:13" ht="26.1" customHeight="1">
      <c r="A524" s="131"/>
      <c r="B524" s="169" t="s">
        <v>429</v>
      </c>
      <c r="C524" s="255">
        <f>BugetComplet!Q1602+BugetComplet!Q1612+BugetComplet!Q1622+BugetComplet!Q1632+BugetComplet!Q1642+BugetComplet!Q1652+BugetComplet!Q1662</f>
        <v>0</v>
      </c>
      <c r="D524" s="255">
        <f>BugetComplet!R1602+BugetComplet!R1612+BugetComplet!R1622+BugetComplet!R1632+BugetComplet!R1642+BugetComplet!R1652+BugetComplet!R1662</f>
        <v>0</v>
      </c>
      <c r="E524" s="255">
        <f>BugetComplet!S1602+BugetComplet!S1612+BugetComplet!S1622+BugetComplet!S1632+BugetComplet!S1642+BugetComplet!S1652+BugetComplet!S1662</f>
        <v>0</v>
      </c>
      <c r="F524" s="255">
        <f>BugetComplet!T1602+BugetComplet!T1612+BugetComplet!T1622+BugetComplet!T1632+BugetComplet!T1642+BugetComplet!T1652+BugetComplet!T1662</f>
        <v>0</v>
      </c>
      <c r="G524" s="255">
        <f>BugetComplet!U1602+BugetComplet!U1612+BugetComplet!U1622+BugetComplet!U1632+BugetComplet!U1642+BugetComplet!U1652+BugetComplet!U1662</f>
        <v>0</v>
      </c>
      <c r="H524" s="255">
        <f>BugetComplet!V1602+BugetComplet!V1612+BugetComplet!V1622+BugetComplet!V1632+BugetComplet!V1642+BugetComplet!V1652+BugetComplet!V1662</f>
        <v>0</v>
      </c>
    </row>
    <row r="525" spans="1:13" ht="26.1" customHeight="1">
      <c r="A525" s="131"/>
      <c r="B525" s="169" t="s">
        <v>133</v>
      </c>
      <c r="C525" s="255">
        <f>BugetComplet!Q1603+BugetComplet!Q1613+BugetComplet!Q1623+BugetComplet!Q1633+BugetComplet!Q1643+BugetComplet!Q1653+BugetComplet!Q1663</f>
        <v>0</v>
      </c>
      <c r="D525" s="255">
        <f>BugetComplet!R1603+BugetComplet!R1613+BugetComplet!R1623+BugetComplet!R1633+BugetComplet!R1643+BugetComplet!R1653+BugetComplet!R1663</f>
        <v>0</v>
      </c>
      <c r="E525" s="255">
        <f>BugetComplet!S1603+BugetComplet!S1613+BugetComplet!S1623+BugetComplet!S1633+BugetComplet!S1643+BugetComplet!S1653+BugetComplet!S1663</f>
        <v>0</v>
      </c>
      <c r="F525" s="255">
        <f>BugetComplet!T1603+BugetComplet!T1613+BugetComplet!T1623+BugetComplet!T1633+BugetComplet!T1643+BugetComplet!T1653+BugetComplet!T1663</f>
        <v>0</v>
      </c>
      <c r="G525" s="255">
        <f>BugetComplet!U1603+BugetComplet!U1613+BugetComplet!U1623+BugetComplet!U1633+BugetComplet!U1643+BugetComplet!U1653+BugetComplet!U1663</f>
        <v>0</v>
      </c>
      <c r="H525" s="255">
        <f>BugetComplet!V1603+BugetComplet!V1613+BugetComplet!V1623+BugetComplet!V1633+BugetComplet!V1643+BugetComplet!V1653+BugetComplet!V1663</f>
        <v>0</v>
      </c>
    </row>
    <row r="526" spans="1:13" ht="26.1" customHeight="1">
      <c r="A526" s="131"/>
      <c r="B526" s="169" t="s">
        <v>81</v>
      </c>
      <c r="C526" s="255">
        <f>BugetComplet!Q1604+BugetComplet!Q1614+BugetComplet!Q1624+BugetComplet!Q1634+BugetComplet!Q1644+BugetComplet!Q1654+BugetComplet!Q1664</f>
        <v>0</v>
      </c>
      <c r="D526" s="255">
        <f>BugetComplet!R1604+BugetComplet!R1614+BugetComplet!R1624+BugetComplet!R1634+BugetComplet!R1644+BugetComplet!R1654+BugetComplet!R1664</f>
        <v>0</v>
      </c>
      <c r="E526" s="255">
        <f>BugetComplet!S1604+BugetComplet!S1614+BugetComplet!S1624+BugetComplet!S1634+BugetComplet!S1644+BugetComplet!S1654+BugetComplet!S1664</f>
        <v>0</v>
      </c>
      <c r="F526" s="255">
        <f>BugetComplet!T1604+BugetComplet!T1614+BugetComplet!T1624+BugetComplet!T1634+BugetComplet!T1644+BugetComplet!T1654+BugetComplet!T1664</f>
        <v>0</v>
      </c>
      <c r="G526" s="255">
        <f>BugetComplet!U1604+BugetComplet!U1614+BugetComplet!U1624+BugetComplet!U1634+BugetComplet!U1644+BugetComplet!U1654+BugetComplet!U1664</f>
        <v>0</v>
      </c>
      <c r="H526" s="255">
        <f>BugetComplet!V1604+BugetComplet!V1614+BugetComplet!V1624+BugetComplet!V1634+BugetComplet!V1644+BugetComplet!V1654+BugetComplet!V1664</f>
        <v>0</v>
      </c>
    </row>
    <row r="527" spans="1:13" ht="26.1" customHeight="1">
      <c r="A527" s="131"/>
      <c r="B527" s="169" t="s">
        <v>134</v>
      </c>
      <c r="C527" s="255">
        <f>BugetComplet!Q1605+BugetComplet!Q1615+BugetComplet!Q1625+BugetComplet!Q1635+BugetComplet!Q1645+BugetComplet!Q1655+BugetComplet!Q1665</f>
        <v>0</v>
      </c>
      <c r="D527" s="255">
        <f>BugetComplet!R1605+BugetComplet!R1615+BugetComplet!R1625+BugetComplet!R1635+BugetComplet!R1645+BugetComplet!R1655+BugetComplet!R1665</f>
        <v>0</v>
      </c>
      <c r="E527" s="255">
        <f>BugetComplet!S1605+BugetComplet!S1615+BugetComplet!S1625+BugetComplet!S1635+BugetComplet!S1645+BugetComplet!S1655+BugetComplet!S1665</f>
        <v>0</v>
      </c>
      <c r="F527" s="255">
        <f>BugetComplet!T1605+BugetComplet!T1615+BugetComplet!T1625+BugetComplet!T1635+BugetComplet!T1645+BugetComplet!T1655+BugetComplet!T1665</f>
        <v>0</v>
      </c>
      <c r="G527" s="255">
        <f>BugetComplet!U1605+BugetComplet!U1615+BugetComplet!U1625+BugetComplet!U1635+BugetComplet!U1645+BugetComplet!U1655+BugetComplet!U1665</f>
        <v>0</v>
      </c>
      <c r="H527" s="255">
        <f>BugetComplet!V1605+BugetComplet!V1615+BugetComplet!V1625+BugetComplet!V1635+BugetComplet!V1645+BugetComplet!V1655+BugetComplet!V1665</f>
        <v>0</v>
      </c>
    </row>
    <row r="528" spans="1:13" ht="26.1" customHeight="1">
      <c r="A528" s="131"/>
      <c r="B528" s="169" t="s">
        <v>82</v>
      </c>
      <c r="C528" s="255">
        <f>BugetComplet!Q1606+BugetComplet!Q1616+BugetComplet!Q1626+BugetComplet!Q1636+BugetComplet!Q1646+BugetComplet!Q1656+BugetComplet!Q1666</f>
        <v>121629</v>
      </c>
      <c r="D528" s="255">
        <f>BugetComplet!R1606+BugetComplet!R1616+BugetComplet!R1626+BugetComplet!R1636+BugetComplet!R1646+BugetComplet!R1656+BugetComplet!R1666</f>
        <v>36894</v>
      </c>
      <c r="E528" s="255">
        <f>BugetComplet!S1606+BugetComplet!S1616+BugetComplet!S1626+BugetComplet!S1636+BugetComplet!S1646+BugetComplet!S1656+BugetComplet!S1666</f>
        <v>36894</v>
      </c>
      <c r="F528" s="255">
        <f>BugetComplet!T1606+BugetComplet!T1616+BugetComplet!T1626+BugetComplet!T1636+BugetComplet!T1646+BugetComplet!T1656+BugetComplet!T1666</f>
        <v>0</v>
      </c>
      <c r="G528" s="255">
        <f>BugetComplet!U1606+BugetComplet!U1616+BugetComplet!U1626+BugetComplet!U1636+BugetComplet!U1646+BugetComplet!U1656+BugetComplet!U1666</f>
        <v>0</v>
      </c>
      <c r="H528" s="255">
        <f>BugetComplet!V1606+BugetComplet!V1616+BugetComplet!V1626+BugetComplet!V1636+BugetComplet!V1646+BugetComplet!V1656+BugetComplet!V1666</f>
        <v>195417</v>
      </c>
    </row>
    <row r="529" spans="1:13" ht="26.1" customHeight="1">
      <c r="A529" s="131"/>
      <c r="B529" s="169" t="s">
        <v>90</v>
      </c>
      <c r="C529" s="255">
        <f>BugetComplet!Q1607+BugetComplet!Q1617+BugetComplet!Q1627+BugetComplet!Q1637+BugetComplet!Q1647+BugetComplet!Q1657+BugetComplet!Q1667</f>
        <v>1000</v>
      </c>
      <c r="D529" s="255">
        <f>BugetComplet!R1607+BugetComplet!R1617+BugetComplet!R1627+BugetComplet!R1637+BugetComplet!R1647+BugetComplet!R1657+BugetComplet!R1667</f>
        <v>1000</v>
      </c>
      <c r="E529" s="255">
        <f>BugetComplet!S1607+BugetComplet!S1617+BugetComplet!S1627+BugetComplet!S1637+BugetComplet!S1647+BugetComplet!S1657+BugetComplet!S1667</f>
        <v>1000</v>
      </c>
      <c r="F529" s="255">
        <f>BugetComplet!T1607+BugetComplet!T1617+BugetComplet!T1627+BugetComplet!T1637+BugetComplet!T1647+BugetComplet!T1657+BugetComplet!T1667</f>
        <v>0</v>
      </c>
      <c r="G529" s="255">
        <f>BugetComplet!U1607+BugetComplet!U1617+BugetComplet!U1627+BugetComplet!U1637+BugetComplet!U1647+BugetComplet!U1657+BugetComplet!U1667</f>
        <v>0</v>
      </c>
      <c r="H529" s="255">
        <f>BugetComplet!V1607+BugetComplet!V1617+BugetComplet!V1627+BugetComplet!V1637+BugetComplet!V1647+BugetComplet!V1657+BugetComplet!V1667</f>
        <v>3000</v>
      </c>
    </row>
    <row r="530" spans="1:13" ht="26.1" customHeight="1">
      <c r="A530" s="131"/>
      <c r="B530" s="169" t="s">
        <v>83</v>
      </c>
      <c r="C530" s="255">
        <f>BugetComplet!Q1608+BugetComplet!Q1618+BugetComplet!Q1628+BugetComplet!Q1638+BugetComplet!Q1648+BugetComplet!Q1658+BugetComplet!Q1668</f>
        <v>0</v>
      </c>
      <c r="D530" s="255">
        <f>BugetComplet!R1608+BugetComplet!R1618+BugetComplet!R1628+BugetComplet!R1638+BugetComplet!R1648+BugetComplet!R1658+BugetComplet!R1668</f>
        <v>0</v>
      </c>
      <c r="E530" s="255">
        <f>BugetComplet!S1608+BugetComplet!S1618+BugetComplet!S1628+BugetComplet!S1638+BugetComplet!S1648+BugetComplet!S1658+BugetComplet!S1668</f>
        <v>0</v>
      </c>
      <c r="F530" s="255">
        <f>BugetComplet!T1608+BugetComplet!T1618+BugetComplet!T1628+BugetComplet!T1638+BugetComplet!T1648+BugetComplet!T1658+BugetComplet!T1668</f>
        <v>0</v>
      </c>
      <c r="G530" s="255">
        <f>BugetComplet!U1608+BugetComplet!U1618+BugetComplet!U1628+BugetComplet!U1638+BugetComplet!U1648+BugetComplet!U1658+BugetComplet!U1668</f>
        <v>0</v>
      </c>
      <c r="H530" s="255">
        <f>BugetComplet!V1608+BugetComplet!V1618+BugetComplet!V1628+BugetComplet!V1638+BugetComplet!V1648+BugetComplet!V1658+BugetComplet!V1668</f>
        <v>0</v>
      </c>
    </row>
    <row r="531" spans="1:13" ht="26.1" customHeight="1">
      <c r="A531" s="131"/>
      <c r="B531" s="169" t="s">
        <v>84</v>
      </c>
      <c r="C531" s="255">
        <f>BugetComplet!Q1609+BugetComplet!Q1619+BugetComplet!Q1629+BugetComplet!Q1639+BugetComplet!Q1649+BugetComplet!Q1659+BugetComplet!Q1669</f>
        <v>102000</v>
      </c>
      <c r="D531" s="255">
        <f>BugetComplet!R1609+BugetComplet!R1619+BugetComplet!R1629+BugetComplet!R1639+BugetComplet!R1649+BugetComplet!R1659+BugetComplet!R1669</f>
        <v>0</v>
      </c>
      <c r="E531" s="255">
        <f>BugetComplet!S1609+BugetComplet!S1619+BugetComplet!S1629+BugetComplet!S1639+BugetComplet!S1649+BugetComplet!S1659+BugetComplet!S1669</f>
        <v>0</v>
      </c>
      <c r="F531" s="255">
        <f>BugetComplet!T1609+BugetComplet!T1619+BugetComplet!T1629+BugetComplet!T1639+BugetComplet!T1649+BugetComplet!T1659+BugetComplet!T1669</f>
        <v>37894</v>
      </c>
      <c r="G531" s="255">
        <f>BugetComplet!U1609+BugetComplet!U1619+BugetComplet!U1629+BugetComplet!U1639+BugetComplet!U1649+BugetComplet!U1659+BugetComplet!U1669</f>
        <v>37894</v>
      </c>
      <c r="H531" s="255">
        <f>BugetComplet!V1609+BugetComplet!V1619+BugetComplet!V1629+BugetComplet!V1639+BugetComplet!V1649+BugetComplet!V1659+BugetComplet!V1669</f>
        <v>177788</v>
      </c>
    </row>
    <row r="532" spans="1:13" ht="36" customHeight="1">
      <c r="A532" s="137" t="str">
        <f>BugetComplet!F$1670</f>
        <v>3.2.4</v>
      </c>
      <c r="B532" s="139" t="str">
        <f>BugetComplet!G$1670</f>
        <v>Проведение операционных и эпидемиологических исследований</v>
      </c>
      <c r="C532" s="257">
        <f ca="1">BugetComplet!Q$1670</f>
        <v>2029820.4619999998</v>
      </c>
      <c r="D532" s="257">
        <f ca="1">BugetComplet!R$1670</f>
        <v>967563.73600000003</v>
      </c>
      <c r="E532" s="257">
        <f ca="1">BugetComplet!S$1670</f>
        <v>1189933.3456000001</v>
      </c>
      <c r="F532" s="257">
        <f ca="1">BugetComplet!T$1670</f>
        <v>118765.72856000002</v>
      </c>
      <c r="G532" s="257">
        <f ca="1">BugetComplet!U$1670</f>
        <v>150983.85741600004</v>
      </c>
      <c r="H532" s="257">
        <f ca="1">BugetComplet!V$1670</f>
        <v>4457067.1295760004</v>
      </c>
      <c r="I532" s="258"/>
      <c r="J532" s="258"/>
      <c r="K532" s="258"/>
      <c r="L532" s="258"/>
      <c r="M532" s="258"/>
    </row>
    <row r="533" spans="1:13" ht="26.1" customHeight="1">
      <c r="A533" s="131"/>
      <c r="B533" s="168" t="s">
        <v>79</v>
      </c>
      <c r="C533" s="255">
        <f ca="1">BugetComplet!Q1671+BugetComplet!Q1681+BugetComplet!Q1691+BugetComplet!Q1701+BugetComplet!Q1711+BugetComplet!Q1721+BugetComplet!Q1731+BugetComplet!Q1741+BugetComplet!Q1751+BugetComplet!Q1761+BugetComplet!Q1771+BugetComplet!Q1781+BugetComplet!Q1791+BugetComplet!Q1801+BugetComplet!Q1811</f>
        <v>2029820.4619999998</v>
      </c>
      <c r="D533" s="255">
        <f ca="1">BugetComplet!R1671+BugetComplet!R1681+BugetComplet!R1691+BugetComplet!R1701+BugetComplet!R1711+BugetComplet!R1721+BugetComplet!R1731+BugetComplet!R1741+BugetComplet!R1751+BugetComplet!R1761+BugetComplet!R1771+BugetComplet!R1781+BugetComplet!R1791+BugetComplet!R1801+BugetComplet!R1811</f>
        <v>967563.73600000003</v>
      </c>
      <c r="E533" s="255">
        <f ca="1">BugetComplet!S1671+BugetComplet!S1681+BugetComplet!S1691+BugetComplet!S1701+BugetComplet!S1711+BugetComplet!S1721+BugetComplet!S1731+BugetComplet!S1741+BugetComplet!S1751+BugetComplet!S1761+BugetComplet!S1771+BugetComplet!S1781+BugetComplet!S1791+BugetComplet!S1801+BugetComplet!S1811</f>
        <v>2932983.3456000001</v>
      </c>
      <c r="F533" s="255">
        <f ca="1">BugetComplet!T1671+BugetComplet!T1681+BugetComplet!T1691+BugetComplet!T1701+BugetComplet!T1711+BugetComplet!T1721+BugetComplet!T1731+BugetComplet!T1741+BugetComplet!T1751+BugetComplet!T1761+BugetComplet!T1771+BugetComplet!T1781+BugetComplet!T1791+BugetComplet!T1801+BugetComplet!T1811</f>
        <v>3156365.7285599997</v>
      </c>
      <c r="G533" s="255">
        <f ca="1">BugetComplet!U1671+BugetComplet!U1681+BugetComplet!U1691+BugetComplet!U1701+BugetComplet!U1711+BugetComplet!U1721+BugetComplet!U1731+BugetComplet!U1741+BugetComplet!U1751+BugetComplet!U1761+BugetComplet!U1771+BugetComplet!U1781+BugetComplet!U1791+BugetComplet!U1801+BugetComplet!U1811</f>
        <v>1228873.1274160002</v>
      </c>
      <c r="H533" s="255">
        <f ca="1">BugetComplet!V1671+BugetComplet!V1681+BugetComplet!V1691+BugetComplet!V1701+BugetComplet!V1711+BugetComplet!V1721+BugetComplet!V1731+BugetComplet!V1741+BugetComplet!V1751+BugetComplet!V1761+BugetComplet!V1771+BugetComplet!V1781+BugetComplet!V1791+BugetComplet!V1801+BugetComplet!V1811</f>
        <v>10315606.399575999</v>
      </c>
    </row>
    <row r="534" spans="1:13" ht="26.1" customHeight="1">
      <c r="A534" s="131"/>
      <c r="B534" s="169" t="s">
        <v>80</v>
      </c>
      <c r="C534" s="255">
        <f ca="1">BugetComplet!Q1672+BugetComplet!Q1682+BugetComplet!Q1692+BugetComplet!Q1702+BugetComplet!Q1712+BugetComplet!Q1722+BugetComplet!Q1732+BugetComplet!Q1742+BugetComplet!Q1752+BugetComplet!Q1762+BugetComplet!Q1772+BugetComplet!Q1782+BugetComplet!Q1792+BugetComplet!Q1802+BugetComplet!Q1812</f>
        <v>2029820.4619999998</v>
      </c>
      <c r="D534" s="255">
        <f ca="1">BugetComplet!R1672+BugetComplet!R1682+BugetComplet!R1692+BugetComplet!R1702+BugetComplet!R1712+BugetComplet!R1722+BugetComplet!R1732+BugetComplet!R1742+BugetComplet!R1752+BugetComplet!R1762+BugetComplet!R1772+BugetComplet!R1782+BugetComplet!R1792+BugetComplet!R1802+BugetComplet!R1812</f>
        <v>967563.73600000003</v>
      </c>
      <c r="E534" s="255">
        <f ca="1">BugetComplet!S1672+BugetComplet!S1682+BugetComplet!S1692+BugetComplet!S1702+BugetComplet!S1712+BugetComplet!S1722+BugetComplet!S1732+BugetComplet!S1742+BugetComplet!S1752+BugetComplet!S1762+BugetComplet!S1772+BugetComplet!S1782+BugetComplet!S1792+BugetComplet!S1802+BugetComplet!S1812</f>
        <v>1189933.3456000001</v>
      </c>
      <c r="F534" s="255">
        <f ca="1">BugetComplet!T1672+BugetComplet!T1682+BugetComplet!T1692+BugetComplet!T1702+BugetComplet!T1712+BugetComplet!T1722+BugetComplet!T1732+BugetComplet!T1742+BugetComplet!T1752+BugetComplet!T1762+BugetComplet!T1772+BugetComplet!T1782+BugetComplet!T1792+BugetComplet!T1802+BugetComplet!T1812</f>
        <v>118765.72856000002</v>
      </c>
      <c r="G534" s="255">
        <f ca="1">BugetComplet!U1672+BugetComplet!U1682+BugetComplet!U1692+BugetComplet!U1702+BugetComplet!U1712+BugetComplet!U1722+BugetComplet!U1732+BugetComplet!U1742+BugetComplet!U1752+BugetComplet!U1762+BugetComplet!U1772+BugetComplet!U1782+BugetComplet!U1792+BugetComplet!U1802+BugetComplet!U1812</f>
        <v>150983.85741600004</v>
      </c>
      <c r="H534" s="255">
        <f ca="1">BugetComplet!V1672+BugetComplet!V1682+BugetComplet!V1692+BugetComplet!V1702+BugetComplet!V1712+BugetComplet!V1722+BugetComplet!V1732+BugetComplet!V1742+BugetComplet!V1752+BugetComplet!V1762+BugetComplet!V1772+BugetComplet!V1782+BugetComplet!V1792+BugetComplet!V1802+BugetComplet!V1812</f>
        <v>4457067.1295759995</v>
      </c>
    </row>
    <row r="535" spans="1:13" ht="26.1" customHeight="1">
      <c r="A535" s="131"/>
      <c r="B535" s="169" t="s">
        <v>429</v>
      </c>
      <c r="C535" s="255">
        <f ca="1">BugetComplet!Q1673+BugetComplet!Q1683+BugetComplet!Q1693+BugetComplet!Q1703+BugetComplet!Q1713+BugetComplet!Q1723+BugetComplet!Q1733+BugetComplet!Q1743+BugetComplet!Q1753+BugetComplet!Q1763+BugetComplet!Q1773+BugetComplet!Q1783+BugetComplet!Q1793+BugetComplet!Q1803+BugetComplet!Q1813</f>
        <v>0</v>
      </c>
      <c r="D535" s="255">
        <f ca="1">BugetComplet!R1673+BugetComplet!R1683+BugetComplet!R1693+BugetComplet!R1703+BugetComplet!R1713+BugetComplet!R1723+BugetComplet!R1733+BugetComplet!R1743+BugetComplet!R1753+BugetComplet!R1763+BugetComplet!R1773+BugetComplet!R1783+BugetComplet!R1793+BugetComplet!R1803+BugetComplet!R1813</f>
        <v>0</v>
      </c>
      <c r="E535" s="255">
        <f ca="1">BugetComplet!S1673+BugetComplet!S1683+BugetComplet!S1693+BugetComplet!S1703+BugetComplet!S1713+BugetComplet!S1723+BugetComplet!S1733+BugetComplet!S1743+BugetComplet!S1753+BugetComplet!S1763+BugetComplet!S1773+BugetComplet!S1783+BugetComplet!S1793+BugetComplet!S1803+BugetComplet!S1813</f>
        <v>0</v>
      </c>
      <c r="F535" s="255">
        <f ca="1">BugetComplet!T1673+BugetComplet!T1683+BugetComplet!T1693+BugetComplet!T1703+BugetComplet!T1713+BugetComplet!T1723+BugetComplet!T1733+BugetComplet!T1743+BugetComplet!T1753+BugetComplet!T1763+BugetComplet!T1773+BugetComplet!T1783+BugetComplet!T1793+BugetComplet!T1803+BugetComplet!T1813</f>
        <v>83136.009992000007</v>
      </c>
      <c r="G535" s="255">
        <f ca="1">BugetComplet!U1673+BugetComplet!U1683+BugetComplet!U1693+BugetComplet!U1703+BugetComplet!U1713+BugetComplet!U1723+BugetComplet!U1733+BugetComplet!U1743+BugetComplet!U1753+BugetComplet!U1763+BugetComplet!U1773+BugetComplet!U1783+BugetComplet!U1793+BugetComplet!U1803+BugetComplet!U1813</f>
        <v>105688.70019120003</v>
      </c>
      <c r="H535" s="255">
        <f ca="1">BugetComplet!V1673+BugetComplet!V1683+BugetComplet!V1693+BugetComplet!V1703+BugetComplet!V1713+BugetComplet!V1723+BugetComplet!V1733+BugetComplet!V1743+BugetComplet!V1753+BugetComplet!V1763+BugetComplet!V1773+BugetComplet!V1783+BugetComplet!V1793+BugetComplet!V1803+BugetComplet!V1813</f>
        <v>188824.71018320002</v>
      </c>
    </row>
    <row r="536" spans="1:13" ht="26.1" customHeight="1">
      <c r="A536" s="131"/>
      <c r="B536" s="169" t="s">
        <v>133</v>
      </c>
      <c r="C536" s="255">
        <f ca="1">BugetComplet!Q1674+BugetComplet!Q1684+BugetComplet!Q1694+BugetComplet!Q1704+BugetComplet!Q1714+BugetComplet!Q1724+BugetComplet!Q1734+BugetComplet!Q1744+BugetComplet!Q1754+BugetComplet!Q1764+BugetComplet!Q1774+BugetComplet!Q1784+BugetComplet!Q1794+BugetComplet!Q1804+BugetComplet!Q1814</f>
        <v>0</v>
      </c>
      <c r="D536" s="255">
        <f ca="1">BugetComplet!R1674+BugetComplet!R1684+BugetComplet!R1694+BugetComplet!R1704+BugetComplet!R1714+BugetComplet!R1724+BugetComplet!R1734+BugetComplet!R1744+BugetComplet!R1754+BugetComplet!R1764+BugetComplet!R1774+BugetComplet!R1784+BugetComplet!R1794+BugetComplet!R1804+BugetComplet!R1814</f>
        <v>0</v>
      </c>
      <c r="E536" s="255">
        <f ca="1">BugetComplet!S1674+BugetComplet!S1684+BugetComplet!S1694+BugetComplet!S1704+BugetComplet!S1714+BugetComplet!S1724+BugetComplet!S1734+BugetComplet!S1744+BugetComplet!S1754+BugetComplet!S1764+BugetComplet!S1774+BugetComplet!S1784+BugetComplet!S1794+BugetComplet!S1804+BugetComplet!S1814</f>
        <v>0</v>
      </c>
      <c r="F536" s="255">
        <f ca="1">BugetComplet!T1674+BugetComplet!T1684+BugetComplet!T1694+BugetComplet!T1704+BugetComplet!T1714+BugetComplet!T1724+BugetComplet!T1734+BugetComplet!T1744+BugetComplet!T1754+BugetComplet!T1764+BugetComplet!T1774+BugetComplet!T1784+BugetComplet!T1794+BugetComplet!T1804+BugetComplet!T1814</f>
        <v>35629.718568000004</v>
      </c>
      <c r="G536" s="255">
        <f ca="1">BugetComplet!U1674+BugetComplet!U1684+BugetComplet!U1694+BugetComplet!U1704+BugetComplet!U1714+BugetComplet!U1724+BugetComplet!U1734+BugetComplet!U1744+BugetComplet!U1754+BugetComplet!U1764+BugetComplet!U1774+BugetComplet!U1784+BugetComplet!U1794+BugetComplet!U1804+BugetComplet!U1814</f>
        <v>45295.157224800008</v>
      </c>
      <c r="H536" s="255">
        <f ca="1">BugetComplet!V1674+BugetComplet!V1684+BugetComplet!V1694+BugetComplet!V1704+BugetComplet!V1714+BugetComplet!V1724+BugetComplet!V1734+BugetComplet!V1744+BugetComplet!V1754+BugetComplet!V1764+BugetComplet!V1774+BugetComplet!V1784+BugetComplet!V1794+BugetComplet!V1804+BugetComplet!V1814</f>
        <v>80924.875792800012</v>
      </c>
    </row>
    <row r="537" spans="1:13" ht="26.1" customHeight="1">
      <c r="A537" s="131"/>
      <c r="B537" s="169" t="s">
        <v>81</v>
      </c>
      <c r="C537" s="255">
        <f ca="1">BugetComplet!Q1675+BugetComplet!Q1685+BugetComplet!Q1695+BugetComplet!Q1705+BugetComplet!Q1715+BugetComplet!Q1725+BugetComplet!Q1735+BugetComplet!Q1745+BugetComplet!Q1755+BugetComplet!Q1765+BugetComplet!Q1775+BugetComplet!Q1785+BugetComplet!Q1795+BugetComplet!Q1805+BugetComplet!Q1815</f>
        <v>0</v>
      </c>
      <c r="D537" s="255">
        <f ca="1">BugetComplet!R1675+BugetComplet!R1685+BugetComplet!R1695+BugetComplet!R1705+BugetComplet!R1715+BugetComplet!R1725+BugetComplet!R1735+BugetComplet!R1745+BugetComplet!R1755+BugetComplet!R1765+BugetComplet!R1775+BugetComplet!R1785+BugetComplet!R1795+BugetComplet!R1805+BugetComplet!R1815</f>
        <v>0</v>
      </c>
      <c r="E537" s="255">
        <f ca="1">BugetComplet!S1675+BugetComplet!S1685+BugetComplet!S1695+BugetComplet!S1705+BugetComplet!S1715+BugetComplet!S1725+BugetComplet!S1735+BugetComplet!S1745+BugetComplet!S1755+BugetComplet!S1765+BugetComplet!S1775+BugetComplet!S1785+BugetComplet!S1795+BugetComplet!S1805+BugetComplet!S1815</f>
        <v>0</v>
      </c>
      <c r="F537" s="255">
        <f ca="1">BugetComplet!T1675+BugetComplet!T1685+BugetComplet!T1695+BugetComplet!T1705+BugetComplet!T1715+BugetComplet!T1725+BugetComplet!T1735+BugetComplet!T1745+BugetComplet!T1755+BugetComplet!T1765+BugetComplet!T1775+BugetComplet!T1785+BugetComplet!T1795+BugetComplet!T1805+BugetComplet!T1815</f>
        <v>0</v>
      </c>
      <c r="G537" s="255">
        <f ca="1">BugetComplet!U1675+BugetComplet!U1685+BugetComplet!U1695+BugetComplet!U1705+BugetComplet!U1715+BugetComplet!U1725+BugetComplet!U1735+BugetComplet!U1745+BugetComplet!U1755+BugetComplet!U1765+BugetComplet!U1775+BugetComplet!U1785+BugetComplet!U1795+BugetComplet!U1805+BugetComplet!U1815</f>
        <v>0</v>
      </c>
      <c r="H537" s="255">
        <f ca="1">BugetComplet!V1675+BugetComplet!V1685+BugetComplet!V1695+BugetComplet!V1705+BugetComplet!V1715+BugetComplet!V1725+BugetComplet!V1735+BugetComplet!V1745+BugetComplet!V1755+BugetComplet!V1765+BugetComplet!V1775+BugetComplet!V1785+BugetComplet!V1795+BugetComplet!V1805+BugetComplet!V1815</f>
        <v>0</v>
      </c>
    </row>
    <row r="538" spans="1:13" ht="26.1" customHeight="1">
      <c r="A538" s="131"/>
      <c r="B538" s="169" t="s">
        <v>134</v>
      </c>
      <c r="C538" s="255">
        <f ca="1">BugetComplet!Q1676+BugetComplet!Q1686+BugetComplet!Q1696+BugetComplet!Q1706+BugetComplet!Q1716+BugetComplet!Q1726+BugetComplet!Q1736+BugetComplet!Q1746+BugetComplet!Q1756+BugetComplet!Q1766+BugetComplet!Q1776+BugetComplet!Q1786+BugetComplet!Q1796+BugetComplet!Q1806+BugetComplet!Q1816</f>
        <v>0</v>
      </c>
      <c r="D538" s="255">
        <f ca="1">BugetComplet!R1676+BugetComplet!R1686+BugetComplet!R1696+BugetComplet!R1706+BugetComplet!R1716+BugetComplet!R1726+BugetComplet!R1736+BugetComplet!R1746+BugetComplet!R1756+BugetComplet!R1766+BugetComplet!R1776+BugetComplet!R1786+BugetComplet!R1796+BugetComplet!R1806+BugetComplet!R1816</f>
        <v>0</v>
      </c>
      <c r="E538" s="255">
        <f ca="1">BugetComplet!S1676+BugetComplet!S1686+BugetComplet!S1696+BugetComplet!S1706+BugetComplet!S1716+BugetComplet!S1726+BugetComplet!S1736+BugetComplet!S1746+BugetComplet!S1756+BugetComplet!S1766+BugetComplet!S1776+BugetComplet!S1786+BugetComplet!S1796+BugetComplet!S1806+BugetComplet!S1816</f>
        <v>0</v>
      </c>
      <c r="F538" s="255">
        <f ca="1">BugetComplet!T1676+BugetComplet!T1686+BugetComplet!T1696+BugetComplet!T1706+BugetComplet!T1716+BugetComplet!T1726+BugetComplet!T1736+BugetComplet!T1746+BugetComplet!T1756+BugetComplet!T1766+BugetComplet!T1776+BugetComplet!T1786+BugetComplet!T1796+BugetComplet!T1806+BugetComplet!T1816</f>
        <v>0</v>
      </c>
      <c r="G538" s="255">
        <f ca="1">BugetComplet!U1676+BugetComplet!U1686+BugetComplet!U1696+BugetComplet!U1706+BugetComplet!U1716+BugetComplet!U1726+BugetComplet!U1736+BugetComplet!U1746+BugetComplet!U1756+BugetComplet!U1766+BugetComplet!U1776+BugetComplet!U1786+BugetComplet!U1796+BugetComplet!U1806+BugetComplet!U1816</f>
        <v>0</v>
      </c>
      <c r="H538" s="255">
        <f ca="1">BugetComplet!V1676+BugetComplet!V1686+BugetComplet!V1696+BugetComplet!V1706+BugetComplet!V1716+BugetComplet!V1726+BugetComplet!V1736+BugetComplet!V1746+BugetComplet!V1756+BugetComplet!V1766+BugetComplet!V1776+BugetComplet!V1786+BugetComplet!V1796+BugetComplet!V1806+BugetComplet!V1816</f>
        <v>0</v>
      </c>
    </row>
    <row r="539" spans="1:13" ht="26.1" customHeight="1">
      <c r="A539" s="131"/>
      <c r="B539" s="169" t="s">
        <v>82</v>
      </c>
      <c r="C539" s="255">
        <f ca="1">BugetComplet!Q1677+BugetComplet!Q1687+BugetComplet!Q1697+BugetComplet!Q1707+BugetComplet!Q1717+BugetComplet!Q1727+BugetComplet!Q1737+BugetComplet!Q1747+BugetComplet!Q1757+BugetComplet!Q1767+BugetComplet!Q1777+BugetComplet!Q1787+BugetComplet!Q1797+BugetComplet!Q1807+BugetComplet!Q1817</f>
        <v>2029820.4619999998</v>
      </c>
      <c r="D539" s="255">
        <f ca="1">BugetComplet!R1677+BugetComplet!R1687+BugetComplet!R1697+BugetComplet!R1707+BugetComplet!R1717+BugetComplet!R1727+BugetComplet!R1737+BugetComplet!R1747+BugetComplet!R1757+BugetComplet!R1767+BugetComplet!R1777+BugetComplet!R1787+BugetComplet!R1797+BugetComplet!R1807+BugetComplet!R1817</f>
        <v>967563.73600000003</v>
      </c>
      <c r="E539" s="255">
        <f ca="1">BugetComplet!S1677+BugetComplet!S1687+BugetComplet!S1697+BugetComplet!S1707+BugetComplet!S1717+BugetComplet!S1727+BugetComplet!S1737+BugetComplet!S1747+BugetComplet!S1757+BugetComplet!S1767+BugetComplet!S1777+BugetComplet!S1787+BugetComplet!S1797+BugetComplet!S1807+BugetComplet!S1817</f>
        <v>996633.3456</v>
      </c>
      <c r="F539" s="255">
        <f ca="1">BugetComplet!T1677+BugetComplet!T1687+BugetComplet!T1697+BugetComplet!T1707+BugetComplet!T1717+BugetComplet!T1727+BugetComplet!T1737+BugetComplet!T1747+BugetComplet!T1757+BugetComplet!T1767+BugetComplet!T1777+BugetComplet!T1787+BugetComplet!T1797+BugetComplet!T1807+BugetComplet!T1817</f>
        <v>0</v>
      </c>
      <c r="G539" s="255">
        <f ca="1">BugetComplet!U1677+BugetComplet!U1687+BugetComplet!U1697+BugetComplet!U1707+BugetComplet!U1717+BugetComplet!U1727+BugetComplet!U1737+BugetComplet!U1747+BugetComplet!U1757+BugetComplet!U1767+BugetComplet!U1777+BugetComplet!U1787+BugetComplet!U1797+BugetComplet!U1807+BugetComplet!U1817</f>
        <v>0</v>
      </c>
      <c r="H539" s="255">
        <f ca="1">BugetComplet!V1677+BugetComplet!V1687+BugetComplet!V1697+BugetComplet!V1707+BugetComplet!V1717+BugetComplet!V1727+BugetComplet!V1737+BugetComplet!V1747+BugetComplet!V1757+BugetComplet!V1767+BugetComplet!V1777+BugetComplet!V1787+BugetComplet!V1797+BugetComplet!V1807+BugetComplet!V1817</f>
        <v>3994017.5435999995</v>
      </c>
      <c r="I539" s="958"/>
    </row>
    <row r="540" spans="1:13" ht="26.1" customHeight="1">
      <c r="A540" s="131"/>
      <c r="B540" s="169" t="s">
        <v>90</v>
      </c>
      <c r="C540" s="255">
        <f ca="1">BugetComplet!Q1678+BugetComplet!Q1688+BugetComplet!Q1698+BugetComplet!Q1708+BugetComplet!Q1718+BugetComplet!Q1728+BugetComplet!Q1738+BugetComplet!Q1748+BugetComplet!Q1758+BugetComplet!Q1768+BugetComplet!Q1778+BugetComplet!Q1788+BugetComplet!Q1798+BugetComplet!Q1808+BugetComplet!Q1818</f>
        <v>0</v>
      </c>
      <c r="D540" s="255">
        <f ca="1">BugetComplet!R1678+BugetComplet!R1688+BugetComplet!R1698+BugetComplet!R1708+BugetComplet!R1718+BugetComplet!R1728+BugetComplet!R1738+BugetComplet!R1748+BugetComplet!R1758+BugetComplet!R1768+BugetComplet!R1778+BugetComplet!R1788+BugetComplet!R1798+BugetComplet!R1808+BugetComplet!R1818</f>
        <v>0</v>
      </c>
      <c r="E540" s="255">
        <f ca="1">BugetComplet!S1678+BugetComplet!S1688+BugetComplet!S1698+BugetComplet!S1708+BugetComplet!S1718+BugetComplet!S1728+BugetComplet!S1738+BugetComplet!S1748+BugetComplet!S1758+BugetComplet!S1768+BugetComplet!S1778+BugetComplet!S1788+BugetComplet!S1798+BugetComplet!S1808+BugetComplet!S1818</f>
        <v>0</v>
      </c>
      <c r="F540" s="255">
        <f ca="1">BugetComplet!T1678+BugetComplet!T1688+BugetComplet!T1698+BugetComplet!T1708+BugetComplet!T1718+BugetComplet!T1728+BugetComplet!T1738+BugetComplet!T1748+BugetComplet!T1758+BugetComplet!T1768+BugetComplet!T1778+BugetComplet!T1788+BugetComplet!T1798+BugetComplet!T1808+BugetComplet!T1818</f>
        <v>0</v>
      </c>
      <c r="G540" s="255">
        <f ca="1">BugetComplet!U1678+BugetComplet!U1688+BugetComplet!U1698+BugetComplet!U1708+BugetComplet!U1718+BugetComplet!U1728+BugetComplet!U1738+BugetComplet!U1748+BugetComplet!U1758+BugetComplet!U1768+BugetComplet!U1778+BugetComplet!U1788+BugetComplet!U1798+BugetComplet!U1808+BugetComplet!U1818</f>
        <v>0</v>
      </c>
      <c r="H540" s="255">
        <f ca="1">BugetComplet!V1678+BugetComplet!V1688+BugetComplet!V1698+BugetComplet!V1708+BugetComplet!V1718+BugetComplet!V1728+BugetComplet!V1738+BugetComplet!V1748+BugetComplet!V1758+BugetComplet!V1768+BugetComplet!V1778+BugetComplet!V1788+BugetComplet!V1798+BugetComplet!V1808+BugetComplet!V1818</f>
        <v>0</v>
      </c>
    </row>
    <row r="541" spans="1:13" ht="26.1" customHeight="1">
      <c r="A541" s="131"/>
      <c r="B541" s="169" t="s">
        <v>83</v>
      </c>
      <c r="C541" s="255">
        <f ca="1">BugetComplet!Q1679+BugetComplet!Q1689+BugetComplet!Q1699+BugetComplet!Q1709+BugetComplet!Q1719+BugetComplet!Q1729+BugetComplet!Q1739+BugetComplet!Q1749+BugetComplet!Q1759+BugetComplet!Q1769+BugetComplet!Q1779+BugetComplet!Q1789+BugetComplet!Q1799+BugetComplet!Q1809+BugetComplet!Q1819</f>
        <v>0</v>
      </c>
      <c r="D541" s="255">
        <f ca="1">BugetComplet!R1679+BugetComplet!R1689+BugetComplet!R1699+BugetComplet!R1709+BugetComplet!R1719+BugetComplet!R1729+BugetComplet!R1739+BugetComplet!R1749+BugetComplet!R1759+BugetComplet!R1769+BugetComplet!R1779+BugetComplet!R1789+BugetComplet!R1799+BugetComplet!R1809+BugetComplet!R1819</f>
        <v>0</v>
      </c>
      <c r="E541" s="255">
        <f ca="1">BugetComplet!S1679+BugetComplet!S1689+BugetComplet!S1699+BugetComplet!S1709+BugetComplet!S1719+BugetComplet!S1729+BugetComplet!S1739+BugetComplet!S1749+BugetComplet!S1759+BugetComplet!S1769+BugetComplet!S1779+BugetComplet!S1789+BugetComplet!S1799+BugetComplet!S1809+BugetComplet!S1819</f>
        <v>193300</v>
      </c>
      <c r="F541" s="255">
        <f ca="1">BugetComplet!T1679+BugetComplet!T1689+BugetComplet!T1699+BugetComplet!T1709+BugetComplet!T1719+BugetComplet!T1729+BugetComplet!T1739+BugetComplet!T1749+BugetComplet!T1759+BugetComplet!T1769+BugetComplet!T1779+BugetComplet!T1789+BugetComplet!T1799+BugetComplet!T1809+BugetComplet!T1819</f>
        <v>0</v>
      </c>
      <c r="G541" s="255">
        <f ca="1">BugetComplet!U1679+BugetComplet!U1689+BugetComplet!U1699+BugetComplet!U1709+BugetComplet!U1719+BugetComplet!U1729+BugetComplet!U1739+BugetComplet!U1749+BugetComplet!U1759+BugetComplet!U1769+BugetComplet!U1779+BugetComplet!U1789+BugetComplet!U1799+BugetComplet!U1809+BugetComplet!U1819</f>
        <v>0</v>
      </c>
      <c r="H541" s="255">
        <f ca="1">BugetComplet!V1679+BugetComplet!V1689+BugetComplet!V1699+BugetComplet!V1709+BugetComplet!V1719+BugetComplet!V1729+BugetComplet!V1739+BugetComplet!V1749+BugetComplet!V1759+BugetComplet!V1769+BugetComplet!V1779+BugetComplet!V1789+BugetComplet!V1799+BugetComplet!V1809+BugetComplet!V1819</f>
        <v>193300</v>
      </c>
    </row>
    <row r="542" spans="1:13" ht="26.1" customHeight="1">
      <c r="A542" s="131"/>
      <c r="B542" s="169" t="s">
        <v>84</v>
      </c>
      <c r="C542" s="255">
        <f ca="1">BugetComplet!Q1680+BugetComplet!Q1690+BugetComplet!Q1700+BugetComplet!Q1710+BugetComplet!Q1720+BugetComplet!Q1730+BugetComplet!Q1740+BugetComplet!Q1750+BugetComplet!Q1760+BugetComplet!Q1770+BugetComplet!Q1780+BugetComplet!Q1790+BugetComplet!Q1800+BugetComplet!Q1810+BugetComplet!Q1820</f>
        <v>0</v>
      </c>
      <c r="D542" s="255">
        <f ca="1">BugetComplet!R1680+BugetComplet!R1690+BugetComplet!R1700+BugetComplet!R1710+BugetComplet!R1720+BugetComplet!R1730+BugetComplet!R1740+BugetComplet!R1750+BugetComplet!R1760+BugetComplet!R1770+BugetComplet!R1780+BugetComplet!R1790+BugetComplet!R1800+BugetComplet!R1810+BugetComplet!R1820</f>
        <v>0</v>
      </c>
      <c r="E542" s="255">
        <f ca="1">BugetComplet!S1680+BugetComplet!S1690+BugetComplet!S1700+BugetComplet!S1710+BugetComplet!S1720+BugetComplet!S1730+BugetComplet!S1740+BugetComplet!S1750+BugetComplet!S1760+BugetComplet!S1770+BugetComplet!S1780+BugetComplet!S1790+BugetComplet!S1800+BugetComplet!S1810+BugetComplet!S1820</f>
        <v>1743050</v>
      </c>
      <c r="F542" s="255">
        <f ca="1">BugetComplet!T1680+BugetComplet!T1690+BugetComplet!T1700+BugetComplet!T1710+BugetComplet!T1720+BugetComplet!T1730+BugetComplet!T1740+BugetComplet!T1750+BugetComplet!T1760+BugetComplet!T1770+BugetComplet!T1780+BugetComplet!T1790+BugetComplet!T1800+BugetComplet!T1810+BugetComplet!T1820</f>
        <v>3037599.9999999995</v>
      </c>
      <c r="G542" s="255">
        <f ca="1">BugetComplet!U1680+BugetComplet!U1690+BugetComplet!U1700+BugetComplet!U1710+BugetComplet!U1720+BugetComplet!U1730+BugetComplet!U1740+BugetComplet!U1750+BugetComplet!U1760+BugetComplet!U1770+BugetComplet!U1780+BugetComplet!U1790+BugetComplet!U1800+BugetComplet!U1810+BugetComplet!U1820</f>
        <v>1077889.27</v>
      </c>
      <c r="H542" s="255">
        <f ca="1">BugetComplet!V1680+BugetComplet!V1690+BugetComplet!V1700+BugetComplet!V1710+BugetComplet!V1720+BugetComplet!V1730+BugetComplet!V1740+BugetComplet!V1750+BugetComplet!V1760+BugetComplet!V1770+BugetComplet!V1780+BugetComplet!V1790+BugetComplet!V1800+BugetComplet!V1810+BugetComplet!V1820</f>
        <v>5858539.2699999996</v>
      </c>
    </row>
    <row r="543" spans="1:13" ht="36" customHeight="1">
      <c r="A543" s="137" t="str">
        <f>BugetComplet!F$1821</f>
        <v>3.2.5</v>
      </c>
      <c r="B543" s="139" t="str">
        <f>BugetComplet!G$1821</f>
        <v xml:space="preserve">Обеспечение распространения данных и  отчетов. </v>
      </c>
      <c r="C543" s="257">
        <f>BugetComplet!Q$1821</f>
        <v>0</v>
      </c>
      <c r="D543" s="257">
        <f>BugetComplet!R$1821</f>
        <v>0</v>
      </c>
      <c r="E543" s="257">
        <f>BugetComplet!S$1821</f>
        <v>0</v>
      </c>
      <c r="F543" s="257">
        <f>BugetComplet!T$1821</f>
        <v>0</v>
      </c>
      <c r="G543" s="257">
        <f>BugetComplet!U$1821</f>
        <v>0</v>
      </c>
      <c r="H543" s="257">
        <f>BugetComplet!V$1821</f>
        <v>0</v>
      </c>
      <c r="I543" s="258"/>
      <c r="J543" s="258"/>
      <c r="K543" s="258"/>
      <c r="L543" s="258"/>
      <c r="M543" s="258"/>
    </row>
    <row r="544" spans="1:13" ht="26.1" customHeight="1">
      <c r="A544" s="131"/>
      <c r="B544" s="168" t="s">
        <v>79</v>
      </c>
      <c r="C544" s="255">
        <f>BugetComplet!Q1822+BugetComplet!Q1832</f>
        <v>120000</v>
      </c>
      <c r="D544" s="255">
        <f>BugetComplet!R1822+BugetComplet!R1832</f>
        <v>120000</v>
      </c>
      <c r="E544" s="255">
        <f>BugetComplet!S1822+BugetComplet!S1832</f>
        <v>120000</v>
      </c>
      <c r="F544" s="255">
        <f>BugetComplet!T1822+BugetComplet!T1832</f>
        <v>120000</v>
      </c>
      <c r="G544" s="255">
        <f>BugetComplet!U1822+BugetComplet!U1832</f>
        <v>120000</v>
      </c>
      <c r="H544" s="255">
        <f>BugetComplet!V1822+BugetComplet!V1832</f>
        <v>600000</v>
      </c>
    </row>
    <row r="545" spans="1:13" ht="26.1" customHeight="1">
      <c r="A545" s="131"/>
      <c r="B545" s="169" t="s">
        <v>80</v>
      </c>
      <c r="C545" s="255">
        <f>BugetComplet!Q1823+BugetComplet!Q1833</f>
        <v>0</v>
      </c>
      <c r="D545" s="255">
        <f>BugetComplet!R1823+BugetComplet!R1833</f>
        <v>0</v>
      </c>
      <c r="E545" s="255">
        <f>BugetComplet!S1823+BugetComplet!S1833</f>
        <v>0</v>
      </c>
      <c r="F545" s="255">
        <f>BugetComplet!T1823+BugetComplet!T1833</f>
        <v>0</v>
      </c>
      <c r="G545" s="255">
        <f>BugetComplet!U1823+BugetComplet!U1833</f>
        <v>0</v>
      </c>
      <c r="H545" s="255">
        <f>BugetComplet!V1823+BugetComplet!V1833</f>
        <v>0</v>
      </c>
    </row>
    <row r="546" spans="1:13" ht="26.1" customHeight="1">
      <c r="A546" s="131"/>
      <c r="B546" s="169" t="s">
        <v>429</v>
      </c>
      <c r="C546" s="255">
        <f>BugetComplet!Q1824+BugetComplet!Q1834</f>
        <v>0</v>
      </c>
      <c r="D546" s="255">
        <f>BugetComplet!R1824+BugetComplet!R1834</f>
        <v>0</v>
      </c>
      <c r="E546" s="255">
        <f>BugetComplet!S1824+BugetComplet!S1834</f>
        <v>0</v>
      </c>
      <c r="F546" s="255">
        <f>BugetComplet!T1824+BugetComplet!T1834</f>
        <v>0</v>
      </c>
      <c r="G546" s="255">
        <f>BugetComplet!U1824+BugetComplet!U1834</f>
        <v>0</v>
      </c>
      <c r="H546" s="255">
        <f>BugetComplet!V1824+BugetComplet!V1834</f>
        <v>0</v>
      </c>
    </row>
    <row r="547" spans="1:13" ht="26.1" customHeight="1">
      <c r="A547" s="131"/>
      <c r="B547" s="169" t="s">
        <v>133</v>
      </c>
      <c r="C547" s="255">
        <f>BugetComplet!Q1825+BugetComplet!Q1835</f>
        <v>0</v>
      </c>
      <c r="D547" s="255">
        <f>BugetComplet!R1825+BugetComplet!R1835</f>
        <v>0</v>
      </c>
      <c r="E547" s="255">
        <f>BugetComplet!S1825+BugetComplet!S1835</f>
        <v>0</v>
      </c>
      <c r="F547" s="255">
        <f>BugetComplet!T1825+BugetComplet!T1835</f>
        <v>0</v>
      </c>
      <c r="G547" s="255">
        <f>BugetComplet!U1825+BugetComplet!U1835</f>
        <v>0</v>
      </c>
      <c r="H547" s="255">
        <f>BugetComplet!V1825+BugetComplet!V1835</f>
        <v>0</v>
      </c>
    </row>
    <row r="548" spans="1:13" ht="26.1" customHeight="1">
      <c r="A548" s="131"/>
      <c r="B548" s="169" t="s">
        <v>81</v>
      </c>
      <c r="C548" s="255">
        <f>BugetComplet!Q1826+BugetComplet!Q1836</f>
        <v>0</v>
      </c>
      <c r="D548" s="255">
        <f>BugetComplet!R1826+BugetComplet!R1836</f>
        <v>0</v>
      </c>
      <c r="E548" s="255">
        <f>BugetComplet!S1826+BugetComplet!S1836</f>
        <v>0</v>
      </c>
      <c r="F548" s="255">
        <f>BugetComplet!T1826+BugetComplet!T1836</f>
        <v>0</v>
      </c>
      <c r="G548" s="255">
        <f>BugetComplet!U1826+BugetComplet!U1836</f>
        <v>0</v>
      </c>
      <c r="H548" s="255">
        <f>BugetComplet!V1826+BugetComplet!V1836</f>
        <v>0</v>
      </c>
    </row>
    <row r="549" spans="1:13" ht="26.1" customHeight="1">
      <c r="A549" s="131"/>
      <c r="B549" s="169" t="s">
        <v>134</v>
      </c>
      <c r="C549" s="255">
        <f>BugetComplet!Q1827+BugetComplet!Q1837</f>
        <v>0</v>
      </c>
      <c r="D549" s="255">
        <f>BugetComplet!R1827+BugetComplet!R1837</f>
        <v>0</v>
      </c>
      <c r="E549" s="255">
        <f>BugetComplet!S1827+BugetComplet!S1837</f>
        <v>0</v>
      </c>
      <c r="F549" s="255">
        <f>BugetComplet!T1827+BugetComplet!T1837</f>
        <v>0</v>
      </c>
      <c r="G549" s="255">
        <f>BugetComplet!U1827+BugetComplet!U1837</f>
        <v>0</v>
      </c>
      <c r="H549" s="255">
        <f>BugetComplet!V1827+BugetComplet!V1837</f>
        <v>0</v>
      </c>
    </row>
    <row r="550" spans="1:13" ht="26.1" customHeight="1">
      <c r="A550" s="131"/>
      <c r="B550" s="169" t="s">
        <v>82</v>
      </c>
      <c r="C550" s="255">
        <f>BugetComplet!Q1828+BugetComplet!Q1838</f>
        <v>0</v>
      </c>
      <c r="D550" s="255">
        <f>BugetComplet!R1828+BugetComplet!R1838</f>
        <v>0</v>
      </c>
      <c r="E550" s="255">
        <f>BugetComplet!S1828+BugetComplet!S1838</f>
        <v>0</v>
      </c>
      <c r="F550" s="255">
        <f>BugetComplet!T1828+BugetComplet!T1838</f>
        <v>0</v>
      </c>
      <c r="G550" s="255">
        <f>BugetComplet!U1828+BugetComplet!U1838</f>
        <v>0</v>
      </c>
      <c r="H550" s="255">
        <f>BugetComplet!V1828+BugetComplet!V1838</f>
        <v>0</v>
      </c>
    </row>
    <row r="551" spans="1:13" ht="26.1" customHeight="1">
      <c r="A551" s="131"/>
      <c r="B551" s="169" t="s">
        <v>90</v>
      </c>
      <c r="C551" s="255">
        <f>BugetComplet!Q1829+BugetComplet!Q1839</f>
        <v>0</v>
      </c>
      <c r="D551" s="255">
        <f>BugetComplet!R1829+BugetComplet!R1839</f>
        <v>0</v>
      </c>
      <c r="E551" s="255">
        <f>BugetComplet!S1829+BugetComplet!S1839</f>
        <v>0</v>
      </c>
      <c r="F551" s="255">
        <f>BugetComplet!T1829+BugetComplet!T1839</f>
        <v>0</v>
      </c>
      <c r="G551" s="255">
        <f>BugetComplet!U1829+BugetComplet!U1839</f>
        <v>0</v>
      </c>
      <c r="H551" s="255">
        <f>BugetComplet!V1829+BugetComplet!V1839</f>
        <v>0</v>
      </c>
    </row>
    <row r="552" spans="1:13" ht="26.1" customHeight="1">
      <c r="A552" s="131"/>
      <c r="B552" s="169" t="s">
        <v>83</v>
      </c>
      <c r="C552" s="255">
        <f>BugetComplet!Q1830+BugetComplet!Q1840</f>
        <v>0</v>
      </c>
      <c r="D552" s="255">
        <f>BugetComplet!R1830+BugetComplet!R1840</f>
        <v>0</v>
      </c>
      <c r="E552" s="255">
        <f>BugetComplet!S1830+BugetComplet!S1840</f>
        <v>0</v>
      </c>
      <c r="F552" s="255">
        <f>BugetComplet!T1830+BugetComplet!T1840</f>
        <v>0</v>
      </c>
      <c r="G552" s="255">
        <f>BugetComplet!U1830+BugetComplet!U1840</f>
        <v>0</v>
      </c>
      <c r="H552" s="255">
        <f>BugetComplet!V1830+BugetComplet!V1840</f>
        <v>0</v>
      </c>
    </row>
    <row r="553" spans="1:13" ht="26.1" customHeight="1">
      <c r="A553" s="131"/>
      <c r="B553" s="169" t="s">
        <v>84</v>
      </c>
      <c r="C553" s="255">
        <f>BugetComplet!Q1831+BugetComplet!Q1841</f>
        <v>120000</v>
      </c>
      <c r="D553" s="255">
        <f>BugetComplet!R1831+BugetComplet!R1841</f>
        <v>120000</v>
      </c>
      <c r="E553" s="255">
        <f>BugetComplet!S1831+BugetComplet!S1841</f>
        <v>120000</v>
      </c>
      <c r="F553" s="255">
        <f>BugetComplet!T1831+BugetComplet!T1841</f>
        <v>120000</v>
      </c>
      <c r="G553" s="255">
        <f>BugetComplet!U1831+BugetComplet!U1841</f>
        <v>120000</v>
      </c>
      <c r="H553" s="255">
        <f>BugetComplet!V1831+BugetComplet!V1841</f>
        <v>600000</v>
      </c>
    </row>
    <row r="554" spans="1:13" ht="45">
      <c r="A554" s="129" t="str">
        <f>BugetComplet!F$1842</f>
        <v>3.3</v>
      </c>
      <c r="B554" s="128" t="str">
        <f>BugetComplet!G$1842</f>
        <v>Укрепление потенциала Службы тестирования и диагностики ВИЧ / ИППП путем обеспечения качественных результатов как минимум в 95% подразделений тестирования и диагностики ВИЧ / ИППП.</v>
      </c>
      <c r="C554" s="256">
        <f ca="1">BugetComplet!Q$1842</f>
        <v>946650.10999999987</v>
      </c>
      <c r="D554" s="256">
        <f ca="1">BugetComplet!R$1842</f>
        <v>988061.52200000011</v>
      </c>
      <c r="E554" s="256">
        <f ca="1">BugetComplet!S$1842</f>
        <v>2036349.8990000002</v>
      </c>
      <c r="F554" s="256">
        <f ca="1">BugetComplet!T$1842</f>
        <v>393878.82200000004</v>
      </c>
      <c r="G554" s="256">
        <f ca="1">BugetComplet!U$1842</f>
        <v>426529.658</v>
      </c>
      <c r="H554" s="256">
        <f ca="1">BugetComplet!V$1842</f>
        <v>4791470.0109999999</v>
      </c>
      <c r="I554" s="258"/>
      <c r="J554" s="258"/>
      <c r="K554" s="258"/>
      <c r="L554" s="258"/>
      <c r="M554" s="258"/>
    </row>
    <row r="555" spans="1:13" ht="26.1" customHeight="1">
      <c r="A555" s="131"/>
      <c r="B555" s="168" t="s">
        <v>79</v>
      </c>
      <c r="C555" s="255">
        <f ca="1">C566+C577+C588+C599</f>
        <v>4013270.1100000003</v>
      </c>
      <c r="D555" s="255">
        <f t="shared" ref="D555:H555" ca="1" si="48">D566+D577+D588+D599</f>
        <v>8028661.5219999999</v>
      </c>
      <c r="E555" s="255">
        <f t="shared" ca="1" si="48"/>
        <v>2036349.8990000002</v>
      </c>
      <c r="F555" s="255">
        <f t="shared" ca="1" si="48"/>
        <v>863049.46299999999</v>
      </c>
      <c r="G555" s="255">
        <f t="shared" ca="1" si="48"/>
        <v>1581690.0989999999</v>
      </c>
      <c r="H555" s="255">
        <f t="shared" ca="1" si="48"/>
        <v>16523021.093</v>
      </c>
    </row>
    <row r="556" spans="1:13" ht="26.1" customHeight="1">
      <c r="A556" s="131"/>
      <c r="B556" s="169" t="s">
        <v>80</v>
      </c>
      <c r="C556" s="255">
        <f t="shared" ref="C556:H564" ca="1" si="49">C567+C578+C589+C600</f>
        <v>946650.10999999987</v>
      </c>
      <c r="D556" s="255">
        <f t="shared" ca="1" si="49"/>
        <v>988061.52200000011</v>
      </c>
      <c r="E556" s="255">
        <f t="shared" ca="1" si="49"/>
        <v>2036349.8990000002</v>
      </c>
      <c r="F556" s="255">
        <f t="shared" ca="1" si="49"/>
        <v>393878.82200000004</v>
      </c>
      <c r="G556" s="255">
        <f t="shared" ca="1" si="49"/>
        <v>426529.658</v>
      </c>
      <c r="H556" s="255">
        <f t="shared" ca="1" si="49"/>
        <v>4791470.0109999999</v>
      </c>
    </row>
    <row r="557" spans="1:13" ht="26.1" customHeight="1">
      <c r="A557" s="131"/>
      <c r="B557" s="169" t="s">
        <v>429</v>
      </c>
      <c r="C557" s="255">
        <f t="shared" ca="1" si="49"/>
        <v>0</v>
      </c>
      <c r="D557" s="255">
        <f t="shared" ca="1" si="49"/>
        <v>0</v>
      </c>
      <c r="E557" s="255">
        <f t="shared" ca="1" si="49"/>
        <v>0</v>
      </c>
      <c r="F557" s="255">
        <f t="shared" ca="1" si="49"/>
        <v>277733.82200000004</v>
      </c>
      <c r="G557" s="255">
        <f t="shared" ca="1" si="49"/>
        <v>310384.658</v>
      </c>
      <c r="H557" s="255">
        <f t="shared" ca="1" si="49"/>
        <v>588118.48</v>
      </c>
    </row>
    <row r="558" spans="1:13" ht="26.1" customHeight="1">
      <c r="A558" s="131"/>
      <c r="B558" s="169" t="s">
        <v>133</v>
      </c>
      <c r="C558" s="255">
        <f t="shared" ca="1" si="49"/>
        <v>0</v>
      </c>
      <c r="D558" s="255">
        <f t="shared" ca="1" si="49"/>
        <v>0</v>
      </c>
      <c r="E558" s="255">
        <f t="shared" ca="1" si="49"/>
        <v>0</v>
      </c>
      <c r="F558" s="255">
        <f t="shared" ca="1" si="49"/>
        <v>0</v>
      </c>
      <c r="G558" s="255">
        <f t="shared" ca="1" si="49"/>
        <v>0</v>
      </c>
      <c r="H558" s="255">
        <f t="shared" ca="1" si="49"/>
        <v>0</v>
      </c>
    </row>
    <row r="559" spans="1:13" ht="26.1" customHeight="1">
      <c r="A559" s="131"/>
      <c r="B559" s="169" t="s">
        <v>81</v>
      </c>
      <c r="C559" s="255">
        <f t="shared" ca="1" si="49"/>
        <v>0</v>
      </c>
      <c r="D559" s="255">
        <f t="shared" ca="1" si="49"/>
        <v>0</v>
      </c>
      <c r="E559" s="255">
        <f t="shared" ca="1" si="49"/>
        <v>0</v>
      </c>
      <c r="F559" s="255">
        <f t="shared" ca="1" si="49"/>
        <v>0</v>
      </c>
      <c r="G559" s="255">
        <f t="shared" ca="1" si="49"/>
        <v>0</v>
      </c>
      <c r="H559" s="255">
        <f t="shared" ca="1" si="49"/>
        <v>0</v>
      </c>
    </row>
    <row r="560" spans="1:13" ht="26.1" customHeight="1">
      <c r="A560" s="131"/>
      <c r="B560" s="169" t="s">
        <v>134</v>
      </c>
      <c r="C560" s="255">
        <f t="shared" ca="1" si="49"/>
        <v>116145</v>
      </c>
      <c r="D560" s="255">
        <f t="shared" ca="1" si="49"/>
        <v>116145</v>
      </c>
      <c r="E560" s="255">
        <f t="shared" ca="1" si="49"/>
        <v>116145</v>
      </c>
      <c r="F560" s="255">
        <f t="shared" ca="1" si="49"/>
        <v>116145</v>
      </c>
      <c r="G560" s="255">
        <f t="shared" ca="1" si="49"/>
        <v>116145</v>
      </c>
      <c r="H560" s="255">
        <f t="shared" ca="1" si="49"/>
        <v>580725</v>
      </c>
    </row>
    <row r="561" spans="1:9" ht="26.1" customHeight="1">
      <c r="A561" s="131"/>
      <c r="B561" s="169" t="s">
        <v>82</v>
      </c>
      <c r="C561" s="255">
        <f t="shared" ca="1" si="49"/>
        <v>794355.10999999987</v>
      </c>
      <c r="D561" s="255">
        <f t="shared" ca="1" si="49"/>
        <v>835766.52200000011</v>
      </c>
      <c r="E561" s="255">
        <f t="shared" ca="1" si="49"/>
        <v>1884054.8990000002</v>
      </c>
      <c r="F561" s="255">
        <f t="shared" ca="1" si="49"/>
        <v>0</v>
      </c>
      <c r="G561" s="255">
        <f t="shared" ca="1" si="49"/>
        <v>0</v>
      </c>
      <c r="H561" s="255">
        <f t="shared" ca="1" si="49"/>
        <v>3514176.531</v>
      </c>
      <c r="I561" s="958"/>
    </row>
    <row r="562" spans="1:9" ht="26.1" customHeight="1">
      <c r="A562" s="131"/>
      <c r="B562" s="169" t="s">
        <v>90</v>
      </c>
      <c r="C562" s="255">
        <f t="shared" ca="1" si="49"/>
        <v>36150</v>
      </c>
      <c r="D562" s="255">
        <f t="shared" ca="1" si="49"/>
        <v>36150</v>
      </c>
      <c r="E562" s="255">
        <f t="shared" ca="1" si="49"/>
        <v>36150</v>
      </c>
      <c r="F562" s="255">
        <f t="shared" ca="1" si="49"/>
        <v>0</v>
      </c>
      <c r="G562" s="255">
        <f t="shared" ca="1" si="49"/>
        <v>0</v>
      </c>
      <c r="H562" s="255">
        <f t="shared" ca="1" si="49"/>
        <v>108450</v>
      </c>
      <c r="I562" s="958"/>
    </row>
    <row r="563" spans="1:9" ht="26.1" customHeight="1">
      <c r="A563" s="131"/>
      <c r="B563" s="169" t="s">
        <v>83</v>
      </c>
      <c r="C563" s="255">
        <f t="shared" ca="1" si="49"/>
        <v>0</v>
      </c>
      <c r="D563" s="255">
        <f t="shared" ca="1" si="49"/>
        <v>0</v>
      </c>
      <c r="E563" s="255">
        <f t="shared" ca="1" si="49"/>
        <v>0</v>
      </c>
      <c r="F563" s="255">
        <f t="shared" ca="1" si="49"/>
        <v>0</v>
      </c>
      <c r="G563" s="255">
        <f t="shared" ca="1" si="49"/>
        <v>0</v>
      </c>
      <c r="H563" s="255">
        <f t="shared" ca="1" si="49"/>
        <v>0</v>
      </c>
    </row>
    <row r="564" spans="1:9" ht="26.1" customHeight="1">
      <c r="A564" s="131"/>
      <c r="B564" s="169" t="s">
        <v>84</v>
      </c>
      <c r="C564" s="255">
        <f t="shared" ca="1" si="49"/>
        <v>3066620</v>
      </c>
      <c r="D564" s="255">
        <f t="shared" ca="1" si="49"/>
        <v>7040600</v>
      </c>
      <c r="E564" s="255">
        <f t="shared" ca="1" si="49"/>
        <v>0</v>
      </c>
      <c r="F564" s="255">
        <f t="shared" ca="1" si="49"/>
        <v>469170.641</v>
      </c>
      <c r="G564" s="255">
        <f t="shared" ca="1" si="49"/>
        <v>1155160.4410000001</v>
      </c>
      <c r="H564" s="255">
        <f t="shared" ca="1" si="49"/>
        <v>11731551.082</v>
      </c>
    </row>
    <row r="565" spans="1:9" ht="36" customHeight="1">
      <c r="A565" s="137" t="str">
        <f>BugetComplet!F$1843</f>
        <v>3.3.1</v>
      </c>
      <c r="B565" s="139" t="str">
        <f>BugetComplet!G$1843</f>
        <v>Создание и укрепление Национальной референс лаборатории по ВИЧ / ИППП.</v>
      </c>
      <c r="C565" s="257">
        <f ca="1">BugetComplet!Q$1843</f>
        <v>469881.43599999999</v>
      </c>
      <c r="D565" s="257">
        <f ca="1">BugetComplet!R$1843</f>
        <v>692865</v>
      </c>
      <c r="E565" s="257">
        <f ca="1">BugetComplet!S$1843</f>
        <v>1682981.436</v>
      </c>
      <c r="F565" s="257">
        <f ca="1">BugetComplet!T$1843</f>
        <v>290865</v>
      </c>
      <c r="G565" s="257">
        <f ca="1">BugetComplet!U$1843</f>
        <v>317181.43599999999</v>
      </c>
      <c r="H565" s="257">
        <f ca="1">BugetComplet!V$1843</f>
        <v>3453774.3080000002</v>
      </c>
    </row>
    <row r="566" spans="1:9" ht="26.1" customHeight="1">
      <c r="A566" s="131"/>
      <c r="B566" s="168" t="s">
        <v>79</v>
      </c>
      <c r="C566" s="255">
        <f ca="1">BugetComplet!Q1844+BugetComplet!Q1854+BugetComplet!Q1864+BugetComplet!Q1874+BugetComplet!Q1884+BugetComplet!Q1894+BugetComplet!Q1904</f>
        <v>3536501.4360000002</v>
      </c>
      <c r="D566" s="255">
        <f ca="1">BugetComplet!R1844+BugetComplet!R1854+BugetComplet!R1864+BugetComplet!R1874+BugetComplet!R1884+BugetComplet!R1894+BugetComplet!R1904</f>
        <v>7733465</v>
      </c>
      <c r="E566" s="255">
        <f ca="1">BugetComplet!S1844+BugetComplet!S1854+BugetComplet!S1864+BugetComplet!S1874+BugetComplet!S1884+BugetComplet!S1894+BugetComplet!S1904</f>
        <v>1682981.436</v>
      </c>
      <c r="F566" s="255">
        <f ca="1">BugetComplet!T1844+BugetComplet!T1854+BugetComplet!T1864+BugetComplet!T1874+BugetComplet!T1884+BugetComplet!T1894+BugetComplet!T1904</f>
        <v>639365</v>
      </c>
      <c r="G566" s="255">
        <f ca="1">BugetComplet!U1844+BugetComplet!U1854+BugetComplet!U1864+BugetComplet!U1874+BugetComplet!U1884+BugetComplet!U1894+BugetComplet!U1904</f>
        <v>1178181.436</v>
      </c>
      <c r="H566" s="255">
        <f ca="1">BugetComplet!V1844+BugetComplet!V1854+BugetComplet!V1864+BugetComplet!V1874+BugetComplet!V1884+BugetComplet!V1894+BugetComplet!V1904</f>
        <v>14770494.308</v>
      </c>
    </row>
    <row r="567" spans="1:9" ht="26.1" customHeight="1">
      <c r="A567" s="131"/>
      <c r="B567" s="169" t="s">
        <v>80</v>
      </c>
      <c r="C567" s="255">
        <f ca="1">BugetComplet!Q1845+BugetComplet!Q1855+BugetComplet!Q1865+BugetComplet!Q1875+BugetComplet!Q1885+BugetComplet!Q1895+BugetComplet!Q1905</f>
        <v>469881.43599999999</v>
      </c>
      <c r="D567" s="255">
        <f ca="1">BugetComplet!R1845+BugetComplet!R1855+BugetComplet!R1865+BugetComplet!R1875+BugetComplet!R1885+BugetComplet!R1895+BugetComplet!R1905</f>
        <v>692865</v>
      </c>
      <c r="E567" s="255">
        <f ca="1">BugetComplet!S1845+BugetComplet!S1855+BugetComplet!S1865+BugetComplet!S1875+BugetComplet!S1885+BugetComplet!S1895+BugetComplet!S1905</f>
        <v>1682981.436</v>
      </c>
      <c r="F567" s="255">
        <f ca="1">BugetComplet!T1845+BugetComplet!T1855+BugetComplet!T1865+BugetComplet!T1875+BugetComplet!T1885+BugetComplet!T1895+BugetComplet!T1905</f>
        <v>290865</v>
      </c>
      <c r="G567" s="255">
        <f ca="1">BugetComplet!U1845+BugetComplet!U1855+BugetComplet!U1865+BugetComplet!U1875+BugetComplet!U1885+BugetComplet!U1895+BugetComplet!U1905</f>
        <v>317181.43599999999</v>
      </c>
      <c r="H567" s="255">
        <f ca="1">BugetComplet!V1845+BugetComplet!V1855+BugetComplet!V1865+BugetComplet!V1875+BugetComplet!V1885+BugetComplet!V1895+BugetComplet!V1905</f>
        <v>3453774.3080000002</v>
      </c>
    </row>
    <row r="568" spans="1:9" ht="26.1" customHeight="1">
      <c r="A568" s="131"/>
      <c r="B568" s="169" t="s">
        <v>429</v>
      </c>
      <c r="C568" s="255">
        <f ca="1">BugetComplet!Q1846+BugetComplet!Q1856+BugetComplet!Q1866+BugetComplet!Q1876+BugetComplet!Q1886+BugetComplet!Q1896+BugetComplet!Q1906</f>
        <v>0</v>
      </c>
      <c r="D568" s="255">
        <f ca="1">BugetComplet!R1846+BugetComplet!R1856+BugetComplet!R1866+BugetComplet!R1876+BugetComplet!R1886+BugetComplet!R1896+BugetComplet!R1906</f>
        <v>0</v>
      </c>
      <c r="E568" s="255">
        <f ca="1">BugetComplet!S1846+BugetComplet!S1856+BugetComplet!S1866+BugetComplet!S1876+BugetComplet!S1886+BugetComplet!S1896+BugetComplet!S1906</f>
        <v>0</v>
      </c>
      <c r="F568" s="255">
        <f ca="1">BugetComplet!T1846+BugetComplet!T1856+BugetComplet!T1866+BugetComplet!T1876+BugetComplet!T1886+BugetComplet!T1896+BugetComplet!T1906</f>
        <v>174720</v>
      </c>
      <c r="G568" s="255">
        <f ca="1">BugetComplet!U1846+BugetComplet!U1856+BugetComplet!U1866+BugetComplet!U1876+BugetComplet!U1886+BugetComplet!U1896+BugetComplet!U1906</f>
        <v>201036.43599999999</v>
      </c>
      <c r="H568" s="255">
        <f ca="1">BugetComplet!V1846+BugetComplet!V1856+BugetComplet!V1866+BugetComplet!V1876+BugetComplet!V1886+BugetComplet!V1896+BugetComplet!V1906</f>
        <v>375756.43599999999</v>
      </c>
    </row>
    <row r="569" spans="1:9" ht="26.1" customHeight="1">
      <c r="A569" s="131"/>
      <c r="B569" s="169" t="s">
        <v>133</v>
      </c>
      <c r="C569" s="255">
        <f ca="1">BugetComplet!Q1847+BugetComplet!Q1857+BugetComplet!Q1867+BugetComplet!Q1877+BugetComplet!Q1887+BugetComplet!Q1897+BugetComplet!Q1907</f>
        <v>0</v>
      </c>
      <c r="D569" s="255">
        <f ca="1">BugetComplet!R1847+BugetComplet!R1857+BugetComplet!R1867+BugetComplet!R1877+BugetComplet!R1887+BugetComplet!R1897+BugetComplet!R1907</f>
        <v>0</v>
      </c>
      <c r="E569" s="255">
        <f ca="1">BugetComplet!S1847+BugetComplet!S1857+BugetComplet!S1867+BugetComplet!S1877+BugetComplet!S1887+BugetComplet!S1897+BugetComplet!S1907</f>
        <v>0</v>
      </c>
      <c r="F569" s="255">
        <f ca="1">BugetComplet!T1847+BugetComplet!T1857+BugetComplet!T1867+BugetComplet!T1877+BugetComplet!T1887+BugetComplet!T1897+BugetComplet!T1907</f>
        <v>0</v>
      </c>
      <c r="G569" s="255">
        <f ca="1">BugetComplet!U1847+BugetComplet!U1857+BugetComplet!U1867+BugetComplet!U1877+BugetComplet!U1887+BugetComplet!U1897+BugetComplet!U1907</f>
        <v>0</v>
      </c>
      <c r="H569" s="255">
        <f ca="1">BugetComplet!V1847+BugetComplet!V1857+BugetComplet!V1867+BugetComplet!V1877+BugetComplet!V1887+BugetComplet!V1897+BugetComplet!V1907</f>
        <v>0</v>
      </c>
    </row>
    <row r="570" spans="1:9" ht="26.1" customHeight="1">
      <c r="A570" s="131"/>
      <c r="B570" s="169" t="s">
        <v>81</v>
      </c>
      <c r="C570" s="255">
        <f>BugetComplet!Q1848+BugetComplet!Q1858+BugetComplet!Q1868+BugetComplet!Q1878+BugetComplet!Q1888+BugetComplet!Q1898+BugetComplet!Q1908</f>
        <v>0</v>
      </c>
      <c r="D570" s="255">
        <f>BugetComplet!R1848+BugetComplet!R1858+BugetComplet!R1868+BugetComplet!R1878+BugetComplet!R1888+BugetComplet!R1898+BugetComplet!R1908</f>
        <v>0</v>
      </c>
      <c r="E570" s="255">
        <f>BugetComplet!S1848+BugetComplet!S1858+BugetComplet!S1868+BugetComplet!S1878+BugetComplet!S1888+BugetComplet!S1898+BugetComplet!S1908</f>
        <v>0</v>
      </c>
      <c r="F570" s="255">
        <f>BugetComplet!T1848+BugetComplet!T1858+BugetComplet!T1868+BugetComplet!T1878+BugetComplet!T1888+BugetComplet!T1898+BugetComplet!T1908</f>
        <v>0</v>
      </c>
      <c r="G570" s="255">
        <f>BugetComplet!U1848+BugetComplet!U1858+BugetComplet!U1868+BugetComplet!U1878+BugetComplet!U1888+BugetComplet!U1898+BugetComplet!U1908</f>
        <v>0</v>
      </c>
      <c r="H570" s="255">
        <f>BugetComplet!V1848+BugetComplet!V1858+BugetComplet!V1868+BugetComplet!V1878+BugetComplet!V1888+BugetComplet!V1898+BugetComplet!V1908</f>
        <v>0</v>
      </c>
    </row>
    <row r="571" spans="1:9" ht="26.1" customHeight="1">
      <c r="A571" s="131"/>
      <c r="B571" s="169" t="s">
        <v>134</v>
      </c>
      <c r="C571" s="255">
        <f>BugetComplet!Q1849+BugetComplet!Q1859+BugetComplet!Q1869+BugetComplet!Q1879+BugetComplet!Q1889+BugetComplet!Q1899+BugetComplet!Q1909</f>
        <v>116145</v>
      </c>
      <c r="D571" s="255">
        <f>BugetComplet!R1849+BugetComplet!R1859+BugetComplet!R1869+BugetComplet!R1879+BugetComplet!R1889+BugetComplet!R1899+BugetComplet!R1909</f>
        <v>116145</v>
      </c>
      <c r="E571" s="255">
        <f>BugetComplet!S1849+BugetComplet!S1859+BugetComplet!S1869+BugetComplet!S1879+BugetComplet!S1889+BugetComplet!S1899+BugetComplet!S1909</f>
        <v>116145</v>
      </c>
      <c r="F571" s="255">
        <f>BugetComplet!T1849+BugetComplet!T1859+BugetComplet!T1869+BugetComplet!T1879+BugetComplet!T1889+BugetComplet!T1899+BugetComplet!T1909</f>
        <v>116145</v>
      </c>
      <c r="G571" s="255">
        <f>BugetComplet!U1849+BugetComplet!U1859+BugetComplet!U1869+BugetComplet!U1879+BugetComplet!U1889+BugetComplet!U1899+BugetComplet!U1909</f>
        <v>116145</v>
      </c>
      <c r="H571" s="255">
        <f>BugetComplet!V1849+BugetComplet!V1859+BugetComplet!V1869+BugetComplet!V1879+BugetComplet!V1889+BugetComplet!V1899+BugetComplet!V1909</f>
        <v>580725</v>
      </c>
    </row>
    <row r="572" spans="1:9" ht="26.1" customHeight="1">
      <c r="A572" s="131"/>
      <c r="B572" s="169" t="s">
        <v>82</v>
      </c>
      <c r="C572" s="255">
        <f ca="1">BugetComplet!Q1850+BugetComplet!Q1860+BugetComplet!Q1870+BugetComplet!Q1880+BugetComplet!Q1890+BugetComplet!Q1900+BugetComplet!Q1910</f>
        <v>317586.43599999999</v>
      </c>
      <c r="D572" s="255">
        <f ca="1">BugetComplet!R1850+BugetComplet!R1860+BugetComplet!R1870+BugetComplet!R1880+BugetComplet!R1890+BugetComplet!R1900+BugetComplet!R1910</f>
        <v>540570</v>
      </c>
      <c r="E572" s="255">
        <f ca="1">BugetComplet!S1850+BugetComplet!S1860+BugetComplet!S1870+BugetComplet!S1880+BugetComplet!S1890+BugetComplet!S1900+BugetComplet!S1910</f>
        <v>1530686.436</v>
      </c>
      <c r="F572" s="255">
        <f ca="1">BugetComplet!T1850+BugetComplet!T1860+BugetComplet!T1870+BugetComplet!T1880+BugetComplet!T1890+BugetComplet!T1900+BugetComplet!T1910</f>
        <v>0</v>
      </c>
      <c r="G572" s="255">
        <f ca="1">BugetComplet!U1850+BugetComplet!U1860+BugetComplet!U1870+BugetComplet!U1880+BugetComplet!U1890+BugetComplet!U1900+BugetComplet!U1910</f>
        <v>0</v>
      </c>
      <c r="H572" s="255">
        <f ca="1">BugetComplet!V1850+BugetComplet!V1860+BugetComplet!V1870+BugetComplet!V1880+BugetComplet!V1890+BugetComplet!V1900+BugetComplet!V1910</f>
        <v>2388842.872</v>
      </c>
      <c r="I572" s="958"/>
    </row>
    <row r="573" spans="1:9" ht="26.1" customHeight="1">
      <c r="A573" s="131"/>
      <c r="B573" s="169" t="s">
        <v>90</v>
      </c>
      <c r="C573" s="255">
        <f ca="1">BugetComplet!Q1851+BugetComplet!Q1861+BugetComplet!Q1871+BugetComplet!Q1881+BugetComplet!Q1891+BugetComplet!Q1901+BugetComplet!Q1911</f>
        <v>36150</v>
      </c>
      <c r="D573" s="255">
        <f ca="1">BugetComplet!R1851+BugetComplet!R1861+BugetComplet!R1871+BugetComplet!R1881+BugetComplet!R1891+BugetComplet!R1901+BugetComplet!R1911</f>
        <v>36150</v>
      </c>
      <c r="E573" s="255">
        <f ca="1">BugetComplet!S1851+BugetComplet!S1861+BugetComplet!S1871+BugetComplet!S1881+BugetComplet!S1891+BugetComplet!S1901+BugetComplet!S1911</f>
        <v>36150</v>
      </c>
      <c r="F573" s="255">
        <f ca="1">BugetComplet!T1851+BugetComplet!T1861+BugetComplet!T1871+BugetComplet!T1881+BugetComplet!T1891+BugetComplet!T1901+BugetComplet!T1911</f>
        <v>0</v>
      </c>
      <c r="G573" s="255">
        <f ca="1">BugetComplet!U1851+BugetComplet!U1861+BugetComplet!U1871+BugetComplet!U1881+BugetComplet!U1891+BugetComplet!U1901+BugetComplet!U1911</f>
        <v>0</v>
      </c>
      <c r="H573" s="255">
        <f ca="1">BugetComplet!V1851+BugetComplet!V1861+BugetComplet!V1871+BugetComplet!V1881+BugetComplet!V1891+BugetComplet!V1901+BugetComplet!V1911</f>
        <v>108450</v>
      </c>
      <c r="I573" s="958"/>
    </row>
    <row r="574" spans="1:9" ht="26.1" customHeight="1">
      <c r="A574" s="131"/>
      <c r="B574" s="169" t="s">
        <v>83</v>
      </c>
      <c r="C574" s="255">
        <f ca="1">BugetComplet!Q1852+BugetComplet!Q1862+BugetComplet!Q1872+BugetComplet!Q1882+BugetComplet!Q1892+BugetComplet!Q1902+BugetComplet!Q1912</f>
        <v>0</v>
      </c>
      <c r="D574" s="255">
        <f ca="1">BugetComplet!R1852+BugetComplet!R1862+BugetComplet!R1872+BugetComplet!R1882+BugetComplet!R1892+BugetComplet!R1902+BugetComplet!R1912</f>
        <v>0</v>
      </c>
      <c r="E574" s="255">
        <f ca="1">BugetComplet!S1852+BugetComplet!S1862+BugetComplet!S1872+BugetComplet!S1882+BugetComplet!S1892+BugetComplet!S1902+BugetComplet!S1912</f>
        <v>0</v>
      </c>
      <c r="F574" s="255">
        <f ca="1">BugetComplet!T1852+BugetComplet!T1862+BugetComplet!T1872+BugetComplet!T1882+BugetComplet!T1892+BugetComplet!T1902+BugetComplet!T1912</f>
        <v>0</v>
      </c>
      <c r="G574" s="255">
        <f ca="1">BugetComplet!U1852+BugetComplet!U1862+BugetComplet!U1872+BugetComplet!U1882+BugetComplet!U1892+BugetComplet!U1902+BugetComplet!U1912</f>
        <v>0</v>
      </c>
      <c r="H574" s="255">
        <f ca="1">BugetComplet!V1852+BugetComplet!V1862+BugetComplet!V1872+BugetComplet!V1882+BugetComplet!V1892+BugetComplet!V1902+BugetComplet!V1912</f>
        <v>0</v>
      </c>
    </row>
    <row r="575" spans="1:9" ht="26.1" customHeight="1">
      <c r="A575" s="131"/>
      <c r="B575" s="169" t="s">
        <v>84</v>
      </c>
      <c r="C575" s="255">
        <f ca="1">BugetComplet!Q1853+BugetComplet!Q1863+BugetComplet!Q1873+BugetComplet!Q1883+BugetComplet!Q1893+BugetComplet!Q1903+BugetComplet!Q1913</f>
        <v>3066620</v>
      </c>
      <c r="D575" s="255">
        <f ca="1">BugetComplet!R1853+BugetComplet!R1863+BugetComplet!R1873+BugetComplet!R1883+BugetComplet!R1893+BugetComplet!R1903+BugetComplet!R1913</f>
        <v>7040600</v>
      </c>
      <c r="E575" s="255">
        <f ca="1">BugetComplet!S1853+BugetComplet!S1863+BugetComplet!S1873+BugetComplet!S1883+BugetComplet!S1893+BugetComplet!S1903+BugetComplet!S1913</f>
        <v>0</v>
      </c>
      <c r="F575" s="255">
        <f ca="1">BugetComplet!T1853+BugetComplet!T1863+BugetComplet!T1873+BugetComplet!T1883+BugetComplet!T1893+BugetComplet!T1903+BugetComplet!T1913</f>
        <v>348500</v>
      </c>
      <c r="G575" s="255">
        <f ca="1">BugetComplet!U1853+BugetComplet!U1863+BugetComplet!U1873+BugetComplet!U1883+BugetComplet!U1893+BugetComplet!U1903+BugetComplet!U1913</f>
        <v>861000</v>
      </c>
      <c r="H575" s="255">
        <f ca="1">BugetComplet!V1853+BugetComplet!V1863+BugetComplet!V1873+BugetComplet!V1883+BugetComplet!V1893+BugetComplet!V1903+BugetComplet!V1913</f>
        <v>11316720</v>
      </c>
    </row>
    <row r="576" spans="1:9" ht="36" customHeight="1">
      <c r="A576" s="137" t="str">
        <f>BugetComplet!F$1914</f>
        <v>3.3.2</v>
      </c>
      <c r="B576" s="139" t="str">
        <f>BugetComplet!G$1914</f>
        <v>Создание и укрепление региональных лабораторий по подтверждению ВИЧ</v>
      </c>
      <c r="C576" s="257">
        <f ca="1">BugetComplet!Q$1914</f>
        <v>250078.47399999999</v>
      </c>
      <c r="D576" s="257">
        <f ca="1">BugetComplet!R$1914</f>
        <v>155572.22200000001</v>
      </c>
      <c r="E576" s="257">
        <f ca="1">BugetComplet!S$1914</f>
        <v>198079.36300000001</v>
      </c>
      <c r="F576" s="257">
        <f ca="1">BugetComplet!T$1914</f>
        <v>103013.82200000001</v>
      </c>
      <c r="G576" s="257">
        <f ca="1">BugetComplet!U$1914</f>
        <v>109348.22200000001</v>
      </c>
      <c r="H576" s="257">
        <f ca="1">BugetComplet!V$1914</f>
        <v>816092.10300000012</v>
      </c>
    </row>
    <row r="577" spans="1:9" ht="26.1" customHeight="1">
      <c r="A577" s="131"/>
      <c r="B577" s="168" t="s">
        <v>79</v>
      </c>
      <c r="C577" s="255">
        <f ca="1">BugetComplet!Q1915+BugetComplet!Q1925+BugetComplet!Q1935+BugetComplet!Q1945</f>
        <v>250078.47399999999</v>
      </c>
      <c r="D577" s="255">
        <f ca="1">BugetComplet!R1915+BugetComplet!R1925+BugetComplet!R1935+BugetComplet!R1945</f>
        <v>155572.22200000001</v>
      </c>
      <c r="E577" s="255">
        <f ca="1">BugetComplet!S1915+BugetComplet!S1925+BugetComplet!S1935+BugetComplet!S1945</f>
        <v>198079.36300000001</v>
      </c>
      <c r="F577" s="255">
        <f ca="1">BugetComplet!T1915+BugetComplet!T1925+BugetComplet!T1935+BugetComplet!T1945</f>
        <v>131140.163</v>
      </c>
      <c r="G577" s="255">
        <f ca="1">BugetComplet!U1915+BugetComplet!U1925+BugetComplet!U1935+BugetComplet!U1945</f>
        <v>137474.56300000002</v>
      </c>
      <c r="H577" s="255">
        <f ca="1">BugetComplet!V1915+BugetComplet!V1925+BugetComplet!V1935+BugetComplet!V1945</f>
        <v>872344.78500000015</v>
      </c>
    </row>
    <row r="578" spans="1:9" ht="26.1" customHeight="1">
      <c r="A578" s="131"/>
      <c r="B578" s="169" t="s">
        <v>80</v>
      </c>
      <c r="C578" s="255">
        <f ca="1">BugetComplet!Q1916+BugetComplet!Q1926+BugetComplet!Q1936+BugetComplet!Q1946</f>
        <v>250078.47399999999</v>
      </c>
      <c r="D578" s="255">
        <f ca="1">BugetComplet!R1916+BugetComplet!R1926+BugetComplet!R1936+BugetComplet!R1946</f>
        <v>155572.22200000001</v>
      </c>
      <c r="E578" s="255">
        <f ca="1">BugetComplet!S1916+BugetComplet!S1926+BugetComplet!S1936+BugetComplet!S1946</f>
        <v>198079.36300000001</v>
      </c>
      <c r="F578" s="255">
        <f ca="1">BugetComplet!T1916+BugetComplet!T1926+BugetComplet!T1936+BugetComplet!T1946</f>
        <v>103013.82200000001</v>
      </c>
      <c r="G578" s="255">
        <f ca="1">BugetComplet!U1916+BugetComplet!U1926+BugetComplet!U1936+BugetComplet!U1946</f>
        <v>109348.22200000001</v>
      </c>
      <c r="H578" s="255">
        <f ca="1">BugetComplet!V1916+BugetComplet!V1926+BugetComplet!V1936+BugetComplet!V1946</f>
        <v>816092.10300000012</v>
      </c>
    </row>
    <row r="579" spans="1:9" ht="26.1" customHeight="1">
      <c r="A579" s="131"/>
      <c r="B579" s="169" t="s">
        <v>429</v>
      </c>
      <c r="C579" s="255">
        <f ca="1">BugetComplet!Q1917+BugetComplet!Q1927+BugetComplet!Q1937+BugetComplet!Q1947</f>
        <v>0</v>
      </c>
      <c r="D579" s="255">
        <f ca="1">BugetComplet!R1917+BugetComplet!R1927+BugetComplet!R1937+BugetComplet!R1947</f>
        <v>0</v>
      </c>
      <c r="E579" s="255">
        <f ca="1">BugetComplet!S1917+BugetComplet!S1927+BugetComplet!S1937+BugetComplet!S1947</f>
        <v>0</v>
      </c>
      <c r="F579" s="255">
        <f ca="1">BugetComplet!T1917+BugetComplet!T1927+BugetComplet!T1937+BugetComplet!T1947</f>
        <v>103013.82200000001</v>
      </c>
      <c r="G579" s="255">
        <f ca="1">BugetComplet!U1917+BugetComplet!U1927+BugetComplet!U1937+BugetComplet!U1947</f>
        <v>109348.22200000001</v>
      </c>
      <c r="H579" s="255">
        <f ca="1">BugetComplet!V1917+BugetComplet!V1927+BugetComplet!V1937+BugetComplet!V1947</f>
        <v>212362.04400000002</v>
      </c>
    </row>
    <row r="580" spans="1:9" ht="26.1" customHeight="1">
      <c r="A580" s="131"/>
      <c r="B580" s="169" t="s">
        <v>133</v>
      </c>
      <c r="C580" s="255">
        <f ca="1">BugetComplet!Q1918+BugetComplet!Q1928+BugetComplet!Q1938+BugetComplet!Q1948</f>
        <v>0</v>
      </c>
      <c r="D580" s="255">
        <f ca="1">BugetComplet!R1918+BugetComplet!R1928+BugetComplet!R1938+BugetComplet!R1948</f>
        <v>0</v>
      </c>
      <c r="E580" s="255">
        <f ca="1">BugetComplet!S1918+BugetComplet!S1928+BugetComplet!S1938+BugetComplet!S1948</f>
        <v>0</v>
      </c>
      <c r="F580" s="255">
        <f ca="1">BugetComplet!T1918+BugetComplet!T1928+BugetComplet!T1938+BugetComplet!T1948</f>
        <v>0</v>
      </c>
      <c r="G580" s="255">
        <f ca="1">BugetComplet!U1918+BugetComplet!U1928+BugetComplet!U1938+BugetComplet!U1948</f>
        <v>0</v>
      </c>
      <c r="H580" s="255">
        <f ca="1">BugetComplet!V1918+BugetComplet!V1928+BugetComplet!V1938+BugetComplet!V1948</f>
        <v>0</v>
      </c>
    </row>
    <row r="581" spans="1:9" ht="26.1" customHeight="1">
      <c r="A581" s="131"/>
      <c r="B581" s="169" t="s">
        <v>81</v>
      </c>
      <c r="C581" s="255">
        <f ca="1">BugetComplet!Q1919+BugetComplet!Q1929+BugetComplet!Q1939+BugetComplet!Q1949</f>
        <v>0</v>
      </c>
      <c r="D581" s="255">
        <f ca="1">BugetComplet!R1919+BugetComplet!R1929+BugetComplet!R1939+BugetComplet!R1949</f>
        <v>0</v>
      </c>
      <c r="E581" s="255">
        <f ca="1">BugetComplet!S1919+BugetComplet!S1929+BugetComplet!S1939+BugetComplet!S1949</f>
        <v>0</v>
      </c>
      <c r="F581" s="255">
        <f ca="1">BugetComplet!T1919+BugetComplet!T1929+BugetComplet!T1939+BugetComplet!T1949</f>
        <v>0</v>
      </c>
      <c r="G581" s="255">
        <f ca="1">BugetComplet!U1919+BugetComplet!U1929+BugetComplet!U1939+BugetComplet!U1949</f>
        <v>0</v>
      </c>
      <c r="H581" s="255">
        <f ca="1">BugetComplet!V1919+BugetComplet!V1929+BugetComplet!V1939+BugetComplet!V1949</f>
        <v>0</v>
      </c>
    </row>
    <row r="582" spans="1:9" ht="26.1" customHeight="1">
      <c r="A582" s="131"/>
      <c r="B582" s="169" t="s">
        <v>134</v>
      </c>
      <c r="C582" s="255">
        <f ca="1">BugetComplet!Q1920+BugetComplet!Q1930+BugetComplet!Q1940+BugetComplet!Q1950</f>
        <v>0</v>
      </c>
      <c r="D582" s="255">
        <f ca="1">BugetComplet!R1920+BugetComplet!R1930+BugetComplet!R1940+BugetComplet!R1950</f>
        <v>0</v>
      </c>
      <c r="E582" s="255">
        <f ca="1">BugetComplet!S1920+BugetComplet!S1930+BugetComplet!S1940+BugetComplet!S1950</f>
        <v>0</v>
      </c>
      <c r="F582" s="255">
        <f ca="1">BugetComplet!T1920+BugetComplet!T1930+BugetComplet!T1940+BugetComplet!T1950</f>
        <v>0</v>
      </c>
      <c r="G582" s="255">
        <f ca="1">BugetComplet!U1920+BugetComplet!U1930+BugetComplet!U1940+BugetComplet!U1950</f>
        <v>0</v>
      </c>
      <c r="H582" s="255">
        <f ca="1">BugetComplet!V1920+BugetComplet!V1930+BugetComplet!V1940+BugetComplet!V1950</f>
        <v>0</v>
      </c>
    </row>
    <row r="583" spans="1:9" ht="26.1" customHeight="1">
      <c r="A583" s="131"/>
      <c r="B583" s="169" t="s">
        <v>82</v>
      </c>
      <c r="C583" s="255">
        <f ca="1">BugetComplet!Q1921+BugetComplet!Q1931+BugetComplet!Q1941+BugetComplet!Q1951</f>
        <v>250078.47399999999</v>
      </c>
      <c r="D583" s="255">
        <f ca="1">BugetComplet!R1921+BugetComplet!R1931+BugetComplet!R1941+BugetComplet!R1951</f>
        <v>155572.22200000001</v>
      </c>
      <c r="E583" s="255">
        <f ca="1">BugetComplet!S1921+BugetComplet!S1931+BugetComplet!S1941+BugetComplet!S1951</f>
        <v>198079.36300000001</v>
      </c>
      <c r="F583" s="255">
        <f ca="1">BugetComplet!T1921+BugetComplet!T1931+BugetComplet!T1941+BugetComplet!T1951</f>
        <v>0</v>
      </c>
      <c r="G583" s="255">
        <f ca="1">BugetComplet!U1921+BugetComplet!U1931+BugetComplet!U1941+BugetComplet!U1951</f>
        <v>0</v>
      </c>
      <c r="H583" s="255">
        <f ca="1">BugetComplet!V1921+BugetComplet!V1931+BugetComplet!V1941+BugetComplet!V1951</f>
        <v>603730.05900000012</v>
      </c>
      <c r="I583" s="958"/>
    </row>
    <row r="584" spans="1:9" ht="26.1" customHeight="1">
      <c r="A584" s="131"/>
      <c r="B584" s="169" t="s">
        <v>90</v>
      </c>
      <c r="C584" s="255">
        <f ca="1">BugetComplet!Q1922+BugetComplet!Q1932+BugetComplet!Q1942+BugetComplet!Q1952</f>
        <v>0</v>
      </c>
      <c r="D584" s="255">
        <f ca="1">BugetComplet!R1922+BugetComplet!R1932+BugetComplet!R1942+BugetComplet!R1952</f>
        <v>0</v>
      </c>
      <c r="E584" s="255">
        <f ca="1">BugetComplet!S1922+BugetComplet!S1932+BugetComplet!S1942+BugetComplet!S1952</f>
        <v>0</v>
      </c>
      <c r="F584" s="255">
        <f ca="1">BugetComplet!T1922+BugetComplet!T1932+BugetComplet!T1942+BugetComplet!T1952</f>
        <v>0</v>
      </c>
      <c r="G584" s="255">
        <f ca="1">BugetComplet!U1922+BugetComplet!U1932+BugetComplet!U1942+BugetComplet!U1952</f>
        <v>0</v>
      </c>
      <c r="H584" s="255">
        <f ca="1">BugetComplet!V1922+BugetComplet!V1932+BugetComplet!V1942+BugetComplet!V1952</f>
        <v>0</v>
      </c>
    </row>
    <row r="585" spans="1:9" ht="26.1" customHeight="1">
      <c r="A585" s="131"/>
      <c r="B585" s="169" t="s">
        <v>83</v>
      </c>
      <c r="C585" s="255">
        <f ca="1">BugetComplet!Q1923+BugetComplet!Q1933+BugetComplet!Q1943+BugetComplet!Q1953</f>
        <v>0</v>
      </c>
      <c r="D585" s="255">
        <f ca="1">BugetComplet!R1923+BugetComplet!R1933+BugetComplet!R1943+BugetComplet!R1953</f>
        <v>0</v>
      </c>
      <c r="E585" s="255">
        <f ca="1">BugetComplet!S1923+BugetComplet!S1933+BugetComplet!S1943+BugetComplet!S1953</f>
        <v>0</v>
      </c>
      <c r="F585" s="255">
        <f ca="1">BugetComplet!T1923+BugetComplet!T1933+BugetComplet!T1943+BugetComplet!T1953</f>
        <v>0</v>
      </c>
      <c r="G585" s="255">
        <f ca="1">BugetComplet!U1923+BugetComplet!U1933+BugetComplet!U1943+BugetComplet!U1953</f>
        <v>0</v>
      </c>
      <c r="H585" s="255">
        <f ca="1">BugetComplet!V1923+BugetComplet!V1933+BugetComplet!V1943+BugetComplet!V1953</f>
        <v>0</v>
      </c>
    </row>
    <row r="586" spans="1:9" ht="26.1" customHeight="1">
      <c r="A586" s="131"/>
      <c r="B586" s="169" t="s">
        <v>84</v>
      </c>
      <c r="C586" s="255">
        <f ca="1">BugetComplet!Q1924+BugetComplet!Q1934+BugetComplet!Q1944+BugetComplet!Q1954</f>
        <v>0</v>
      </c>
      <c r="D586" s="255">
        <f ca="1">BugetComplet!R1924+BugetComplet!R1934+BugetComplet!R1944+BugetComplet!R1954</f>
        <v>0</v>
      </c>
      <c r="E586" s="255">
        <f ca="1">BugetComplet!S1924+BugetComplet!S1934+BugetComplet!S1944+BugetComplet!S1954</f>
        <v>0</v>
      </c>
      <c r="F586" s="255">
        <f ca="1">BugetComplet!T1924+BugetComplet!T1934+BugetComplet!T1944+BugetComplet!T1954</f>
        <v>28126.341</v>
      </c>
      <c r="G586" s="255">
        <f ca="1">BugetComplet!U1924+BugetComplet!U1934+BugetComplet!U1944+BugetComplet!U1954</f>
        <v>28126.341</v>
      </c>
      <c r="H586" s="255">
        <f ca="1">BugetComplet!V1924+BugetComplet!V1934+BugetComplet!V1944+BugetComplet!V1954</f>
        <v>56252.682000000001</v>
      </c>
    </row>
    <row r="587" spans="1:9" ht="36" customHeight="1">
      <c r="A587" s="137" t="str">
        <f>BugetComplet!F$1955</f>
        <v>3.3.3</v>
      </c>
      <c r="B587" s="139" t="str">
        <f>BugetComplet!G$1955</f>
        <v>Обзор политик и протоколов в области тестирования на ВИЧ / ИППП</v>
      </c>
      <c r="C587" s="257">
        <f>BugetComplet!Q$1955</f>
        <v>96086</v>
      </c>
      <c r="D587" s="257">
        <f>BugetComplet!R$1955</f>
        <v>47080</v>
      </c>
      <c r="E587" s="257">
        <f>BugetComplet!S$1955</f>
        <v>21400</v>
      </c>
      <c r="F587" s="257">
        <f>BugetComplet!T$1955</f>
        <v>0</v>
      </c>
      <c r="G587" s="257">
        <f>BugetComplet!U$1955</f>
        <v>0</v>
      </c>
      <c r="H587" s="257">
        <f>BugetComplet!V$1955</f>
        <v>164566</v>
      </c>
    </row>
    <row r="588" spans="1:9" ht="26.1" customHeight="1">
      <c r="A588" s="131"/>
      <c r="B588" s="168" t="s">
        <v>79</v>
      </c>
      <c r="C588" s="255">
        <f>BugetComplet!Q1956+BugetComplet!Q1966+BugetComplet!Q1976</f>
        <v>96086</v>
      </c>
      <c r="D588" s="255">
        <f>BugetComplet!R1956+BugetComplet!R1966+BugetComplet!R1976</f>
        <v>47080</v>
      </c>
      <c r="E588" s="255">
        <f>BugetComplet!S1956+BugetComplet!S1966+BugetComplet!S1976</f>
        <v>21400</v>
      </c>
      <c r="F588" s="255">
        <f>BugetComplet!T1956+BugetComplet!T1966+BugetComplet!T1976</f>
        <v>0</v>
      </c>
      <c r="G588" s="255">
        <f>BugetComplet!U1956+BugetComplet!U1966+BugetComplet!U1976</f>
        <v>132145</v>
      </c>
      <c r="H588" s="255">
        <f>BugetComplet!V1956+BugetComplet!V1966+BugetComplet!V1976</f>
        <v>296711</v>
      </c>
    </row>
    <row r="589" spans="1:9" ht="26.1" customHeight="1">
      <c r="A589" s="131"/>
      <c r="B589" s="169" t="s">
        <v>80</v>
      </c>
      <c r="C589" s="255">
        <f>BugetComplet!Q1957+BugetComplet!Q1967+BugetComplet!Q1977</f>
        <v>96086</v>
      </c>
      <c r="D589" s="255">
        <f>BugetComplet!R1957+BugetComplet!R1967+BugetComplet!R1977</f>
        <v>47080</v>
      </c>
      <c r="E589" s="255">
        <f>BugetComplet!S1957+BugetComplet!S1967+BugetComplet!S1977</f>
        <v>21400</v>
      </c>
      <c r="F589" s="255">
        <f>BugetComplet!T1957+BugetComplet!T1967+BugetComplet!T1977</f>
        <v>0</v>
      </c>
      <c r="G589" s="255">
        <f>BugetComplet!U1957+BugetComplet!U1967+BugetComplet!U1977</f>
        <v>0</v>
      </c>
      <c r="H589" s="255">
        <f>BugetComplet!V1957+BugetComplet!V1967+BugetComplet!V1977</f>
        <v>164566</v>
      </c>
    </row>
    <row r="590" spans="1:9" ht="26.1" customHeight="1">
      <c r="A590" s="131"/>
      <c r="B590" s="169" t="s">
        <v>429</v>
      </c>
      <c r="C590" s="255">
        <f>BugetComplet!Q1958+BugetComplet!Q1968+BugetComplet!Q1978</f>
        <v>0</v>
      </c>
      <c r="D590" s="255">
        <f>BugetComplet!R1958+BugetComplet!R1968+BugetComplet!R1978</f>
        <v>0</v>
      </c>
      <c r="E590" s="255">
        <f>BugetComplet!S1958+BugetComplet!S1968+BugetComplet!S1978</f>
        <v>0</v>
      </c>
      <c r="F590" s="255">
        <f>BugetComplet!T1958+BugetComplet!T1968+BugetComplet!T1978</f>
        <v>0</v>
      </c>
      <c r="G590" s="255">
        <f>BugetComplet!U1958+BugetComplet!U1968+BugetComplet!U1978</f>
        <v>0</v>
      </c>
      <c r="H590" s="255">
        <f>BugetComplet!V1958+BugetComplet!V1968+BugetComplet!V1978</f>
        <v>0</v>
      </c>
    </row>
    <row r="591" spans="1:9" ht="26.1" customHeight="1">
      <c r="A591" s="131"/>
      <c r="B591" s="169" t="s">
        <v>133</v>
      </c>
      <c r="C591" s="255">
        <f>BugetComplet!Q1959+BugetComplet!Q1969+BugetComplet!Q1979</f>
        <v>0</v>
      </c>
      <c r="D591" s="255">
        <f>BugetComplet!R1959+BugetComplet!R1969+BugetComplet!R1979</f>
        <v>0</v>
      </c>
      <c r="E591" s="255">
        <f>BugetComplet!S1959+BugetComplet!S1969+BugetComplet!S1979</f>
        <v>0</v>
      </c>
      <c r="F591" s="255">
        <f>BugetComplet!T1959+BugetComplet!T1969+BugetComplet!T1979</f>
        <v>0</v>
      </c>
      <c r="G591" s="255">
        <f>BugetComplet!U1959+BugetComplet!U1969+BugetComplet!U1979</f>
        <v>0</v>
      </c>
      <c r="H591" s="255">
        <f>BugetComplet!V1959+BugetComplet!V1969+BugetComplet!V1979</f>
        <v>0</v>
      </c>
    </row>
    <row r="592" spans="1:9" ht="26.1" customHeight="1">
      <c r="A592" s="131"/>
      <c r="B592" s="169" t="s">
        <v>81</v>
      </c>
      <c r="C592" s="255">
        <f>BugetComplet!Q1960+BugetComplet!Q1970+BugetComplet!Q1980</f>
        <v>0</v>
      </c>
      <c r="D592" s="255">
        <f>BugetComplet!R1960+BugetComplet!R1970+BugetComplet!R1980</f>
        <v>0</v>
      </c>
      <c r="E592" s="255">
        <f>BugetComplet!S1960+BugetComplet!S1970+BugetComplet!S1980</f>
        <v>0</v>
      </c>
      <c r="F592" s="255">
        <f>BugetComplet!T1960+BugetComplet!T1970+BugetComplet!T1980</f>
        <v>0</v>
      </c>
      <c r="G592" s="255">
        <f>BugetComplet!U1960+BugetComplet!U1970+BugetComplet!U1980</f>
        <v>0</v>
      </c>
      <c r="H592" s="255">
        <f>BugetComplet!V1960+BugetComplet!V1970+BugetComplet!V1980</f>
        <v>0</v>
      </c>
    </row>
    <row r="593" spans="1:9" ht="26.1" customHeight="1">
      <c r="A593" s="131"/>
      <c r="B593" s="169" t="s">
        <v>134</v>
      </c>
      <c r="C593" s="255">
        <f>BugetComplet!Q1961+BugetComplet!Q1971+BugetComplet!Q1981</f>
        <v>0</v>
      </c>
      <c r="D593" s="255">
        <f>BugetComplet!R1961+BugetComplet!R1971+BugetComplet!R1981</f>
        <v>0</v>
      </c>
      <c r="E593" s="255">
        <f>BugetComplet!S1961+BugetComplet!S1971+BugetComplet!S1981</f>
        <v>0</v>
      </c>
      <c r="F593" s="255">
        <f>BugetComplet!T1961+BugetComplet!T1971+BugetComplet!T1981</f>
        <v>0</v>
      </c>
      <c r="G593" s="255">
        <f>BugetComplet!U1961+BugetComplet!U1971+BugetComplet!U1981</f>
        <v>0</v>
      </c>
      <c r="H593" s="255">
        <f>BugetComplet!V1961+BugetComplet!V1971+BugetComplet!V1981</f>
        <v>0</v>
      </c>
    </row>
    <row r="594" spans="1:9" ht="26.1" customHeight="1">
      <c r="A594" s="131"/>
      <c r="B594" s="169" t="s">
        <v>82</v>
      </c>
      <c r="C594" s="255">
        <f>BugetComplet!Q1962+BugetComplet!Q1972+BugetComplet!Q1982</f>
        <v>96086</v>
      </c>
      <c r="D594" s="255">
        <f>BugetComplet!R1962+BugetComplet!R1972+BugetComplet!R1982</f>
        <v>47080</v>
      </c>
      <c r="E594" s="255">
        <f>BugetComplet!S1962+BugetComplet!S1972+BugetComplet!S1982</f>
        <v>21400</v>
      </c>
      <c r="F594" s="255">
        <f>BugetComplet!T1962+BugetComplet!T1972+BugetComplet!T1982</f>
        <v>0</v>
      </c>
      <c r="G594" s="255">
        <f>BugetComplet!U1962+BugetComplet!U1972+BugetComplet!U1982</f>
        <v>0</v>
      </c>
      <c r="H594" s="255">
        <f>BugetComplet!V1962+BugetComplet!V1972+BugetComplet!V1982</f>
        <v>164566</v>
      </c>
      <c r="I594" s="958"/>
    </row>
    <row r="595" spans="1:9" ht="26.1" customHeight="1">
      <c r="A595" s="131"/>
      <c r="B595" s="169" t="s">
        <v>90</v>
      </c>
      <c r="C595" s="255">
        <f>BugetComplet!Q1963+BugetComplet!Q1973+BugetComplet!Q1983</f>
        <v>0</v>
      </c>
      <c r="D595" s="255">
        <f>BugetComplet!R1963+BugetComplet!R1973+BugetComplet!R1983</f>
        <v>0</v>
      </c>
      <c r="E595" s="255">
        <f>BugetComplet!S1963+BugetComplet!S1973+BugetComplet!S1983</f>
        <v>0</v>
      </c>
      <c r="F595" s="255">
        <f>BugetComplet!T1963+BugetComplet!T1973+BugetComplet!T1983</f>
        <v>0</v>
      </c>
      <c r="G595" s="255">
        <f>BugetComplet!U1963+BugetComplet!U1973+BugetComplet!U1983</f>
        <v>0</v>
      </c>
      <c r="H595" s="255">
        <f>BugetComplet!V1963+BugetComplet!V1973+BugetComplet!V1983</f>
        <v>0</v>
      </c>
    </row>
    <row r="596" spans="1:9" ht="26.1" customHeight="1">
      <c r="A596" s="131"/>
      <c r="B596" s="169" t="s">
        <v>83</v>
      </c>
      <c r="C596" s="255">
        <f>BugetComplet!Q1964+BugetComplet!Q1974+BugetComplet!Q1984</f>
        <v>0</v>
      </c>
      <c r="D596" s="255">
        <f>BugetComplet!R1964+BugetComplet!R1974+BugetComplet!R1984</f>
        <v>0</v>
      </c>
      <c r="E596" s="255">
        <f>BugetComplet!S1964+BugetComplet!S1974+BugetComplet!S1984</f>
        <v>0</v>
      </c>
      <c r="F596" s="255">
        <f>BugetComplet!T1964+BugetComplet!T1974+BugetComplet!T1984</f>
        <v>0</v>
      </c>
      <c r="G596" s="255">
        <f>BugetComplet!U1964+BugetComplet!U1974+BugetComplet!U1984</f>
        <v>0</v>
      </c>
      <c r="H596" s="255">
        <f>BugetComplet!V1964+BugetComplet!V1974+BugetComplet!V1984</f>
        <v>0</v>
      </c>
    </row>
    <row r="597" spans="1:9" ht="26.1" customHeight="1">
      <c r="A597" s="131"/>
      <c r="B597" s="169" t="s">
        <v>84</v>
      </c>
      <c r="C597" s="255">
        <f>BugetComplet!Q1965+BugetComplet!Q1975+BugetComplet!Q1985</f>
        <v>0</v>
      </c>
      <c r="D597" s="255">
        <f>BugetComplet!R1965+BugetComplet!R1975+BugetComplet!R1985</f>
        <v>0</v>
      </c>
      <c r="E597" s="255">
        <f>BugetComplet!S1965+BugetComplet!S1975+BugetComplet!S1985</f>
        <v>0</v>
      </c>
      <c r="F597" s="255">
        <f>BugetComplet!T1965+BugetComplet!T1975+BugetComplet!T1985</f>
        <v>0</v>
      </c>
      <c r="G597" s="255">
        <f>BugetComplet!U1965+BugetComplet!U1975+BugetComplet!U1985</f>
        <v>132145</v>
      </c>
      <c r="H597" s="255">
        <f>BugetComplet!V1965+BugetComplet!V1975+BugetComplet!V1985</f>
        <v>132145</v>
      </c>
    </row>
    <row r="598" spans="1:9" ht="36" customHeight="1">
      <c r="A598" s="137" t="str">
        <f>BugetComplet!F$1986</f>
        <v>3.3.4</v>
      </c>
      <c r="B598" s="139" t="str">
        <f>BugetComplet!G$1986</f>
        <v>Развитие человеческих ресурсов для службы тестирования на ВИЧ</v>
      </c>
      <c r="C598" s="257">
        <f ca="1">BugetComplet!Q$1986</f>
        <v>130604.20000000001</v>
      </c>
      <c r="D598" s="257">
        <f ca="1">BugetComplet!R$1986</f>
        <v>92544.299999999988</v>
      </c>
      <c r="E598" s="257">
        <f ca="1">BugetComplet!S$1986</f>
        <v>133889.09999999998</v>
      </c>
      <c r="F598" s="257">
        <f ca="1">BugetComplet!T$1986</f>
        <v>0</v>
      </c>
      <c r="G598" s="257">
        <f ca="1">BugetComplet!U$1986</f>
        <v>0</v>
      </c>
      <c r="H598" s="257">
        <f ca="1">BugetComplet!V$1986</f>
        <v>357037.6</v>
      </c>
    </row>
    <row r="599" spans="1:9" ht="26.1" customHeight="1">
      <c r="A599" s="131"/>
      <c r="B599" s="168" t="s">
        <v>79</v>
      </c>
      <c r="C599" s="255">
        <f ca="1">BugetComplet!Q1987+BugetComplet!Q1997</f>
        <v>130604.20000000001</v>
      </c>
      <c r="D599" s="255">
        <f ca="1">BugetComplet!R1987+BugetComplet!R1997</f>
        <v>92544.299999999988</v>
      </c>
      <c r="E599" s="255">
        <f ca="1">BugetComplet!S1987+BugetComplet!S1997</f>
        <v>133889.09999999998</v>
      </c>
      <c r="F599" s="255">
        <f ca="1">BugetComplet!T1987+BugetComplet!T1997</f>
        <v>92544.299999999988</v>
      </c>
      <c r="G599" s="255">
        <f ca="1">BugetComplet!U1987+BugetComplet!U1997</f>
        <v>133889.09999999998</v>
      </c>
      <c r="H599" s="255">
        <f ca="1">BugetComplet!V1987+BugetComplet!V1997</f>
        <v>583471</v>
      </c>
    </row>
    <row r="600" spans="1:9" ht="26.1" customHeight="1">
      <c r="A600" s="131"/>
      <c r="B600" s="169" t="s">
        <v>80</v>
      </c>
      <c r="C600" s="255">
        <f ca="1">BugetComplet!Q1988+BugetComplet!Q1998</f>
        <v>130604.20000000001</v>
      </c>
      <c r="D600" s="255">
        <f ca="1">BugetComplet!R1988+BugetComplet!R1998</f>
        <v>92544.299999999988</v>
      </c>
      <c r="E600" s="255">
        <f ca="1">BugetComplet!S1988+BugetComplet!S1998</f>
        <v>133889.09999999998</v>
      </c>
      <c r="F600" s="255">
        <f ca="1">BugetComplet!T1988+BugetComplet!T1998</f>
        <v>0</v>
      </c>
      <c r="G600" s="255">
        <f ca="1">BugetComplet!U1988+BugetComplet!U1998</f>
        <v>0</v>
      </c>
      <c r="H600" s="255">
        <f ca="1">BugetComplet!V1988+BugetComplet!V1998</f>
        <v>357037.6</v>
      </c>
    </row>
    <row r="601" spans="1:9" ht="26.1" customHeight="1">
      <c r="A601" s="131"/>
      <c r="B601" s="169" t="s">
        <v>429</v>
      </c>
      <c r="C601" s="255">
        <f ca="1">BugetComplet!Q1989+BugetComplet!Q1999</f>
        <v>0</v>
      </c>
      <c r="D601" s="255">
        <f ca="1">BugetComplet!R1989+BugetComplet!R1999</f>
        <v>0</v>
      </c>
      <c r="E601" s="255">
        <f ca="1">BugetComplet!S1989+BugetComplet!S1999</f>
        <v>0</v>
      </c>
      <c r="F601" s="255">
        <f>BugetComplet!T1989+BugetComplet!T1999</f>
        <v>0</v>
      </c>
      <c r="G601" s="255">
        <f>BugetComplet!U1989+BugetComplet!U1999</f>
        <v>0</v>
      </c>
      <c r="H601" s="255">
        <f ca="1">BugetComplet!V1989+BugetComplet!V1999</f>
        <v>0</v>
      </c>
    </row>
    <row r="602" spans="1:9" ht="26.1" customHeight="1">
      <c r="A602" s="131"/>
      <c r="B602" s="169" t="s">
        <v>133</v>
      </c>
      <c r="C602" s="255">
        <f ca="1">BugetComplet!Q1990+BugetComplet!Q2000</f>
        <v>0</v>
      </c>
      <c r="D602" s="255">
        <f ca="1">BugetComplet!R1990+BugetComplet!R2000</f>
        <v>0</v>
      </c>
      <c r="E602" s="255">
        <f ca="1">BugetComplet!S1990+BugetComplet!S2000</f>
        <v>0</v>
      </c>
      <c r="F602" s="255">
        <f ca="1">BugetComplet!T1990+BugetComplet!T2000</f>
        <v>0</v>
      </c>
      <c r="G602" s="255">
        <f ca="1">BugetComplet!U1990+BugetComplet!U2000</f>
        <v>0</v>
      </c>
      <c r="H602" s="255">
        <f ca="1">BugetComplet!V1990+BugetComplet!V2000</f>
        <v>0</v>
      </c>
    </row>
    <row r="603" spans="1:9" ht="26.1" customHeight="1">
      <c r="A603" s="131"/>
      <c r="B603" s="169" t="s">
        <v>81</v>
      </c>
      <c r="C603" s="255">
        <f ca="1">BugetComplet!Q1991+BugetComplet!Q2001</f>
        <v>0</v>
      </c>
      <c r="D603" s="255">
        <f ca="1">BugetComplet!R1991+BugetComplet!R2001</f>
        <v>0</v>
      </c>
      <c r="E603" s="255">
        <f ca="1">BugetComplet!S1991+BugetComplet!S2001</f>
        <v>0</v>
      </c>
      <c r="F603" s="255">
        <f ca="1">BugetComplet!T1991+BugetComplet!T2001</f>
        <v>0</v>
      </c>
      <c r="G603" s="255">
        <f ca="1">BugetComplet!U1991+BugetComplet!U2001</f>
        <v>0</v>
      </c>
      <c r="H603" s="255">
        <f ca="1">BugetComplet!V1991+BugetComplet!V2001</f>
        <v>0</v>
      </c>
    </row>
    <row r="604" spans="1:9" ht="26.1" customHeight="1">
      <c r="A604" s="131"/>
      <c r="B604" s="169" t="s">
        <v>134</v>
      </c>
      <c r="C604" s="255">
        <f ca="1">BugetComplet!Q1992+BugetComplet!Q2002</f>
        <v>0</v>
      </c>
      <c r="D604" s="255">
        <f ca="1">BugetComplet!R1992+BugetComplet!R2002</f>
        <v>0</v>
      </c>
      <c r="E604" s="255">
        <f ca="1">BugetComplet!S1992+BugetComplet!S2002</f>
        <v>0</v>
      </c>
      <c r="F604" s="255">
        <f ca="1">BugetComplet!T1992+BugetComplet!T2002</f>
        <v>0</v>
      </c>
      <c r="G604" s="255">
        <f ca="1">BugetComplet!U1992+BugetComplet!U2002</f>
        <v>0</v>
      </c>
      <c r="H604" s="255">
        <f ca="1">BugetComplet!V1992+BugetComplet!V2002</f>
        <v>0</v>
      </c>
    </row>
    <row r="605" spans="1:9" ht="26.1" customHeight="1">
      <c r="A605" s="131"/>
      <c r="B605" s="169" t="s">
        <v>82</v>
      </c>
      <c r="C605" s="255">
        <f ca="1">BugetComplet!Q1993+BugetComplet!Q2003</f>
        <v>130604.20000000001</v>
      </c>
      <c r="D605" s="255">
        <f ca="1">BugetComplet!R1993+BugetComplet!R2003</f>
        <v>92544.299999999988</v>
      </c>
      <c r="E605" s="255">
        <f ca="1">BugetComplet!S1993+BugetComplet!S2003</f>
        <v>133889.09999999998</v>
      </c>
      <c r="F605" s="255">
        <f ca="1">BugetComplet!T1993+BugetComplet!T2003</f>
        <v>0</v>
      </c>
      <c r="G605" s="255">
        <f ca="1">BugetComplet!U1993+BugetComplet!U2003</f>
        <v>0</v>
      </c>
      <c r="H605" s="255">
        <f ca="1">BugetComplet!V1993+BugetComplet!V2003</f>
        <v>357037.6</v>
      </c>
      <c r="I605" s="958"/>
    </row>
    <row r="606" spans="1:9" ht="26.1" customHeight="1">
      <c r="A606" s="131"/>
      <c r="B606" s="169" t="s">
        <v>90</v>
      </c>
      <c r="C606" s="255">
        <f ca="1">BugetComplet!Q1994+BugetComplet!Q2004</f>
        <v>0</v>
      </c>
      <c r="D606" s="255">
        <f ca="1">BugetComplet!R1994+BugetComplet!R2004</f>
        <v>0</v>
      </c>
      <c r="E606" s="255">
        <f ca="1">BugetComplet!S1994+BugetComplet!S2004</f>
        <v>0</v>
      </c>
      <c r="F606" s="255">
        <f ca="1">BugetComplet!T1994+BugetComplet!T2004</f>
        <v>0</v>
      </c>
      <c r="G606" s="255">
        <f ca="1">BugetComplet!U1994+BugetComplet!U2004</f>
        <v>0</v>
      </c>
      <c r="H606" s="255">
        <f ca="1">BugetComplet!V1994+BugetComplet!V2004</f>
        <v>0</v>
      </c>
    </row>
    <row r="607" spans="1:9" ht="26.1" customHeight="1">
      <c r="A607" s="131"/>
      <c r="B607" s="169" t="s">
        <v>83</v>
      </c>
      <c r="C607" s="255">
        <f ca="1">BugetComplet!Q1995+BugetComplet!Q2005</f>
        <v>0</v>
      </c>
      <c r="D607" s="255">
        <f ca="1">BugetComplet!R1995+BugetComplet!R2005</f>
        <v>0</v>
      </c>
      <c r="E607" s="255">
        <f ca="1">BugetComplet!S1995+BugetComplet!S2005</f>
        <v>0</v>
      </c>
      <c r="F607" s="255">
        <f ca="1">BugetComplet!T1995+BugetComplet!T2005</f>
        <v>0</v>
      </c>
      <c r="G607" s="255">
        <f ca="1">BugetComplet!U1995+BugetComplet!U2005</f>
        <v>0</v>
      </c>
      <c r="H607" s="255">
        <f ca="1">BugetComplet!V1995+BugetComplet!V2005</f>
        <v>0</v>
      </c>
    </row>
    <row r="608" spans="1:9" ht="26.1" customHeight="1">
      <c r="A608" s="131"/>
      <c r="B608" s="169" t="s">
        <v>84</v>
      </c>
      <c r="C608" s="255">
        <f ca="1">BugetComplet!Q1996+BugetComplet!Q2006</f>
        <v>0</v>
      </c>
      <c r="D608" s="255">
        <f ca="1">BugetComplet!R1996+BugetComplet!R2006</f>
        <v>0</v>
      </c>
      <c r="E608" s="255">
        <f ca="1">BugetComplet!S1996+BugetComplet!S2006</f>
        <v>0</v>
      </c>
      <c r="F608" s="255">
        <f ca="1">BugetComplet!T1996+BugetComplet!T2006</f>
        <v>92544.299999999988</v>
      </c>
      <c r="G608" s="255">
        <f ca="1">BugetComplet!U1996+BugetComplet!U2006</f>
        <v>133889.09999999998</v>
      </c>
      <c r="H608" s="255">
        <f ca="1">BugetComplet!V1996+BugetComplet!V2006</f>
        <v>226433.4</v>
      </c>
    </row>
    <row r="609" spans="1:13" ht="30">
      <c r="A609" s="129" t="str">
        <f>BugetComplet!F$2007</f>
        <v>3.4</v>
      </c>
      <c r="B609" s="128" t="str">
        <f>BugetComplet!G$2007</f>
        <v>Обеспечить эффективность внедрения программы путем инвестиции в знания и навыки, необходимые для предоставления услуг</v>
      </c>
      <c r="C609" s="256">
        <f>BugetComplet!Q$2007</f>
        <v>0</v>
      </c>
      <c r="D609" s="256">
        <f>BugetComplet!R$2007</f>
        <v>1935953.1580000001</v>
      </c>
      <c r="E609" s="256">
        <f>BugetComplet!S$2007</f>
        <v>213894</v>
      </c>
      <c r="F609" s="256">
        <f>BugetComplet!T$2007</f>
        <v>0</v>
      </c>
      <c r="G609" s="256">
        <f>BugetComplet!U$2007</f>
        <v>0</v>
      </c>
      <c r="H609" s="256">
        <f>BugetComplet!V$2007</f>
        <v>2149847.1579999998</v>
      </c>
      <c r="I609" s="258"/>
      <c r="J609" s="258"/>
      <c r="K609" s="258"/>
      <c r="L609" s="258"/>
      <c r="M609" s="258"/>
    </row>
    <row r="610" spans="1:13" ht="26.1" customHeight="1">
      <c r="A610" s="131"/>
      <c r="B610" s="168" t="s">
        <v>79</v>
      </c>
      <c r="C610" s="255">
        <f>C621+C632</f>
        <v>0</v>
      </c>
      <c r="D610" s="255">
        <f t="shared" ref="D610:H610" si="50">D621+D632</f>
        <v>1935953.1580000001</v>
      </c>
      <c r="E610" s="255">
        <f t="shared" si="50"/>
        <v>1931412</v>
      </c>
      <c r="F610" s="255">
        <f t="shared" si="50"/>
        <v>0</v>
      </c>
      <c r="G610" s="255">
        <f t="shared" si="50"/>
        <v>0</v>
      </c>
      <c r="H610" s="255">
        <f t="shared" si="50"/>
        <v>3867365.1579999998</v>
      </c>
    </row>
    <row r="611" spans="1:13" ht="26.1" customHeight="1">
      <c r="A611" s="131"/>
      <c r="B611" s="169" t="s">
        <v>80</v>
      </c>
      <c r="C611" s="255">
        <f t="shared" ref="C611:H619" si="51">C622+C633</f>
        <v>0</v>
      </c>
      <c r="D611" s="255">
        <f t="shared" si="51"/>
        <v>1935953.1580000001</v>
      </c>
      <c r="E611" s="255">
        <f t="shared" si="51"/>
        <v>213894</v>
      </c>
      <c r="F611" s="255">
        <f t="shared" si="51"/>
        <v>0</v>
      </c>
      <c r="G611" s="255">
        <f t="shared" si="51"/>
        <v>0</v>
      </c>
      <c r="H611" s="255">
        <f t="shared" si="51"/>
        <v>2149847.1579999998</v>
      </c>
    </row>
    <row r="612" spans="1:13" ht="26.1" customHeight="1">
      <c r="A612" s="131"/>
      <c r="B612" s="169" t="s">
        <v>429</v>
      </c>
      <c r="C612" s="255">
        <f t="shared" si="51"/>
        <v>0</v>
      </c>
      <c r="D612" s="255">
        <f t="shared" si="51"/>
        <v>0</v>
      </c>
      <c r="E612" s="255">
        <f t="shared" si="51"/>
        <v>0</v>
      </c>
      <c r="F612" s="255">
        <f t="shared" si="51"/>
        <v>0</v>
      </c>
      <c r="G612" s="255">
        <f t="shared" si="51"/>
        <v>0</v>
      </c>
      <c r="H612" s="255">
        <f t="shared" si="51"/>
        <v>0</v>
      </c>
    </row>
    <row r="613" spans="1:13" ht="26.1" customHeight="1">
      <c r="A613" s="131"/>
      <c r="B613" s="169" t="s">
        <v>133</v>
      </c>
      <c r="C613" s="255">
        <f t="shared" si="51"/>
        <v>0</v>
      </c>
      <c r="D613" s="255">
        <f t="shared" si="51"/>
        <v>0</v>
      </c>
      <c r="E613" s="255">
        <f t="shared" si="51"/>
        <v>0</v>
      </c>
      <c r="F613" s="255">
        <f t="shared" si="51"/>
        <v>0</v>
      </c>
      <c r="G613" s="255">
        <f t="shared" si="51"/>
        <v>0</v>
      </c>
      <c r="H613" s="255">
        <f t="shared" si="51"/>
        <v>0</v>
      </c>
    </row>
    <row r="614" spans="1:13" ht="26.1" customHeight="1">
      <c r="A614" s="131"/>
      <c r="B614" s="169" t="s">
        <v>81</v>
      </c>
      <c r="C614" s="255">
        <f t="shared" si="51"/>
        <v>0</v>
      </c>
      <c r="D614" s="255">
        <f t="shared" si="51"/>
        <v>0</v>
      </c>
      <c r="E614" s="255">
        <f t="shared" si="51"/>
        <v>0</v>
      </c>
      <c r="F614" s="255">
        <f t="shared" si="51"/>
        <v>0</v>
      </c>
      <c r="G614" s="255">
        <f t="shared" si="51"/>
        <v>0</v>
      </c>
      <c r="H614" s="255">
        <f t="shared" si="51"/>
        <v>0</v>
      </c>
    </row>
    <row r="615" spans="1:13" ht="26.1" customHeight="1">
      <c r="A615" s="131"/>
      <c r="B615" s="169" t="s">
        <v>134</v>
      </c>
      <c r="C615" s="255">
        <f t="shared" si="51"/>
        <v>0</v>
      </c>
      <c r="D615" s="255">
        <f t="shared" si="51"/>
        <v>0</v>
      </c>
      <c r="E615" s="255">
        <f t="shared" si="51"/>
        <v>0</v>
      </c>
      <c r="F615" s="255">
        <f t="shared" si="51"/>
        <v>0</v>
      </c>
      <c r="G615" s="255">
        <f t="shared" si="51"/>
        <v>0</v>
      </c>
      <c r="H615" s="255">
        <f t="shared" si="51"/>
        <v>0</v>
      </c>
    </row>
    <row r="616" spans="1:13" ht="26.1" customHeight="1">
      <c r="A616" s="131"/>
      <c r="B616" s="169" t="s">
        <v>82</v>
      </c>
      <c r="C616" s="255">
        <f t="shared" si="51"/>
        <v>0</v>
      </c>
      <c r="D616" s="255">
        <f t="shared" si="51"/>
        <v>1935953.1580000001</v>
      </c>
      <c r="E616" s="255">
        <f t="shared" si="51"/>
        <v>213894</v>
      </c>
      <c r="F616" s="255">
        <f t="shared" si="51"/>
        <v>0</v>
      </c>
      <c r="G616" s="255">
        <f t="shared" si="51"/>
        <v>0</v>
      </c>
      <c r="H616" s="255">
        <f t="shared" si="51"/>
        <v>2149847.1579999998</v>
      </c>
    </row>
    <row r="617" spans="1:13" ht="26.1" customHeight="1">
      <c r="A617" s="131"/>
      <c r="B617" s="169" t="s">
        <v>90</v>
      </c>
      <c r="C617" s="255">
        <f t="shared" si="51"/>
        <v>0</v>
      </c>
      <c r="D617" s="255">
        <f t="shared" si="51"/>
        <v>0</v>
      </c>
      <c r="E617" s="255">
        <f t="shared" si="51"/>
        <v>0</v>
      </c>
      <c r="F617" s="255">
        <f t="shared" si="51"/>
        <v>0</v>
      </c>
      <c r="G617" s="255">
        <f t="shared" si="51"/>
        <v>0</v>
      </c>
      <c r="H617" s="255">
        <f t="shared" si="51"/>
        <v>0</v>
      </c>
    </row>
    <row r="618" spans="1:13" ht="26.1" customHeight="1">
      <c r="A618" s="131"/>
      <c r="B618" s="169" t="s">
        <v>83</v>
      </c>
      <c r="C618" s="255">
        <f t="shared" si="51"/>
        <v>0</v>
      </c>
      <c r="D618" s="255">
        <f t="shared" si="51"/>
        <v>0</v>
      </c>
      <c r="E618" s="255">
        <f t="shared" si="51"/>
        <v>0</v>
      </c>
      <c r="F618" s="255">
        <f t="shared" si="51"/>
        <v>0</v>
      </c>
      <c r="G618" s="255">
        <f t="shared" si="51"/>
        <v>0</v>
      </c>
      <c r="H618" s="255">
        <f t="shared" si="51"/>
        <v>0</v>
      </c>
    </row>
    <row r="619" spans="1:13" ht="26.1" customHeight="1">
      <c r="A619" s="131"/>
      <c r="B619" s="169" t="s">
        <v>84</v>
      </c>
      <c r="C619" s="255">
        <f t="shared" si="51"/>
        <v>0</v>
      </c>
      <c r="D619" s="255">
        <f t="shared" si="51"/>
        <v>0</v>
      </c>
      <c r="E619" s="255">
        <f t="shared" si="51"/>
        <v>1717518</v>
      </c>
      <c r="F619" s="255">
        <f t="shared" si="51"/>
        <v>0</v>
      </c>
      <c r="G619" s="255">
        <f t="shared" si="51"/>
        <v>0</v>
      </c>
      <c r="H619" s="255">
        <f t="shared" si="51"/>
        <v>1717518</v>
      </c>
    </row>
    <row r="620" spans="1:13" ht="36" customHeight="1">
      <c r="A620" s="137" t="str">
        <f>BugetComplet!F$2008</f>
        <v>3.4.1</v>
      </c>
      <c r="B620" s="139" t="str">
        <f>BugetComplet!G$2008</f>
        <v>Усовершенствование государственной политики по планированию и развитию  человеческих ресурсов для выполнения программы</v>
      </c>
      <c r="C620" s="257">
        <f>BugetComplet!Q$2008</f>
        <v>0</v>
      </c>
      <c r="D620" s="257">
        <f>BugetComplet!R$2008</f>
        <v>0</v>
      </c>
      <c r="E620" s="257">
        <f>BugetComplet!S$2008</f>
        <v>133894</v>
      </c>
      <c r="F620" s="257">
        <f>BugetComplet!T$2008</f>
        <v>0</v>
      </c>
      <c r="G620" s="257">
        <f>BugetComplet!U$2008</f>
        <v>0</v>
      </c>
      <c r="H620" s="257">
        <f>BugetComplet!V$2008</f>
        <v>133894</v>
      </c>
    </row>
    <row r="621" spans="1:13" ht="26.1" customHeight="1">
      <c r="A621" s="131"/>
      <c r="B621" s="168" t="s">
        <v>79</v>
      </c>
      <c r="C621" s="255">
        <f>BugetComplet!Q2009+BugetComplet!Q2019+BugetComplet!Q2029</f>
        <v>0</v>
      </c>
      <c r="D621" s="255">
        <f>BugetComplet!R2009+BugetComplet!R2019+BugetComplet!R2029</f>
        <v>0</v>
      </c>
      <c r="E621" s="255">
        <f>BugetComplet!S2009+BugetComplet!S2019+BugetComplet!S2029</f>
        <v>205362</v>
      </c>
      <c r="F621" s="255">
        <f>BugetComplet!T2009+BugetComplet!T2019+BugetComplet!T2029</f>
        <v>0</v>
      </c>
      <c r="G621" s="255">
        <f>BugetComplet!U2009+BugetComplet!U2019+BugetComplet!U2029</f>
        <v>0</v>
      </c>
      <c r="H621" s="255">
        <f>BugetComplet!V2009+BugetComplet!V2019+BugetComplet!V2029</f>
        <v>205362</v>
      </c>
    </row>
    <row r="622" spans="1:13" ht="26.1" customHeight="1">
      <c r="A622" s="131"/>
      <c r="B622" s="169" t="s">
        <v>80</v>
      </c>
      <c r="C622" s="255">
        <f>BugetComplet!Q2010+BugetComplet!Q2020+BugetComplet!Q2030</f>
        <v>0</v>
      </c>
      <c r="D622" s="255">
        <f>BugetComplet!R2010+BugetComplet!R2020+BugetComplet!R2030</f>
        <v>0</v>
      </c>
      <c r="E622" s="255">
        <f>BugetComplet!S2010+BugetComplet!S2020+BugetComplet!S2030</f>
        <v>133894</v>
      </c>
      <c r="F622" s="255">
        <f>BugetComplet!T2010+BugetComplet!T2020+BugetComplet!T2030</f>
        <v>0</v>
      </c>
      <c r="G622" s="255">
        <f>BugetComplet!U2010+BugetComplet!U2020+BugetComplet!U2030</f>
        <v>0</v>
      </c>
      <c r="H622" s="255">
        <f>BugetComplet!V2010+BugetComplet!V2020+BugetComplet!V2030</f>
        <v>133894</v>
      </c>
    </row>
    <row r="623" spans="1:13" ht="26.1" customHeight="1">
      <c r="A623" s="131"/>
      <c r="B623" s="169" t="s">
        <v>429</v>
      </c>
      <c r="C623" s="255">
        <f>BugetComplet!Q2011+BugetComplet!Q2021+BugetComplet!Q2031</f>
        <v>0</v>
      </c>
      <c r="D623" s="255">
        <f>BugetComplet!R2011+BugetComplet!R2021+BugetComplet!R2031</f>
        <v>0</v>
      </c>
      <c r="E623" s="255">
        <f>BugetComplet!S2011+BugetComplet!S2021+BugetComplet!S2031</f>
        <v>0</v>
      </c>
      <c r="F623" s="255">
        <f>BugetComplet!T2011+BugetComplet!T2021+BugetComplet!T2031</f>
        <v>0</v>
      </c>
      <c r="G623" s="255">
        <f>BugetComplet!U2011+BugetComplet!U2021+BugetComplet!U2031</f>
        <v>0</v>
      </c>
      <c r="H623" s="255">
        <f>BugetComplet!V2011+BugetComplet!V2021+BugetComplet!V2031</f>
        <v>0</v>
      </c>
    </row>
    <row r="624" spans="1:13" ht="26.1" customHeight="1">
      <c r="A624" s="131"/>
      <c r="B624" s="169" t="s">
        <v>133</v>
      </c>
      <c r="C624" s="255">
        <f>BugetComplet!Q2012+BugetComplet!Q2022+BugetComplet!Q2032</f>
        <v>0</v>
      </c>
      <c r="D624" s="255">
        <f>BugetComplet!R2012+BugetComplet!R2022+BugetComplet!R2032</f>
        <v>0</v>
      </c>
      <c r="E624" s="255">
        <f>BugetComplet!S2012+BugetComplet!S2022+BugetComplet!S2032</f>
        <v>0</v>
      </c>
      <c r="F624" s="255">
        <f>BugetComplet!T2012+BugetComplet!T2022+BugetComplet!T2032</f>
        <v>0</v>
      </c>
      <c r="G624" s="255">
        <f>BugetComplet!U2012+BugetComplet!U2022+BugetComplet!U2032</f>
        <v>0</v>
      </c>
      <c r="H624" s="255">
        <f>BugetComplet!V2012+BugetComplet!V2022+BugetComplet!V2032</f>
        <v>0</v>
      </c>
    </row>
    <row r="625" spans="1:9" ht="26.1" customHeight="1">
      <c r="A625" s="131"/>
      <c r="B625" s="169" t="s">
        <v>81</v>
      </c>
      <c r="C625" s="255">
        <f>BugetComplet!Q2013+BugetComplet!Q2023+BugetComplet!Q2033</f>
        <v>0</v>
      </c>
      <c r="D625" s="255">
        <f>BugetComplet!R2013+BugetComplet!R2023+BugetComplet!R2033</f>
        <v>0</v>
      </c>
      <c r="E625" s="255">
        <f>BugetComplet!S2013+BugetComplet!S2023+BugetComplet!S2033</f>
        <v>0</v>
      </c>
      <c r="F625" s="255">
        <f>BugetComplet!T2013+BugetComplet!T2023+BugetComplet!T2033</f>
        <v>0</v>
      </c>
      <c r="G625" s="255">
        <f>BugetComplet!U2013+BugetComplet!U2023+BugetComplet!U2033</f>
        <v>0</v>
      </c>
      <c r="H625" s="255">
        <f>BugetComplet!V2013+BugetComplet!V2023+BugetComplet!V2033</f>
        <v>0</v>
      </c>
    </row>
    <row r="626" spans="1:9" ht="26.1" customHeight="1">
      <c r="A626" s="131"/>
      <c r="B626" s="169" t="s">
        <v>134</v>
      </c>
      <c r="C626" s="255">
        <f>BugetComplet!Q2014+BugetComplet!Q2024+BugetComplet!Q2034</f>
        <v>0</v>
      </c>
      <c r="D626" s="255">
        <f>BugetComplet!R2014+BugetComplet!R2024+BugetComplet!R2034</f>
        <v>0</v>
      </c>
      <c r="E626" s="255">
        <f>BugetComplet!S2014+BugetComplet!S2024+BugetComplet!S2034</f>
        <v>0</v>
      </c>
      <c r="F626" s="255">
        <f>BugetComplet!T2014+BugetComplet!T2024+BugetComplet!T2034</f>
        <v>0</v>
      </c>
      <c r="G626" s="255">
        <f>BugetComplet!U2014+BugetComplet!U2024+BugetComplet!U2034</f>
        <v>0</v>
      </c>
      <c r="H626" s="255">
        <f>BugetComplet!V2014+BugetComplet!V2024+BugetComplet!V2034</f>
        <v>0</v>
      </c>
    </row>
    <row r="627" spans="1:9" ht="26.1" customHeight="1">
      <c r="A627" s="131"/>
      <c r="B627" s="169" t="s">
        <v>82</v>
      </c>
      <c r="C627" s="255">
        <f>BugetComplet!Q2015+BugetComplet!Q2025+BugetComplet!Q2035</f>
        <v>0</v>
      </c>
      <c r="D627" s="255">
        <f>BugetComplet!R2015+BugetComplet!R2025+BugetComplet!R2035</f>
        <v>0</v>
      </c>
      <c r="E627" s="255">
        <f>BugetComplet!S2015+BugetComplet!S2025+BugetComplet!S2035</f>
        <v>133894</v>
      </c>
      <c r="F627" s="255">
        <f>BugetComplet!T2015+BugetComplet!T2025+BugetComplet!T2035</f>
        <v>0</v>
      </c>
      <c r="G627" s="255">
        <f>BugetComplet!U2015+BugetComplet!U2025+BugetComplet!U2035</f>
        <v>0</v>
      </c>
      <c r="H627" s="255">
        <f>BugetComplet!V2015+BugetComplet!V2025+BugetComplet!V2035</f>
        <v>133894</v>
      </c>
      <c r="I627" s="958"/>
    </row>
    <row r="628" spans="1:9" ht="26.1" customHeight="1">
      <c r="A628" s="131"/>
      <c r="B628" s="169" t="s">
        <v>90</v>
      </c>
      <c r="C628" s="255">
        <f>BugetComplet!Q2016+BugetComplet!Q2026+BugetComplet!Q2036</f>
        <v>0</v>
      </c>
      <c r="D628" s="255">
        <f>BugetComplet!R2016+BugetComplet!R2026+BugetComplet!R2036</f>
        <v>0</v>
      </c>
      <c r="E628" s="255">
        <f>BugetComplet!S2016+BugetComplet!S2026+BugetComplet!S2036</f>
        <v>0</v>
      </c>
      <c r="F628" s="255">
        <f>BugetComplet!T2016+BugetComplet!T2026+BugetComplet!T2036</f>
        <v>0</v>
      </c>
      <c r="G628" s="255">
        <f>BugetComplet!U2016+BugetComplet!U2026+BugetComplet!U2036</f>
        <v>0</v>
      </c>
      <c r="H628" s="255">
        <f>BugetComplet!V2016+BugetComplet!V2026+BugetComplet!V2036</f>
        <v>0</v>
      </c>
    </row>
    <row r="629" spans="1:9" ht="26.1" customHeight="1">
      <c r="A629" s="131"/>
      <c r="B629" s="169" t="s">
        <v>83</v>
      </c>
      <c r="C629" s="255">
        <f>BugetComplet!Q2017+BugetComplet!Q2027+BugetComplet!Q2037</f>
        <v>0</v>
      </c>
      <c r="D629" s="255">
        <f>BugetComplet!R2017+BugetComplet!R2027+BugetComplet!R2037</f>
        <v>0</v>
      </c>
      <c r="E629" s="255">
        <f>BugetComplet!S2017+BugetComplet!S2027+BugetComplet!S2037</f>
        <v>0</v>
      </c>
      <c r="F629" s="255">
        <f>BugetComplet!T2017+BugetComplet!T2027+BugetComplet!T2037</f>
        <v>0</v>
      </c>
      <c r="G629" s="255">
        <f>BugetComplet!U2017+BugetComplet!U2027+BugetComplet!U2037</f>
        <v>0</v>
      </c>
      <c r="H629" s="255">
        <f>BugetComplet!V2017+BugetComplet!V2027+BugetComplet!V2037</f>
        <v>0</v>
      </c>
    </row>
    <row r="630" spans="1:9" ht="26.1" customHeight="1">
      <c r="A630" s="131"/>
      <c r="B630" s="169" t="s">
        <v>84</v>
      </c>
      <c r="C630" s="255">
        <f>BugetComplet!Q2018+BugetComplet!Q2028+BugetComplet!Q2038</f>
        <v>0</v>
      </c>
      <c r="D630" s="255">
        <f>BugetComplet!R2018+BugetComplet!R2028+BugetComplet!R2038</f>
        <v>0</v>
      </c>
      <c r="E630" s="255">
        <f>BugetComplet!S2018+BugetComplet!S2028+BugetComplet!S2038</f>
        <v>71468</v>
      </c>
      <c r="F630" s="255">
        <f>BugetComplet!T2018+BugetComplet!T2028+BugetComplet!T2038</f>
        <v>0</v>
      </c>
      <c r="G630" s="255">
        <f>BugetComplet!U2018+BugetComplet!U2028+BugetComplet!U2038</f>
        <v>0</v>
      </c>
      <c r="H630" s="255">
        <f>BugetComplet!V2018+BugetComplet!V2028+BugetComplet!V2038</f>
        <v>71468</v>
      </c>
    </row>
    <row r="631" spans="1:9" ht="36" customHeight="1">
      <c r="A631" s="137" t="str">
        <f>BugetComplet!F$2039</f>
        <v>3.4.2</v>
      </c>
      <c r="B631" s="139" t="str">
        <f>BugetComplet!G$2039</f>
        <v>Оперативное управление человеческими ресурсами и обеспечение непрерывного профессионального развития</v>
      </c>
      <c r="C631" s="257">
        <f>BugetComplet!Q$2039</f>
        <v>0</v>
      </c>
      <c r="D631" s="257">
        <f>BugetComplet!R$2039</f>
        <v>1935953.1580000001</v>
      </c>
      <c r="E631" s="257">
        <f>BugetComplet!S$2039</f>
        <v>80000</v>
      </c>
      <c r="F631" s="257">
        <f>BugetComplet!T$2039</f>
        <v>0</v>
      </c>
      <c r="G631" s="257">
        <f>BugetComplet!U$2039</f>
        <v>0</v>
      </c>
      <c r="H631" s="257">
        <f>BugetComplet!V$2039</f>
        <v>2015953.1580000001</v>
      </c>
    </row>
    <row r="632" spans="1:9" ht="26.1" customHeight="1">
      <c r="A632" s="131"/>
      <c r="B632" s="168" t="s">
        <v>79</v>
      </c>
      <c r="C632" s="255">
        <f>BugetComplet!Q2040+BugetComplet!Q2050+BugetComplet!Q2060</f>
        <v>0</v>
      </c>
      <c r="D632" s="255">
        <f>BugetComplet!R2040+BugetComplet!R2050+BugetComplet!R2060</f>
        <v>1935953.1580000001</v>
      </c>
      <c r="E632" s="255">
        <f>BugetComplet!S2040+BugetComplet!S2050+BugetComplet!S2060</f>
        <v>1726050</v>
      </c>
      <c r="F632" s="255">
        <f>BugetComplet!T2040+BugetComplet!T2050+BugetComplet!T2060</f>
        <v>0</v>
      </c>
      <c r="G632" s="255">
        <f>BugetComplet!U2040+BugetComplet!U2050+BugetComplet!U2060</f>
        <v>0</v>
      </c>
      <c r="H632" s="255">
        <f>BugetComplet!V2040+BugetComplet!V2050+BugetComplet!V2060</f>
        <v>3662003.1579999998</v>
      </c>
    </row>
    <row r="633" spans="1:9" ht="26.1" customHeight="1">
      <c r="A633" s="131"/>
      <c r="B633" s="169" t="s">
        <v>80</v>
      </c>
      <c r="C633" s="255">
        <f>BugetComplet!Q2041+BugetComplet!Q2051+BugetComplet!Q2061</f>
        <v>0</v>
      </c>
      <c r="D633" s="255">
        <f>BugetComplet!R2041+BugetComplet!R2051+BugetComplet!R2061</f>
        <v>1935953.1580000001</v>
      </c>
      <c r="E633" s="255">
        <f>BugetComplet!S2041+BugetComplet!S2051+BugetComplet!S2061</f>
        <v>80000</v>
      </c>
      <c r="F633" s="255">
        <f>BugetComplet!T2041+BugetComplet!T2051+BugetComplet!T2061</f>
        <v>0</v>
      </c>
      <c r="G633" s="255">
        <f>BugetComplet!U2041+BugetComplet!U2051+BugetComplet!U2061</f>
        <v>0</v>
      </c>
      <c r="H633" s="255">
        <f>BugetComplet!V2041+BugetComplet!V2051+BugetComplet!V2061</f>
        <v>2015953.1580000001</v>
      </c>
    </row>
    <row r="634" spans="1:9" ht="26.1" customHeight="1">
      <c r="A634" s="131"/>
      <c r="B634" s="169" t="s">
        <v>429</v>
      </c>
      <c r="C634" s="255">
        <f>BugetComplet!Q2042+BugetComplet!Q2052+BugetComplet!Q2062</f>
        <v>0</v>
      </c>
      <c r="D634" s="255">
        <f>BugetComplet!R2042+BugetComplet!R2052+BugetComplet!R2062</f>
        <v>0</v>
      </c>
      <c r="E634" s="255">
        <f>BugetComplet!S2042+BugetComplet!S2052+BugetComplet!S2062</f>
        <v>0</v>
      </c>
      <c r="F634" s="255">
        <f>BugetComplet!T2042+BugetComplet!T2052+BugetComplet!T2062</f>
        <v>0</v>
      </c>
      <c r="G634" s="255">
        <f>BugetComplet!U2042+BugetComplet!U2052+BugetComplet!U2062</f>
        <v>0</v>
      </c>
      <c r="H634" s="255">
        <f>BugetComplet!V2042+BugetComplet!V2052+BugetComplet!V2062</f>
        <v>0</v>
      </c>
    </row>
    <row r="635" spans="1:9" ht="26.1" customHeight="1">
      <c r="A635" s="131"/>
      <c r="B635" s="169" t="s">
        <v>133</v>
      </c>
      <c r="C635" s="255">
        <f>BugetComplet!Q2043+BugetComplet!Q2053+BugetComplet!Q2063</f>
        <v>0</v>
      </c>
      <c r="D635" s="255">
        <f>BugetComplet!R2043+BugetComplet!R2053+BugetComplet!R2063</f>
        <v>0</v>
      </c>
      <c r="E635" s="255">
        <f>BugetComplet!S2043+BugetComplet!S2053+BugetComplet!S2063</f>
        <v>0</v>
      </c>
      <c r="F635" s="255">
        <f>BugetComplet!T2043+BugetComplet!T2053+BugetComplet!T2063</f>
        <v>0</v>
      </c>
      <c r="G635" s="255">
        <f>BugetComplet!U2043+BugetComplet!U2053+BugetComplet!U2063</f>
        <v>0</v>
      </c>
      <c r="H635" s="255">
        <f>BugetComplet!V2043+BugetComplet!V2053+BugetComplet!V2063</f>
        <v>0</v>
      </c>
    </row>
    <row r="636" spans="1:9" ht="26.1" customHeight="1">
      <c r="A636" s="131"/>
      <c r="B636" s="169" t="s">
        <v>81</v>
      </c>
      <c r="C636" s="255">
        <f>BugetComplet!Q2044+BugetComplet!Q2054+BugetComplet!Q2064</f>
        <v>0</v>
      </c>
      <c r="D636" s="255">
        <f>BugetComplet!R2044+BugetComplet!R2054+BugetComplet!R2064</f>
        <v>0</v>
      </c>
      <c r="E636" s="255">
        <f>BugetComplet!S2044+BugetComplet!S2054+BugetComplet!S2064</f>
        <v>0</v>
      </c>
      <c r="F636" s="255">
        <f>BugetComplet!T2044+BugetComplet!T2054+BugetComplet!T2064</f>
        <v>0</v>
      </c>
      <c r="G636" s="255">
        <f>BugetComplet!U2044+BugetComplet!U2054+BugetComplet!U2064</f>
        <v>0</v>
      </c>
      <c r="H636" s="255">
        <f>BugetComplet!V2044+BugetComplet!V2054+BugetComplet!V2064</f>
        <v>0</v>
      </c>
    </row>
    <row r="637" spans="1:9" ht="26.1" customHeight="1">
      <c r="A637" s="131"/>
      <c r="B637" s="169" t="s">
        <v>134</v>
      </c>
      <c r="C637" s="255">
        <f>BugetComplet!Q2045+BugetComplet!Q2055+BugetComplet!Q2065</f>
        <v>0</v>
      </c>
      <c r="D637" s="255">
        <f>BugetComplet!R2045+BugetComplet!R2055+BugetComplet!R2065</f>
        <v>0</v>
      </c>
      <c r="E637" s="255">
        <f>BugetComplet!S2045+BugetComplet!S2055+BugetComplet!S2065</f>
        <v>0</v>
      </c>
      <c r="F637" s="255">
        <f>BugetComplet!T2045+BugetComplet!T2055+BugetComplet!T2065</f>
        <v>0</v>
      </c>
      <c r="G637" s="255">
        <f>BugetComplet!U2045+BugetComplet!U2055+BugetComplet!U2065</f>
        <v>0</v>
      </c>
      <c r="H637" s="255">
        <f>BugetComplet!V2045+BugetComplet!V2055+BugetComplet!V2065</f>
        <v>0</v>
      </c>
    </row>
    <row r="638" spans="1:9" ht="26.1" customHeight="1">
      <c r="A638" s="131"/>
      <c r="B638" s="169" t="s">
        <v>82</v>
      </c>
      <c r="C638" s="255">
        <f>BugetComplet!Q2046+BugetComplet!Q2056+BugetComplet!Q2066</f>
        <v>0</v>
      </c>
      <c r="D638" s="255">
        <f>BugetComplet!R2046+BugetComplet!R2056+BugetComplet!R2066</f>
        <v>1935953.1580000001</v>
      </c>
      <c r="E638" s="255">
        <f>BugetComplet!S2046+BugetComplet!S2056+BugetComplet!S2066</f>
        <v>80000</v>
      </c>
      <c r="F638" s="255">
        <f>BugetComplet!T2046+BugetComplet!T2056+BugetComplet!T2066</f>
        <v>0</v>
      </c>
      <c r="G638" s="255">
        <f>BugetComplet!U2046+BugetComplet!U2056+BugetComplet!U2066</f>
        <v>0</v>
      </c>
      <c r="H638" s="255">
        <f>BugetComplet!V2046+BugetComplet!V2056+BugetComplet!V2066</f>
        <v>2015953.1580000001</v>
      </c>
      <c r="I638" s="958"/>
    </row>
    <row r="639" spans="1:9" ht="26.1" customHeight="1">
      <c r="A639" s="131"/>
      <c r="B639" s="169" t="s">
        <v>90</v>
      </c>
      <c r="C639" s="255">
        <f>BugetComplet!Q2047+BugetComplet!Q2057+BugetComplet!Q2067</f>
        <v>0</v>
      </c>
      <c r="D639" s="255">
        <f>BugetComplet!R2047+BugetComplet!R2057+BugetComplet!R2067</f>
        <v>0</v>
      </c>
      <c r="E639" s="255">
        <f>BugetComplet!S2047+BugetComplet!S2057+BugetComplet!S2067</f>
        <v>0</v>
      </c>
      <c r="F639" s="255">
        <f>BugetComplet!T2047+BugetComplet!T2057+BugetComplet!T2067</f>
        <v>0</v>
      </c>
      <c r="G639" s="255">
        <f>BugetComplet!U2047+BugetComplet!U2057+BugetComplet!U2067</f>
        <v>0</v>
      </c>
      <c r="H639" s="255">
        <f>BugetComplet!V2047+BugetComplet!V2057+BugetComplet!V2067</f>
        <v>0</v>
      </c>
    </row>
    <row r="640" spans="1:9" ht="26.1" customHeight="1">
      <c r="A640" s="131"/>
      <c r="B640" s="169" t="s">
        <v>83</v>
      </c>
      <c r="C640" s="255">
        <f>BugetComplet!Q2048+BugetComplet!Q2058+BugetComplet!Q2068</f>
        <v>0</v>
      </c>
      <c r="D640" s="255">
        <f>BugetComplet!R2048+BugetComplet!R2058+BugetComplet!R2068</f>
        <v>0</v>
      </c>
      <c r="E640" s="255">
        <f>BugetComplet!S2048+BugetComplet!S2058+BugetComplet!S2068</f>
        <v>0</v>
      </c>
      <c r="F640" s="255">
        <f>BugetComplet!T2048+BugetComplet!T2058+BugetComplet!T2068</f>
        <v>0</v>
      </c>
      <c r="G640" s="255">
        <f>BugetComplet!U2048+BugetComplet!U2058+BugetComplet!U2068</f>
        <v>0</v>
      </c>
      <c r="H640" s="255">
        <f>BugetComplet!V2048+BugetComplet!V2058+BugetComplet!V2068</f>
        <v>0</v>
      </c>
    </row>
    <row r="641" spans="1:13" ht="26.1" customHeight="1">
      <c r="A641" s="131"/>
      <c r="B641" s="169" t="s">
        <v>84</v>
      </c>
      <c r="C641" s="255">
        <f>BugetComplet!Q2049+BugetComplet!Q2059+BugetComplet!Q2069</f>
        <v>0</v>
      </c>
      <c r="D641" s="255">
        <f>BugetComplet!R2049+BugetComplet!R2059+BugetComplet!R2069</f>
        <v>0</v>
      </c>
      <c r="E641" s="255">
        <f>BugetComplet!S2049+BugetComplet!S2059+BugetComplet!S2069</f>
        <v>1646050</v>
      </c>
      <c r="F641" s="255">
        <f>BugetComplet!T2049+BugetComplet!T2059+BugetComplet!T2069</f>
        <v>0</v>
      </c>
      <c r="G641" s="255">
        <f>BugetComplet!U2049+BugetComplet!U2059+BugetComplet!U2069</f>
        <v>0</v>
      </c>
      <c r="H641" s="255">
        <f>BugetComplet!V2049+BugetComplet!V2059+BugetComplet!V2069</f>
        <v>1646050</v>
      </c>
    </row>
    <row r="642" spans="1:13" ht="30">
      <c r="A642" s="129" t="str">
        <f>BugetComplet!F$2070</f>
        <v>3.5</v>
      </c>
      <c r="B642" s="128" t="str">
        <f>BugetComplet!G$2070</f>
        <v>Устранить барьеры для внедрения технологии (диагностика, лаборатория), лекарственные препараты и усиление системы снабжения. (УСЗ)</v>
      </c>
      <c r="C642" s="256">
        <f>BugetComplet!Q$2070</f>
        <v>0</v>
      </c>
      <c r="D642" s="256">
        <f>BugetComplet!R$2070</f>
        <v>131788.29999999999</v>
      </c>
      <c r="E642" s="256">
        <f>BugetComplet!S$2070</f>
        <v>40000</v>
      </c>
      <c r="F642" s="256">
        <f>BugetComplet!T$2070</f>
        <v>0</v>
      </c>
      <c r="G642" s="256">
        <f>BugetComplet!U$2070</f>
        <v>0</v>
      </c>
      <c r="H642" s="256">
        <f>BugetComplet!V$2070</f>
        <v>171788.3</v>
      </c>
      <c r="I642" s="258"/>
      <c r="J642" s="258"/>
      <c r="K642" s="258"/>
      <c r="L642" s="258"/>
      <c r="M642" s="258"/>
    </row>
    <row r="643" spans="1:13" ht="26.1" customHeight="1">
      <c r="A643" s="131"/>
      <c r="B643" s="168" t="s">
        <v>79</v>
      </c>
      <c r="C643" s="255">
        <f>C654</f>
        <v>0</v>
      </c>
      <c r="D643" s="255">
        <f t="shared" ref="D643:H643" si="52">D654</f>
        <v>171788.3</v>
      </c>
      <c r="E643" s="255">
        <f t="shared" si="52"/>
        <v>228473.38</v>
      </c>
      <c r="F643" s="255">
        <f t="shared" si="52"/>
        <v>0</v>
      </c>
      <c r="G643" s="255">
        <f t="shared" si="52"/>
        <v>0</v>
      </c>
      <c r="H643" s="255">
        <f t="shared" si="52"/>
        <v>400261.68</v>
      </c>
    </row>
    <row r="644" spans="1:13" ht="26.1" customHeight="1">
      <c r="A644" s="131"/>
      <c r="B644" s="169" t="s">
        <v>80</v>
      </c>
      <c r="C644" s="255">
        <f t="shared" ref="C644:H652" si="53">C655</f>
        <v>0</v>
      </c>
      <c r="D644" s="255">
        <f t="shared" si="53"/>
        <v>131788.29999999999</v>
      </c>
      <c r="E644" s="255">
        <f t="shared" si="53"/>
        <v>40000</v>
      </c>
      <c r="F644" s="255">
        <f t="shared" si="53"/>
        <v>0</v>
      </c>
      <c r="G644" s="255">
        <f t="shared" si="53"/>
        <v>0</v>
      </c>
      <c r="H644" s="255">
        <f t="shared" si="53"/>
        <v>171788.3</v>
      </c>
    </row>
    <row r="645" spans="1:13" ht="26.1" customHeight="1">
      <c r="A645" s="131"/>
      <c r="B645" s="169" t="s">
        <v>429</v>
      </c>
      <c r="C645" s="255">
        <f t="shared" si="53"/>
        <v>0</v>
      </c>
      <c r="D645" s="255">
        <f t="shared" si="53"/>
        <v>0</v>
      </c>
      <c r="E645" s="255">
        <f t="shared" si="53"/>
        <v>0</v>
      </c>
      <c r="F645" s="255">
        <f t="shared" si="53"/>
        <v>0</v>
      </c>
      <c r="G645" s="255">
        <f t="shared" si="53"/>
        <v>0</v>
      </c>
      <c r="H645" s="255">
        <f t="shared" si="53"/>
        <v>0</v>
      </c>
    </row>
    <row r="646" spans="1:13" ht="26.1" customHeight="1">
      <c r="A646" s="131"/>
      <c r="B646" s="169" t="s">
        <v>133</v>
      </c>
      <c r="C646" s="255">
        <f t="shared" si="53"/>
        <v>0</v>
      </c>
      <c r="D646" s="255">
        <f t="shared" si="53"/>
        <v>0</v>
      </c>
      <c r="E646" s="255">
        <f t="shared" si="53"/>
        <v>0</v>
      </c>
      <c r="F646" s="255">
        <f t="shared" si="53"/>
        <v>0</v>
      </c>
      <c r="G646" s="255">
        <f t="shared" si="53"/>
        <v>0</v>
      </c>
      <c r="H646" s="255">
        <f t="shared" si="53"/>
        <v>0</v>
      </c>
    </row>
    <row r="647" spans="1:13" ht="26.1" customHeight="1">
      <c r="A647" s="131"/>
      <c r="B647" s="169" t="s">
        <v>81</v>
      </c>
      <c r="C647" s="255">
        <f t="shared" si="53"/>
        <v>0</v>
      </c>
      <c r="D647" s="255">
        <f t="shared" si="53"/>
        <v>0</v>
      </c>
      <c r="E647" s="255">
        <f t="shared" si="53"/>
        <v>0</v>
      </c>
      <c r="F647" s="255">
        <f t="shared" si="53"/>
        <v>0</v>
      </c>
      <c r="G647" s="255">
        <f t="shared" si="53"/>
        <v>0</v>
      </c>
      <c r="H647" s="255">
        <f t="shared" si="53"/>
        <v>0</v>
      </c>
    </row>
    <row r="648" spans="1:13" ht="26.1" customHeight="1">
      <c r="A648" s="131"/>
      <c r="B648" s="169" t="s">
        <v>134</v>
      </c>
      <c r="C648" s="255">
        <f t="shared" si="53"/>
        <v>0</v>
      </c>
      <c r="D648" s="255">
        <f t="shared" si="53"/>
        <v>0</v>
      </c>
      <c r="E648" s="255">
        <f t="shared" si="53"/>
        <v>0</v>
      </c>
      <c r="F648" s="255">
        <f t="shared" si="53"/>
        <v>0</v>
      </c>
      <c r="G648" s="255">
        <f t="shared" si="53"/>
        <v>0</v>
      </c>
      <c r="H648" s="255">
        <f t="shared" si="53"/>
        <v>0</v>
      </c>
    </row>
    <row r="649" spans="1:13" ht="26.1" customHeight="1">
      <c r="A649" s="131"/>
      <c r="B649" s="169" t="s">
        <v>82</v>
      </c>
      <c r="C649" s="255">
        <f t="shared" si="53"/>
        <v>0</v>
      </c>
      <c r="D649" s="255">
        <f t="shared" si="53"/>
        <v>131788.29999999999</v>
      </c>
      <c r="E649" s="255">
        <f t="shared" si="53"/>
        <v>40000</v>
      </c>
      <c r="F649" s="255">
        <f t="shared" si="53"/>
        <v>0</v>
      </c>
      <c r="G649" s="255">
        <f t="shared" si="53"/>
        <v>0</v>
      </c>
      <c r="H649" s="255">
        <f t="shared" si="53"/>
        <v>171788.3</v>
      </c>
    </row>
    <row r="650" spans="1:13" ht="26.1" customHeight="1">
      <c r="A650" s="131"/>
      <c r="B650" s="169" t="s">
        <v>90</v>
      </c>
      <c r="C650" s="255">
        <f t="shared" si="53"/>
        <v>0</v>
      </c>
      <c r="D650" s="255">
        <f t="shared" si="53"/>
        <v>0</v>
      </c>
      <c r="E650" s="255">
        <f t="shared" si="53"/>
        <v>0</v>
      </c>
      <c r="F650" s="255">
        <f t="shared" si="53"/>
        <v>0</v>
      </c>
      <c r="G650" s="255">
        <f t="shared" si="53"/>
        <v>0</v>
      </c>
      <c r="H650" s="255">
        <f t="shared" si="53"/>
        <v>0</v>
      </c>
    </row>
    <row r="651" spans="1:13" ht="26.1" customHeight="1">
      <c r="A651" s="131"/>
      <c r="B651" s="169" t="s">
        <v>83</v>
      </c>
      <c r="C651" s="255">
        <f t="shared" si="53"/>
        <v>0</v>
      </c>
      <c r="D651" s="255">
        <f t="shared" si="53"/>
        <v>0</v>
      </c>
      <c r="E651" s="255">
        <f t="shared" si="53"/>
        <v>0</v>
      </c>
      <c r="F651" s="255">
        <f t="shared" si="53"/>
        <v>0</v>
      </c>
      <c r="G651" s="255">
        <f t="shared" si="53"/>
        <v>0</v>
      </c>
      <c r="H651" s="255">
        <f t="shared" si="53"/>
        <v>0</v>
      </c>
    </row>
    <row r="652" spans="1:13" ht="26.1" customHeight="1">
      <c r="A652" s="131"/>
      <c r="B652" s="169" t="s">
        <v>84</v>
      </c>
      <c r="C652" s="255">
        <f t="shared" si="53"/>
        <v>0</v>
      </c>
      <c r="D652" s="255">
        <f t="shared" si="53"/>
        <v>40000</v>
      </c>
      <c r="E652" s="255">
        <f t="shared" si="53"/>
        <v>188473.38</v>
      </c>
      <c r="F652" s="255">
        <f t="shared" si="53"/>
        <v>0</v>
      </c>
      <c r="G652" s="255">
        <f t="shared" si="53"/>
        <v>0</v>
      </c>
      <c r="H652" s="255">
        <f t="shared" si="53"/>
        <v>228473.38</v>
      </c>
    </row>
    <row r="653" spans="1:13" ht="36" customHeight="1">
      <c r="A653" s="137" t="str">
        <f>BugetComplet!F$2071</f>
        <v>3.5.1</v>
      </c>
      <c r="B653" s="139" t="str">
        <f>BugetComplet!G$2071</f>
        <v>Укрепление правовой базы и разработка стандартов для усиления системы снабжения</v>
      </c>
      <c r="C653" s="257">
        <f>BugetComplet!Q$2071</f>
        <v>0</v>
      </c>
      <c r="D653" s="257">
        <f>BugetComplet!R$2071</f>
        <v>131788.29999999999</v>
      </c>
      <c r="E653" s="257">
        <f>BugetComplet!S$2071</f>
        <v>40000</v>
      </c>
      <c r="F653" s="257">
        <f>BugetComplet!T$2071</f>
        <v>0</v>
      </c>
      <c r="G653" s="257">
        <f>BugetComplet!U$2071</f>
        <v>0</v>
      </c>
      <c r="H653" s="257">
        <f>BugetComplet!V$2071</f>
        <v>171788.3</v>
      </c>
    </row>
    <row r="654" spans="1:13" ht="26.1" customHeight="1">
      <c r="A654" s="131"/>
      <c r="B654" s="168" t="s">
        <v>79</v>
      </c>
      <c r="C654" s="255">
        <f>BugetComplet!Q2072+BugetComplet!Q2082+BugetComplet!Q2092+BugetComplet!Q2102+BugetComplet!Q2112+BugetComplet!Q2122+BugetComplet!Q2132</f>
        <v>0</v>
      </c>
      <c r="D654" s="255">
        <f>BugetComplet!R2072+BugetComplet!R2082+BugetComplet!R2092+BugetComplet!R2102+BugetComplet!R2112+BugetComplet!R2122+BugetComplet!R2132</f>
        <v>171788.3</v>
      </c>
      <c r="E654" s="255">
        <f>BugetComplet!S2072+BugetComplet!S2082+BugetComplet!S2092+BugetComplet!S2102+BugetComplet!S2112+BugetComplet!S2122+BugetComplet!S2132</f>
        <v>228473.38</v>
      </c>
      <c r="F654" s="255">
        <f>BugetComplet!T2072+BugetComplet!T2082+BugetComplet!T2092+BugetComplet!T2102+BugetComplet!T2112+BugetComplet!T2122+BugetComplet!T2132</f>
        <v>0</v>
      </c>
      <c r="G654" s="255">
        <f>BugetComplet!U2072+BugetComplet!U2082+BugetComplet!U2092+BugetComplet!U2102+BugetComplet!U2112+BugetComplet!U2122+BugetComplet!U2132</f>
        <v>0</v>
      </c>
      <c r="H654" s="255">
        <f>BugetComplet!V2072+BugetComplet!V2082+BugetComplet!V2092+BugetComplet!V2102+BugetComplet!V2112+BugetComplet!V2122+BugetComplet!V2132</f>
        <v>400261.68</v>
      </c>
    </row>
    <row r="655" spans="1:13" ht="26.1" customHeight="1">
      <c r="A655" s="131"/>
      <c r="B655" s="169" t="s">
        <v>80</v>
      </c>
      <c r="C655" s="255">
        <f>BugetComplet!Q2073+BugetComplet!Q2083+BugetComplet!Q2093+BugetComplet!Q2103+BugetComplet!Q2113+BugetComplet!Q2123+BugetComplet!Q2133</f>
        <v>0</v>
      </c>
      <c r="D655" s="255">
        <f>BugetComplet!R2073+BugetComplet!R2083+BugetComplet!R2093+BugetComplet!R2103+BugetComplet!R2113+BugetComplet!R2123+BugetComplet!R2133</f>
        <v>131788.29999999999</v>
      </c>
      <c r="E655" s="255">
        <f>BugetComplet!S2073+BugetComplet!S2083+BugetComplet!S2093+BugetComplet!S2103+BugetComplet!S2113+BugetComplet!S2123+BugetComplet!S2133</f>
        <v>40000</v>
      </c>
      <c r="F655" s="255">
        <f>BugetComplet!T2073+BugetComplet!T2083+BugetComplet!T2093+BugetComplet!T2103+BugetComplet!T2113+BugetComplet!T2123+BugetComplet!T2133</f>
        <v>0</v>
      </c>
      <c r="G655" s="255">
        <f>BugetComplet!U2073+BugetComplet!U2083+BugetComplet!U2093+BugetComplet!U2103+BugetComplet!U2113+BugetComplet!U2123+BugetComplet!U2133</f>
        <v>0</v>
      </c>
      <c r="H655" s="255">
        <f>BugetComplet!V2073+BugetComplet!V2083+BugetComplet!V2093+BugetComplet!V2103+BugetComplet!V2113+BugetComplet!V2123+BugetComplet!V2133</f>
        <v>171788.3</v>
      </c>
    </row>
    <row r="656" spans="1:13" ht="26.1" customHeight="1">
      <c r="A656" s="131"/>
      <c r="B656" s="169" t="s">
        <v>429</v>
      </c>
      <c r="C656" s="255">
        <f>BugetComplet!Q2074+BugetComplet!Q2084+BugetComplet!Q2094+BugetComplet!Q2104+BugetComplet!Q2114+BugetComplet!Q2124+BugetComplet!Q2134</f>
        <v>0</v>
      </c>
      <c r="D656" s="255">
        <f>BugetComplet!R2074+BugetComplet!R2084+BugetComplet!R2094+BugetComplet!R2104+BugetComplet!R2114+BugetComplet!R2124+BugetComplet!R2134</f>
        <v>0</v>
      </c>
      <c r="E656" s="255">
        <f>BugetComplet!S2074+BugetComplet!S2084+BugetComplet!S2094+BugetComplet!S2104+BugetComplet!S2114+BugetComplet!S2124+BugetComplet!S2134</f>
        <v>0</v>
      </c>
      <c r="F656" s="255">
        <f>BugetComplet!T2074+BugetComplet!T2084+BugetComplet!T2094+BugetComplet!T2104+BugetComplet!T2114+BugetComplet!T2124+BugetComplet!T2134</f>
        <v>0</v>
      </c>
      <c r="G656" s="255">
        <f>BugetComplet!U2074+BugetComplet!U2084+BugetComplet!U2094+BugetComplet!U2104+BugetComplet!U2114+BugetComplet!U2124+BugetComplet!U2134</f>
        <v>0</v>
      </c>
      <c r="H656" s="255">
        <f>BugetComplet!V2074+BugetComplet!V2084+BugetComplet!V2094+BugetComplet!V2104+BugetComplet!V2114+BugetComplet!V2124+BugetComplet!V2134</f>
        <v>0</v>
      </c>
    </row>
    <row r="657" spans="1:13" ht="26.1" customHeight="1">
      <c r="A657" s="131"/>
      <c r="B657" s="169" t="s">
        <v>133</v>
      </c>
      <c r="C657" s="255">
        <f>BugetComplet!Q2075+BugetComplet!Q2085+BugetComplet!Q2095+BugetComplet!Q2105+BugetComplet!Q2115+BugetComplet!Q2125+BugetComplet!Q2135</f>
        <v>0</v>
      </c>
      <c r="D657" s="255">
        <f>BugetComplet!R2075+BugetComplet!R2085+BugetComplet!R2095+BugetComplet!R2105+BugetComplet!R2115+BugetComplet!R2125+BugetComplet!R2135</f>
        <v>0</v>
      </c>
      <c r="E657" s="255">
        <f>BugetComplet!S2075+BugetComplet!S2085+BugetComplet!S2095+BugetComplet!S2105+BugetComplet!S2115+BugetComplet!S2125+BugetComplet!S2135</f>
        <v>0</v>
      </c>
      <c r="F657" s="255">
        <f>BugetComplet!T2075+BugetComplet!T2085+BugetComplet!T2095+BugetComplet!T2105+BugetComplet!T2115+BugetComplet!T2125+BugetComplet!T2135</f>
        <v>0</v>
      </c>
      <c r="G657" s="255">
        <f>BugetComplet!U2075+BugetComplet!U2085+BugetComplet!U2095+BugetComplet!U2105+BugetComplet!U2115+BugetComplet!U2125+BugetComplet!U2135</f>
        <v>0</v>
      </c>
      <c r="H657" s="255">
        <f>BugetComplet!V2075+BugetComplet!V2085+BugetComplet!V2095+BugetComplet!V2105+BugetComplet!V2115+BugetComplet!V2125+BugetComplet!V2135</f>
        <v>0</v>
      </c>
    </row>
    <row r="658" spans="1:13" ht="26.1" customHeight="1">
      <c r="A658" s="131"/>
      <c r="B658" s="169" t="s">
        <v>81</v>
      </c>
      <c r="C658" s="255">
        <f>BugetComplet!Q2076+BugetComplet!Q2086+BugetComplet!Q2096+BugetComplet!Q2106+BugetComplet!Q2116+BugetComplet!Q2126+BugetComplet!Q2136</f>
        <v>0</v>
      </c>
      <c r="D658" s="255">
        <f>BugetComplet!R2076+BugetComplet!R2086+BugetComplet!R2096+BugetComplet!R2106+BugetComplet!R2116+BugetComplet!R2126+BugetComplet!R2136</f>
        <v>0</v>
      </c>
      <c r="E658" s="255">
        <f>BugetComplet!S2076+BugetComplet!S2086+BugetComplet!S2096+BugetComplet!S2106+BugetComplet!S2116+BugetComplet!S2126+BugetComplet!S2136</f>
        <v>0</v>
      </c>
      <c r="F658" s="255">
        <f>BugetComplet!T2076+BugetComplet!T2086+BugetComplet!T2096+BugetComplet!T2106+BugetComplet!T2116+BugetComplet!T2126+BugetComplet!T2136</f>
        <v>0</v>
      </c>
      <c r="G658" s="255">
        <f>BugetComplet!U2076+BugetComplet!U2086+BugetComplet!U2096+BugetComplet!U2106+BugetComplet!U2116+BugetComplet!U2126+BugetComplet!U2136</f>
        <v>0</v>
      </c>
      <c r="H658" s="255">
        <f>BugetComplet!V2076+BugetComplet!V2086+BugetComplet!V2096+BugetComplet!V2106+BugetComplet!V2116+BugetComplet!V2126+BugetComplet!V2136</f>
        <v>0</v>
      </c>
    </row>
    <row r="659" spans="1:13" ht="26.1" customHeight="1">
      <c r="A659" s="131"/>
      <c r="B659" s="169" t="s">
        <v>134</v>
      </c>
      <c r="C659" s="255">
        <f>BugetComplet!Q2077+BugetComplet!Q2087+BugetComplet!Q2097+BugetComplet!Q2107+BugetComplet!Q2117+BugetComplet!Q2127+BugetComplet!Q2137</f>
        <v>0</v>
      </c>
      <c r="D659" s="255">
        <f>BugetComplet!R2077+BugetComplet!R2087+BugetComplet!R2097+BugetComplet!R2107+BugetComplet!R2117+BugetComplet!R2127+BugetComplet!R2137</f>
        <v>0</v>
      </c>
      <c r="E659" s="255">
        <f>BugetComplet!S2077+BugetComplet!S2087+BugetComplet!S2097+BugetComplet!S2107+BugetComplet!S2117+BugetComplet!S2127+BugetComplet!S2137</f>
        <v>0</v>
      </c>
      <c r="F659" s="255">
        <f>BugetComplet!T2077+BugetComplet!T2087+BugetComplet!T2097+BugetComplet!T2107+BugetComplet!T2117+BugetComplet!T2127+BugetComplet!T2137</f>
        <v>0</v>
      </c>
      <c r="G659" s="255">
        <f>BugetComplet!U2077+BugetComplet!U2087+BugetComplet!U2097+BugetComplet!U2107+BugetComplet!U2117+BugetComplet!U2127+BugetComplet!U2137</f>
        <v>0</v>
      </c>
      <c r="H659" s="255">
        <f>BugetComplet!V2077+BugetComplet!V2087+BugetComplet!V2097+BugetComplet!V2107+BugetComplet!V2117+BugetComplet!V2127+BugetComplet!V2137</f>
        <v>0</v>
      </c>
    </row>
    <row r="660" spans="1:13" ht="26.1" customHeight="1">
      <c r="A660" s="131"/>
      <c r="B660" s="169" t="s">
        <v>82</v>
      </c>
      <c r="C660" s="255">
        <f>BugetComplet!Q2078+BugetComplet!Q2088+BugetComplet!Q2098+BugetComplet!Q2108+BugetComplet!Q2118+BugetComplet!Q2128+BugetComplet!Q2138</f>
        <v>0</v>
      </c>
      <c r="D660" s="255">
        <f>BugetComplet!R2078+BugetComplet!R2088+BugetComplet!R2098+BugetComplet!R2108+BugetComplet!R2118+BugetComplet!R2128+BugetComplet!R2138</f>
        <v>131788.29999999999</v>
      </c>
      <c r="E660" s="255">
        <f>BugetComplet!S2078+BugetComplet!S2088+BugetComplet!S2098+BugetComplet!S2108+BugetComplet!S2118+BugetComplet!S2128+BugetComplet!S2138</f>
        <v>40000</v>
      </c>
      <c r="F660" s="255">
        <f>BugetComplet!T2078+BugetComplet!T2088+BugetComplet!T2098+BugetComplet!T2108+BugetComplet!T2118+BugetComplet!T2128+BugetComplet!T2138</f>
        <v>0</v>
      </c>
      <c r="G660" s="255">
        <f>BugetComplet!U2078+BugetComplet!U2088+BugetComplet!U2098+BugetComplet!U2108+BugetComplet!U2118+BugetComplet!U2128+BugetComplet!U2138</f>
        <v>0</v>
      </c>
      <c r="H660" s="255">
        <f>BugetComplet!V2078+BugetComplet!V2088+BugetComplet!V2098+BugetComplet!V2108+BugetComplet!V2118+BugetComplet!V2128+BugetComplet!V2138</f>
        <v>171788.3</v>
      </c>
    </row>
    <row r="661" spans="1:13" ht="26.1" customHeight="1">
      <c r="A661" s="131"/>
      <c r="B661" s="169" t="s">
        <v>90</v>
      </c>
      <c r="C661" s="255">
        <f>BugetComplet!Q2079+BugetComplet!Q2089+BugetComplet!Q2099+BugetComplet!Q2109+BugetComplet!Q2119+BugetComplet!Q2129+BugetComplet!Q2139</f>
        <v>0</v>
      </c>
      <c r="D661" s="255">
        <f>BugetComplet!R2079+BugetComplet!R2089+BugetComplet!R2099+BugetComplet!R2109+BugetComplet!R2119+BugetComplet!R2129+BugetComplet!R2139</f>
        <v>0</v>
      </c>
      <c r="E661" s="255">
        <f>BugetComplet!S2079+BugetComplet!S2089+BugetComplet!S2099+BugetComplet!S2109+BugetComplet!S2119+BugetComplet!S2129+BugetComplet!S2139</f>
        <v>0</v>
      </c>
      <c r="F661" s="255">
        <f>BugetComplet!T2079+BugetComplet!T2089+BugetComplet!T2099+BugetComplet!T2109+BugetComplet!T2119+BugetComplet!T2129+BugetComplet!T2139</f>
        <v>0</v>
      </c>
      <c r="G661" s="255">
        <f>BugetComplet!U2079+BugetComplet!U2089+BugetComplet!U2099+BugetComplet!U2109+BugetComplet!U2119+BugetComplet!U2129+BugetComplet!U2139</f>
        <v>0</v>
      </c>
      <c r="H661" s="255">
        <f>BugetComplet!V2079+BugetComplet!V2089+BugetComplet!V2099+BugetComplet!V2109+BugetComplet!V2119+BugetComplet!V2129+BugetComplet!V2139</f>
        <v>0</v>
      </c>
    </row>
    <row r="662" spans="1:13" ht="26.1" customHeight="1">
      <c r="A662" s="131"/>
      <c r="B662" s="169" t="s">
        <v>83</v>
      </c>
      <c r="C662" s="255">
        <f>BugetComplet!Q2080+BugetComplet!Q2090+BugetComplet!Q2100+BugetComplet!Q2110+BugetComplet!Q2120+BugetComplet!Q2130+BugetComplet!Q2140</f>
        <v>0</v>
      </c>
      <c r="D662" s="255">
        <f>BugetComplet!R2080+BugetComplet!R2090+BugetComplet!R2100+BugetComplet!R2110+BugetComplet!R2120+BugetComplet!R2130+BugetComplet!R2140</f>
        <v>0</v>
      </c>
      <c r="E662" s="255">
        <f>BugetComplet!S2080+BugetComplet!S2090+BugetComplet!S2100+BugetComplet!S2110+BugetComplet!S2120+BugetComplet!S2130+BugetComplet!S2140</f>
        <v>0</v>
      </c>
      <c r="F662" s="255">
        <f>BugetComplet!T2080+BugetComplet!T2090+BugetComplet!T2100+BugetComplet!T2110+BugetComplet!T2120+BugetComplet!T2130+BugetComplet!T2140</f>
        <v>0</v>
      </c>
      <c r="G662" s="255">
        <f>BugetComplet!U2080+BugetComplet!U2090+BugetComplet!U2100+BugetComplet!U2110+BugetComplet!U2120+BugetComplet!U2130+BugetComplet!U2140</f>
        <v>0</v>
      </c>
      <c r="H662" s="255">
        <f>BugetComplet!V2080+BugetComplet!V2090+BugetComplet!V2100+BugetComplet!V2110+BugetComplet!V2120+BugetComplet!V2130+BugetComplet!V2140</f>
        <v>0</v>
      </c>
    </row>
    <row r="663" spans="1:13" ht="26.1" customHeight="1">
      <c r="A663" s="131"/>
      <c r="B663" s="169" t="s">
        <v>84</v>
      </c>
      <c r="C663" s="255">
        <f>BugetComplet!Q2081+BugetComplet!Q2091+BugetComplet!Q2101+BugetComplet!Q2111+BugetComplet!Q2121+BugetComplet!Q2131+BugetComplet!Q2141</f>
        <v>0</v>
      </c>
      <c r="D663" s="255">
        <f>BugetComplet!R2081+BugetComplet!R2091+BugetComplet!R2101+BugetComplet!R2111+BugetComplet!R2121+BugetComplet!R2131+BugetComplet!R2141</f>
        <v>40000</v>
      </c>
      <c r="E663" s="255">
        <f>BugetComplet!S2081+BugetComplet!S2091+BugetComplet!S2101+BugetComplet!S2111+BugetComplet!S2121+BugetComplet!S2131+BugetComplet!S2141</f>
        <v>188473.38</v>
      </c>
      <c r="F663" s="255">
        <f>BugetComplet!T2081+BugetComplet!T2091+BugetComplet!T2101+BugetComplet!T2111+BugetComplet!T2121+BugetComplet!T2131+BugetComplet!T2141</f>
        <v>0</v>
      </c>
      <c r="G663" s="255">
        <f>BugetComplet!U2081+BugetComplet!U2091+BugetComplet!U2101+BugetComplet!U2111+BugetComplet!U2121+BugetComplet!U2131+BugetComplet!U2141</f>
        <v>0</v>
      </c>
      <c r="H663" s="255">
        <f>BugetComplet!V2081+BugetComplet!V2091+BugetComplet!V2101+BugetComplet!V2111+BugetComplet!V2121+BugetComplet!V2131+BugetComplet!V2141</f>
        <v>228473.38</v>
      </c>
    </row>
    <row r="664" spans="1:13" ht="30">
      <c r="A664" s="129" t="str">
        <f>BugetComplet!F$2142</f>
        <v>3.6</v>
      </c>
      <c r="B664" s="128" t="str">
        <f>BugetComplet!G$2142</f>
        <v>Поддерживать адвокацию , коммуникацию и социальную мобилизацию гражданского общества путем укрепления системы сообществ</v>
      </c>
      <c r="C664" s="256">
        <f>BugetComplet!Q$2142</f>
        <v>1015842.6</v>
      </c>
      <c r="D664" s="256">
        <f>BugetComplet!R$2142</f>
        <v>1070842.6000000001</v>
      </c>
      <c r="E664" s="256">
        <f>BugetComplet!S$2142</f>
        <v>920842.6</v>
      </c>
      <c r="F664" s="256">
        <f>BugetComplet!T$2142</f>
        <v>0</v>
      </c>
      <c r="G664" s="256">
        <f>BugetComplet!U$2142</f>
        <v>0</v>
      </c>
      <c r="H664" s="256">
        <f>BugetComplet!V$2142</f>
        <v>3007527.8000000003</v>
      </c>
      <c r="I664" s="258"/>
      <c r="J664" s="258"/>
      <c r="K664" s="258"/>
      <c r="L664" s="258"/>
      <c r="M664" s="258"/>
    </row>
    <row r="665" spans="1:13" ht="26.1" customHeight="1">
      <c r="A665" s="131"/>
      <c r="B665" s="168" t="s">
        <v>79</v>
      </c>
      <c r="C665" s="255">
        <f>C676+C687</f>
        <v>1015842.6</v>
      </c>
      <c r="D665" s="255">
        <f t="shared" ref="D665:H665" si="54">D676+D687</f>
        <v>1070842.6000000001</v>
      </c>
      <c r="E665" s="255">
        <f t="shared" si="54"/>
        <v>920842.6</v>
      </c>
      <c r="F665" s="255">
        <f t="shared" si="54"/>
        <v>920842.6</v>
      </c>
      <c r="G665" s="255">
        <f t="shared" si="54"/>
        <v>920842.6</v>
      </c>
      <c r="H665" s="255">
        <f t="shared" si="54"/>
        <v>4849213</v>
      </c>
    </row>
    <row r="666" spans="1:13" ht="26.1" customHeight="1">
      <c r="A666" s="131"/>
      <c r="B666" s="169" t="s">
        <v>80</v>
      </c>
      <c r="C666" s="255">
        <f t="shared" ref="C666:H674" si="55">C677+C688</f>
        <v>1015842.6</v>
      </c>
      <c r="D666" s="255">
        <f t="shared" si="55"/>
        <v>1070842.6000000001</v>
      </c>
      <c r="E666" s="255">
        <f t="shared" si="55"/>
        <v>920842.6</v>
      </c>
      <c r="F666" s="255">
        <f t="shared" si="55"/>
        <v>0</v>
      </c>
      <c r="G666" s="255">
        <f t="shared" si="55"/>
        <v>0</v>
      </c>
      <c r="H666" s="255">
        <f t="shared" si="55"/>
        <v>3007527.8</v>
      </c>
    </row>
    <row r="667" spans="1:13" ht="26.1" customHeight="1">
      <c r="A667" s="131"/>
      <c r="B667" s="169" t="s">
        <v>429</v>
      </c>
      <c r="C667" s="255">
        <f t="shared" si="55"/>
        <v>0</v>
      </c>
      <c r="D667" s="255">
        <f t="shared" si="55"/>
        <v>0</v>
      </c>
      <c r="E667" s="255">
        <f t="shared" si="55"/>
        <v>0</v>
      </c>
      <c r="F667" s="255">
        <f t="shared" si="55"/>
        <v>0</v>
      </c>
      <c r="G667" s="255">
        <f t="shared" si="55"/>
        <v>0</v>
      </c>
      <c r="H667" s="255">
        <f t="shared" si="55"/>
        <v>0</v>
      </c>
    </row>
    <row r="668" spans="1:13" ht="26.1" customHeight="1">
      <c r="A668" s="131"/>
      <c r="B668" s="169" t="s">
        <v>133</v>
      </c>
      <c r="C668" s="255">
        <f t="shared" si="55"/>
        <v>0</v>
      </c>
      <c r="D668" s="255">
        <f t="shared" si="55"/>
        <v>0</v>
      </c>
      <c r="E668" s="255">
        <f t="shared" si="55"/>
        <v>0</v>
      </c>
      <c r="F668" s="255">
        <f t="shared" si="55"/>
        <v>0</v>
      </c>
      <c r="G668" s="255">
        <f t="shared" si="55"/>
        <v>0</v>
      </c>
      <c r="H668" s="255">
        <f t="shared" si="55"/>
        <v>0</v>
      </c>
    </row>
    <row r="669" spans="1:13" ht="26.1" customHeight="1">
      <c r="A669" s="131"/>
      <c r="B669" s="169" t="s">
        <v>81</v>
      </c>
      <c r="C669" s="255">
        <f t="shared" si="55"/>
        <v>0</v>
      </c>
      <c r="D669" s="255">
        <f t="shared" si="55"/>
        <v>0</v>
      </c>
      <c r="E669" s="255">
        <f t="shared" si="55"/>
        <v>0</v>
      </c>
      <c r="F669" s="255">
        <f t="shared" si="55"/>
        <v>0</v>
      </c>
      <c r="G669" s="255">
        <f t="shared" si="55"/>
        <v>0</v>
      </c>
      <c r="H669" s="255">
        <f t="shared" si="55"/>
        <v>0</v>
      </c>
    </row>
    <row r="670" spans="1:13" ht="26.1" customHeight="1">
      <c r="A670" s="131"/>
      <c r="B670" s="169" t="s">
        <v>134</v>
      </c>
      <c r="C670" s="255">
        <f t="shared" si="55"/>
        <v>0</v>
      </c>
      <c r="D670" s="255">
        <f t="shared" si="55"/>
        <v>0</v>
      </c>
      <c r="E670" s="255">
        <f t="shared" si="55"/>
        <v>0</v>
      </c>
      <c r="F670" s="255">
        <f t="shared" si="55"/>
        <v>0</v>
      </c>
      <c r="G670" s="255">
        <f t="shared" si="55"/>
        <v>0</v>
      </c>
      <c r="H670" s="255">
        <f t="shared" si="55"/>
        <v>0</v>
      </c>
    </row>
    <row r="671" spans="1:13" ht="26.1" customHeight="1">
      <c r="A671" s="131"/>
      <c r="B671" s="169" t="s">
        <v>82</v>
      </c>
      <c r="C671" s="255">
        <f t="shared" si="55"/>
        <v>1015842.6</v>
      </c>
      <c r="D671" s="255">
        <f t="shared" si="55"/>
        <v>1070842.6000000001</v>
      </c>
      <c r="E671" s="255">
        <f t="shared" si="55"/>
        <v>920842.6</v>
      </c>
      <c r="F671" s="255">
        <f t="shared" si="55"/>
        <v>0</v>
      </c>
      <c r="G671" s="255">
        <f t="shared" si="55"/>
        <v>0</v>
      </c>
      <c r="H671" s="255">
        <f t="shared" si="55"/>
        <v>3007527.8</v>
      </c>
      <c r="I671" s="958"/>
    </row>
    <row r="672" spans="1:13" ht="26.1" customHeight="1">
      <c r="A672" s="131"/>
      <c r="B672" s="169" t="s">
        <v>90</v>
      </c>
      <c r="C672" s="255">
        <f t="shared" si="55"/>
        <v>0</v>
      </c>
      <c r="D672" s="255">
        <f t="shared" si="55"/>
        <v>0</v>
      </c>
      <c r="E672" s="255">
        <f t="shared" si="55"/>
        <v>0</v>
      </c>
      <c r="F672" s="255">
        <f t="shared" si="55"/>
        <v>0</v>
      </c>
      <c r="G672" s="255">
        <f t="shared" si="55"/>
        <v>0</v>
      </c>
      <c r="H672" s="255">
        <f t="shared" si="55"/>
        <v>0</v>
      </c>
    </row>
    <row r="673" spans="1:9" ht="26.1" customHeight="1">
      <c r="A673" s="131"/>
      <c r="B673" s="169" t="s">
        <v>83</v>
      </c>
      <c r="C673" s="255">
        <f t="shared" si="55"/>
        <v>0</v>
      </c>
      <c r="D673" s="255">
        <f t="shared" si="55"/>
        <v>0</v>
      </c>
      <c r="E673" s="255">
        <f t="shared" si="55"/>
        <v>0</v>
      </c>
      <c r="F673" s="255">
        <f t="shared" si="55"/>
        <v>0</v>
      </c>
      <c r="G673" s="255">
        <f t="shared" si="55"/>
        <v>0</v>
      </c>
      <c r="H673" s="255">
        <f t="shared" si="55"/>
        <v>0</v>
      </c>
    </row>
    <row r="674" spans="1:9" ht="26.1" customHeight="1">
      <c r="A674" s="131"/>
      <c r="B674" s="169" t="s">
        <v>84</v>
      </c>
      <c r="C674" s="255">
        <f t="shared" si="55"/>
        <v>0</v>
      </c>
      <c r="D674" s="255">
        <f t="shared" si="55"/>
        <v>0</v>
      </c>
      <c r="E674" s="255">
        <f t="shared" si="55"/>
        <v>0</v>
      </c>
      <c r="F674" s="255">
        <f t="shared" si="55"/>
        <v>920842.6</v>
      </c>
      <c r="G674" s="255">
        <f t="shared" si="55"/>
        <v>920842.6</v>
      </c>
      <c r="H674" s="255">
        <f t="shared" si="55"/>
        <v>1841685.2</v>
      </c>
    </row>
    <row r="675" spans="1:9" ht="36" customHeight="1">
      <c r="A675" s="137" t="str">
        <f>BugetComplet!F$2143</f>
        <v>3.6.1</v>
      </c>
      <c r="B675" s="139" t="str">
        <f>BugetComplet!G$2143</f>
        <v xml:space="preserve"> Укрепить институциональный и организационный  потенциал НПО, работающих с ключевыми группами населения</v>
      </c>
      <c r="C675" s="257">
        <f>BugetComplet!Q$2143</f>
        <v>140000</v>
      </c>
      <c r="D675" s="257">
        <f>BugetComplet!R$2143</f>
        <v>315000</v>
      </c>
      <c r="E675" s="257">
        <f>BugetComplet!S$2143</f>
        <v>225000</v>
      </c>
      <c r="F675" s="257">
        <f>BugetComplet!T$2143</f>
        <v>0</v>
      </c>
      <c r="G675" s="257">
        <f>BugetComplet!U$2143</f>
        <v>0</v>
      </c>
      <c r="H675" s="257">
        <f>BugetComplet!V$2143</f>
        <v>680000</v>
      </c>
    </row>
    <row r="676" spans="1:9" ht="26.1" customHeight="1">
      <c r="A676" s="131"/>
      <c r="B676" s="168" t="s">
        <v>79</v>
      </c>
      <c r="C676" s="255">
        <f>BugetComplet!Q2144+BugetComplet!Q2154</f>
        <v>140000</v>
      </c>
      <c r="D676" s="255">
        <f>BugetComplet!R2144+BugetComplet!R2154</f>
        <v>315000</v>
      </c>
      <c r="E676" s="255">
        <f>BugetComplet!S2144+BugetComplet!S2154</f>
        <v>225000</v>
      </c>
      <c r="F676" s="255">
        <f>BugetComplet!T2144+BugetComplet!T2154</f>
        <v>225000</v>
      </c>
      <c r="G676" s="255">
        <f>BugetComplet!U2144+BugetComplet!U2154</f>
        <v>225000</v>
      </c>
      <c r="H676" s="255">
        <f>BugetComplet!V2144+BugetComplet!V2154</f>
        <v>1130000</v>
      </c>
    </row>
    <row r="677" spans="1:9" ht="26.1" customHeight="1">
      <c r="A677" s="131"/>
      <c r="B677" s="169" t="s">
        <v>80</v>
      </c>
      <c r="C677" s="255">
        <f>BugetComplet!Q2145+BugetComplet!Q2155</f>
        <v>140000</v>
      </c>
      <c r="D677" s="255">
        <f>BugetComplet!R2145+BugetComplet!R2155</f>
        <v>315000</v>
      </c>
      <c r="E677" s="255">
        <f>BugetComplet!S2145+BugetComplet!S2155</f>
        <v>225000</v>
      </c>
      <c r="F677" s="255">
        <f>BugetComplet!T2145+BugetComplet!T2155</f>
        <v>0</v>
      </c>
      <c r="G677" s="255">
        <f>BugetComplet!U2145+BugetComplet!U2155</f>
        <v>0</v>
      </c>
      <c r="H677" s="255">
        <f>BugetComplet!V2145+BugetComplet!V2155</f>
        <v>680000</v>
      </c>
    </row>
    <row r="678" spans="1:9" ht="26.1" customHeight="1">
      <c r="A678" s="131"/>
      <c r="B678" s="169" t="s">
        <v>429</v>
      </c>
      <c r="C678" s="255">
        <f>BugetComplet!Q2146+BugetComplet!Q2156</f>
        <v>0</v>
      </c>
      <c r="D678" s="255">
        <f>BugetComplet!R2146+BugetComplet!R2156</f>
        <v>0</v>
      </c>
      <c r="E678" s="255">
        <f>BugetComplet!S2146+BugetComplet!S2156</f>
        <v>0</v>
      </c>
      <c r="F678" s="255">
        <f>BugetComplet!T2146+BugetComplet!T2156</f>
        <v>0</v>
      </c>
      <c r="G678" s="255">
        <f>BugetComplet!U2146+BugetComplet!U2156</f>
        <v>0</v>
      </c>
      <c r="H678" s="255">
        <f>BugetComplet!V2146+BugetComplet!V2156</f>
        <v>0</v>
      </c>
    </row>
    <row r="679" spans="1:9" ht="26.1" customHeight="1">
      <c r="A679" s="131"/>
      <c r="B679" s="169" t="s">
        <v>133</v>
      </c>
      <c r="C679" s="255">
        <f>BugetComplet!Q2147+BugetComplet!Q2157</f>
        <v>0</v>
      </c>
      <c r="D679" s="255">
        <f>BugetComplet!R2147+BugetComplet!R2157</f>
        <v>0</v>
      </c>
      <c r="E679" s="255">
        <f>BugetComplet!S2147+BugetComplet!S2157</f>
        <v>0</v>
      </c>
      <c r="F679" s="255">
        <f>BugetComplet!T2147+BugetComplet!T2157</f>
        <v>0</v>
      </c>
      <c r="G679" s="255">
        <f>BugetComplet!U2147+BugetComplet!U2157</f>
        <v>0</v>
      </c>
      <c r="H679" s="255">
        <f>BugetComplet!V2147+BugetComplet!V2157</f>
        <v>0</v>
      </c>
    </row>
    <row r="680" spans="1:9" ht="26.1" customHeight="1">
      <c r="A680" s="131"/>
      <c r="B680" s="169" t="s">
        <v>81</v>
      </c>
      <c r="C680" s="255">
        <f>BugetComplet!Q2148+BugetComplet!Q2158</f>
        <v>0</v>
      </c>
      <c r="D680" s="255">
        <f>BugetComplet!R2148+BugetComplet!R2158</f>
        <v>0</v>
      </c>
      <c r="E680" s="255">
        <f>BugetComplet!S2148+BugetComplet!S2158</f>
        <v>0</v>
      </c>
      <c r="F680" s="255">
        <f>BugetComplet!T2148+BugetComplet!T2158</f>
        <v>0</v>
      </c>
      <c r="G680" s="255">
        <f>BugetComplet!U2148+BugetComplet!U2158</f>
        <v>0</v>
      </c>
      <c r="H680" s="255">
        <f>BugetComplet!V2148+BugetComplet!V2158</f>
        <v>0</v>
      </c>
    </row>
    <row r="681" spans="1:9" ht="26.1" customHeight="1">
      <c r="A681" s="131"/>
      <c r="B681" s="169" t="s">
        <v>134</v>
      </c>
      <c r="C681" s="255">
        <f>BugetComplet!Q2149+BugetComplet!Q2159</f>
        <v>0</v>
      </c>
      <c r="D681" s="255">
        <f>BugetComplet!R2149+BugetComplet!R2159</f>
        <v>0</v>
      </c>
      <c r="E681" s="255">
        <f>BugetComplet!S2149+BugetComplet!S2159</f>
        <v>0</v>
      </c>
      <c r="F681" s="255">
        <f>BugetComplet!T2149+BugetComplet!T2159</f>
        <v>0</v>
      </c>
      <c r="G681" s="255">
        <f>BugetComplet!U2149+BugetComplet!U2159</f>
        <v>0</v>
      </c>
      <c r="H681" s="255">
        <f>BugetComplet!V2149+BugetComplet!V2159</f>
        <v>0</v>
      </c>
    </row>
    <row r="682" spans="1:9" ht="26.1" customHeight="1">
      <c r="A682" s="131"/>
      <c r="B682" s="169" t="s">
        <v>82</v>
      </c>
      <c r="C682" s="255">
        <f>BugetComplet!Q2150+BugetComplet!Q2160</f>
        <v>140000</v>
      </c>
      <c r="D682" s="255">
        <f>BugetComplet!R2150+BugetComplet!R2160</f>
        <v>315000</v>
      </c>
      <c r="E682" s="255">
        <f>BugetComplet!S2150+BugetComplet!S2160</f>
        <v>225000</v>
      </c>
      <c r="F682" s="255">
        <f>BugetComplet!T2150+BugetComplet!T2160</f>
        <v>0</v>
      </c>
      <c r="G682" s="255">
        <f>BugetComplet!U2150+BugetComplet!U2160</f>
        <v>0</v>
      </c>
      <c r="H682" s="255">
        <f>BugetComplet!V2150+BugetComplet!V2160</f>
        <v>680000</v>
      </c>
      <c r="I682" s="958"/>
    </row>
    <row r="683" spans="1:9" ht="26.1" customHeight="1">
      <c r="A683" s="131"/>
      <c r="B683" s="169" t="s">
        <v>90</v>
      </c>
      <c r="C683" s="255">
        <f>BugetComplet!Q2151+BugetComplet!Q2161</f>
        <v>0</v>
      </c>
      <c r="D683" s="255">
        <f>BugetComplet!R2151+BugetComplet!R2161</f>
        <v>0</v>
      </c>
      <c r="E683" s="255">
        <f>BugetComplet!S2151+BugetComplet!S2161</f>
        <v>0</v>
      </c>
      <c r="F683" s="255">
        <f>BugetComplet!T2151+BugetComplet!T2161</f>
        <v>0</v>
      </c>
      <c r="G683" s="255">
        <f>BugetComplet!U2151+BugetComplet!U2161</f>
        <v>0</v>
      </c>
      <c r="H683" s="255">
        <f>BugetComplet!V2151+BugetComplet!V2161</f>
        <v>0</v>
      </c>
    </row>
    <row r="684" spans="1:9" ht="26.1" customHeight="1">
      <c r="A684" s="131"/>
      <c r="B684" s="169" t="s">
        <v>83</v>
      </c>
      <c r="C684" s="255">
        <f>BugetComplet!Q2152+BugetComplet!Q2162</f>
        <v>0</v>
      </c>
      <c r="D684" s="255">
        <f>BugetComplet!R2152+BugetComplet!R2162</f>
        <v>0</v>
      </c>
      <c r="E684" s="255">
        <f>BugetComplet!S2152+BugetComplet!S2162</f>
        <v>0</v>
      </c>
      <c r="F684" s="255">
        <f>BugetComplet!T2152+BugetComplet!T2162</f>
        <v>0</v>
      </c>
      <c r="G684" s="255">
        <f>BugetComplet!U2152+BugetComplet!U2162</f>
        <v>0</v>
      </c>
      <c r="H684" s="255">
        <f>BugetComplet!V2152+BugetComplet!V2162</f>
        <v>0</v>
      </c>
    </row>
    <row r="685" spans="1:9" ht="26.1" customHeight="1">
      <c r="A685" s="131"/>
      <c r="B685" s="169" t="s">
        <v>84</v>
      </c>
      <c r="C685" s="255">
        <f>BugetComplet!Q2153+BugetComplet!Q2163</f>
        <v>0</v>
      </c>
      <c r="D685" s="255">
        <f>BugetComplet!R2153+BugetComplet!R2163</f>
        <v>0</v>
      </c>
      <c r="E685" s="255">
        <f>BugetComplet!S2153+BugetComplet!S2163</f>
        <v>0</v>
      </c>
      <c r="F685" s="255">
        <f>BugetComplet!T2153+BugetComplet!T2163</f>
        <v>225000</v>
      </c>
      <c r="G685" s="255">
        <f>BugetComplet!U2153+BugetComplet!U2163</f>
        <v>225000</v>
      </c>
      <c r="H685" s="255">
        <f>BugetComplet!V2153+BugetComplet!V2163</f>
        <v>450000</v>
      </c>
    </row>
    <row r="686" spans="1:9" ht="36" customHeight="1">
      <c r="A686" s="137" t="str">
        <f>BugetComplet!F$2164</f>
        <v>3.6.2</v>
      </c>
      <c r="B686" s="139" t="str">
        <f>BugetComplet!G$2164</f>
        <v>Cодействовать внедрению Национальной программы  путем мониторинга и адвокации силами сообшества</v>
      </c>
      <c r="C686" s="257">
        <f>BugetComplet!Q$2164</f>
        <v>875842.6</v>
      </c>
      <c r="D686" s="257">
        <f>BugetComplet!R$2164</f>
        <v>755842.6</v>
      </c>
      <c r="E686" s="257">
        <f>BugetComplet!S$2164</f>
        <v>695842.6</v>
      </c>
      <c r="F686" s="257">
        <f>BugetComplet!T$2164</f>
        <v>0</v>
      </c>
      <c r="G686" s="257">
        <f>BugetComplet!U$2164</f>
        <v>0</v>
      </c>
      <c r="H686" s="257">
        <f>BugetComplet!V$2164</f>
        <v>2327527.7999999998</v>
      </c>
    </row>
    <row r="687" spans="1:9" ht="26.1" customHeight="1">
      <c r="A687" s="131"/>
      <c r="B687" s="168" t="s">
        <v>79</v>
      </c>
      <c r="C687" s="255">
        <f>BugetComplet!Q2165+BugetComplet!Q2175+BugetComplet!Q2185+BugetComplet!Q2195+BugetComplet!Q2205</f>
        <v>875842.6</v>
      </c>
      <c r="D687" s="255">
        <f>BugetComplet!R2165+BugetComplet!R2175+BugetComplet!R2185+BugetComplet!R2195+BugetComplet!R2205</f>
        <v>755842.6</v>
      </c>
      <c r="E687" s="255">
        <f>BugetComplet!S2165+BugetComplet!S2175+BugetComplet!S2185+BugetComplet!S2195+BugetComplet!S2205</f>
        <v>695842.6</v>
      </c>
      <c r="F687" s="255">
        <f>BugetComplet!T2165+BugetComplet!T2175+BugetComplet!T2185+BugetComplet!T2195+BugetComplet!T2205</f>
        <v>695842.6</v>
      </c>
      <c r="G687" s="255">
        <f>BugetComplet!U2165+BugetComplet!U2175+BugetComplet!U2185+BugetComplet!U2195+BugetComplet!U2205</f>
        <v>695842.6</v>
      </c>
      <c r="H687" s="255">
        <f>BugetComplet!V2165+BugetComplet!V2175+BugetComplet!V2185+BugetComplet!V2195+BugetComplet!V2205</f>
        <v>3719213</v>
      </c>
    </row>
    <row r="688" spans="1:9" ht="26.1" customHeight="1">
      <c r="A688" s="131"/>
      <c r="B688" s="169" t="s">
        <v>80</v>
      </c>
      <c r="C688" s="255">
        <f>BugetComplet!Q2166+BugetComplet!Q2176+BugetComplet!Q2186+BugetComplet!Q2196+BugetComplet!Q2206</f>
        <v>875842.6</v>
      </c>
      <c r="D688" s="255">
        <f>BugetComplet!R2166+BugetComplet!R2176+BugetComplet!R2186+BugetComplet!R2196+BugetComplet!R2206</f>
        <v>755842.6</v>
      </c>
      <c r="E688" s="255">
        <f>BugetComplet!S2166+BugetComplet!S2176+BugetComplet!S2186+BugetComplet!S2196+BugetComplet!S2206</f>
        <v>695842.6</v>
      </c>
      <c r="F688" s="255">
        <f>BugetComplet!T2166+BugetComplet!T2176+BugetComplet!T2186+BugetComplet!T2196+BugetComplet!T2206</f>
        <v>0</v>
      </c>
      <c r="G688" s="255">
        <f>BugetComplet!U2166+BugetComplet!U2176+BugetComplet!U2186+BugetComplet!U2196+BugetComplet!U2206</f>
        <v>0</v>
      </c>
      <c r="H688" s="255">
        <f>BugetComplet!V2166+BugetComplet!V2176+BugetComplet!V2186+BugetComplet!V2196+BugetComplet!V2206</f>
        <v>2327527.7999999998</v>
      </c>
    </row>
    <row r="689" spans="1:13" ht="26.1" customHeight="1">
      <c r="A689" s="131"/>
      <c r="B689" s="169" t="s">
        <v>429</v>
      </c>
      <c r="C689" s="255">
        <f>BugetComplet!Q2167+BugetComplet!Q2177+BugetComplet!Q2187+BugetComplet!Q2197+BugetComplet!Q2207</f>
        <v>0</v>
      </c>
      <c r="D689" s="255">
        <f>BugetComplet!R2167+BugetComplet!R2177+BugetComplet!R2187+BugetComplet!R2197+BugetComplet!R2207</f>
        <v>0</v>
      </c>
      <c r="E689" s="255">
        <f>BugetComplet!S2167+BugetComplet!S2177+BugetComplet!S2187+BugetComplet!S2197+BugetComplet!S2207</f>
        <v>0</v>
      </c>
      <c r="F689" s="255">
        <f>BugetComplet!T2167+BugetComplet!T2177+BugetComplet!T2187+BugetComplet!T2197+BugetComplet!T2207</f>
        <v>0</v>
      </c>
      <c r="G689" s="255">
        <f>BugetComplet!U2167+BugetComplet!U2177+BugetComplet!U2187+BugetComplet!U2197+BugetComplet!U2207</f>
        <v>0</v>
      </c>
      <c r="H689" s="255">
        <f>BugetComplet!V2167+BugetComplet!V2177+BugetComplet!V2187+BugetComplet!V2197+BugetComplet!V2207</f>
        <v>0</v>
      </c>
    </row>
    <row r="690" spans="1:13" ht="26.1" customHeight="1">
      <c r="A690" s="131"/>
      <c r="B690" s="169" t="s">
        <v>133</v>
      </c>
      <c r="C690" s="255">
        <f>BugetComplet!Q2168+BugetComplet!Q2178+BugetComplet!Q2188+BugetComplet!Q2198+BugetComplet!Q2208</f>
        <v>0</v>
      </c>
      <c r="D690" s="255">
        <f>BugetComplet!R2168+BugetComplet!R2178+BugetComplet!R2188+BugetComplet!R2198+BugetComplet!R2208</f>
        <v>0</v>
      </c>
      <c r="E690" s="255">
        <f>BugetComplet!S2168+BugetComplet!S2178+BugetComplet!S2188+BugetComplet!S2198+BugetComplet!S2208</f>
        <v>0</v>
      </c>
      <c r="F690" s="255">
        <f>BugetComplet!T2168+BugetComplet!T2178+BugetComplet!T2188+BugetComplet!T2198+BugetComplet!T2208</f>
        <v>0</v>
      </c>
      <c r="G690" s="255">
        <f>BugetComplet!U2168+BugetComplet!U2178+BugetComplet!U2188+BugetComplet!U2198+BugetComplet!U2208</f>
        <v>0</v>
      </c>
      <c r="H690" s="255">
        <f>BugetComplet!V2168+BugetComplet!V2178+BugetComplet!V2188+BugetComplet!V2198+BugetComplet!V2208</f>
        <v>0</v>
      </c>
    </row>
    <row r="691" spans="1:13" ht="26.1" customHeight="1">
      <c r="A691" s="131"/>
      <c r="B691" s="169" t="s">
        <v>81</v>
      </c>
      <c r="C691" s="255">
        <f>BugetComplet!Q2169+BugetComplet!Q2179+BugetComplet!Q2189+BugetComplet!Q2199+BugetComplet!Q2209</f>
        <v>0</v>
      </c>
      <c r="D691" s="255">
        <f>BugetComplet!R2169+BugetComplet!R2179+BugetComplet!R2189+BugetComplet!R2199+BugetComplet!R2209</f>
        <v>0</v>
      </c>
      <c r="E691" s="255">
        <f>BugetComplet!S2169+BugetComplet!S2179+BugetComplet!S2189+BugetComplet!S2199+BugetComplet!S2209</f>
        <v>0</v>
      </c>
      <c r="F691" s="255">
        <f>BugetComplet!T2169+BugetComplet!T2179+BugetComplet!T2189+BugetComplet!T2199+BugetComplet!T2209</f>
        <v>0</v>
      </c>
      <c r="G691" s="255">
        <f>BugetComplet!U2169+BugetComplet!U2179+BugetComplet!U2189+BugetComplet!U2199+BugetComplet!U2209</f>
        <v>0</v>
      </c>
      <c r="H691" s="255">
        <f>BugetComplet!V2169+BugetComplet!V2179+BugetComplet!V2189+BugetComplet!V2199+BugetComplet!V2209</f>
        <v>0</v>
      </c>
    </row>
    <row r="692" spans="1:13" ht="26.1" customHeight="1">
      <c r="A692" s="131"/>
      <c r="B692" s="169" t="s">
        <v>134</v>
      </c>
      <c r="C692" s="255">
        <f>BugetComplet!Q2170+BugetComplet!Q2180+BugetComplet!Q2190+BugetComplet!Q2200+BugetComplet!Q2210</f>
        <v>0</v>
      </c>
      <c r="D692" s="255">
        <f>BugetComplet!R2170+BugetComplet!R2180+BugetComplet!R2190+BugetComplet!R2200+BugetComplet!R2210</f>
        <v>0</v>
      </c>
      <c r="E692" s="255">
        <f>BugetComplet!S2170+BugetComplet!S2180+BugetComplet!S2190+BugetComplet!S2200+BugetComplet!S2210</f>
        <v>0</v>
      </c>
      <c r="F692" s="255">
        <f>BugetComplet!T2170+BugetComplet!T2180+BugetComplet!T2190+BugetComplet!T2200+BugetComplet!T2210</f>
        <v>0</v>
      </c>
      <c r="G692" s="255">
        <f>BugetComplet!U2170+BugetComplet!U2180+BugetComplet!U2190+BugetComplet!U2200+BugetComplet!U2210</f>
        <v>0</v>
      </c>
      <c r="H692" s="255">
        <f>BugetComplet!V2170+BugetComplet!V2180+BugetComplet!V2190+BugetComplet!V2200+BugetComplet!V2210</f>
        <v>0</v>
      </c>
    </row>
    <row r="693" spans="1:13" ht="26.1" customHeight="1">
      <c r="A693" s="131"/>
      <c r="B693" s="169" t="s">
        <v>82</v>
      </c>
      <c r="C693" s="255">
        <f>BugetComplet!Q2171+BugetComplet!Q2181+BugetComplet!Q2191+BugetComplet!Q2201+BugetComplet!Q2211</f>
        <v>875842.6</v>
      </c>
      <c r="D693" s="255">
        <f>BugetComplet!R2171+BugetComplet!R2181+BugetComplet!R2191+BugetComplet!R2201+BugetComplet!R2211</f>
        <v>755842.6</v>
      </c>
      <c r="E693" s="255">
        <f>BugetComplet!S2171+BugetComplet!S2181+BugetComplet!S2191+BugetComplet!S2201+BugetComplet!S2211</f>
        <v>695842.6</v>
      </c>
      <c r="F693" s="255">
        <f>BugetComplet!T2171+BugetComplet!T2181+BugetComplet!T2191+BugetComplet!T2201+BugetComplet!T2211</f>
        <v>0</v>
      </c>
      <c r="G693" s="255">
        <f>BugetComplet!U2171+BugetComplet!U2181+BugetComplet!U2191+BugetComplet!U2201+BugetComplet!U2211</f>
        <v>0</v>
      </c>
      <c r="H693" s="255">
        <f>BugetComplet!V2171+BugetComplet!V2181+BugetComplet!V2191+BugetComplet!V2201+BugetComplet!V2211</f>
        <v>2327527.7999999998</v>
      </c>
      <c r="I693" s="958"/>
    </row>
    <row r="694" spans="1:13" ht="26.1" customHeight="1">
      <c r="A694" s="131"/>
      <c r="B694" s="169" t="s">
        <v>90</v>
      </c>
      <c r="C694" s="255">
        <f>BugetComplet!Q2172+BugetComplet!Q2182+BugetComplet!Q2192+BugetComplet!Q2202+BugetComplet!Q2212</f>
        <v>0</v>
      </c>
      <c r="D694" s="255">
        <f>BugetComplet!R2172+BugetComplet!R2182+BugetComplet!R2192+BugetComplet!R2202+BugetComplet!R2212</f>
        <v>0</v>
      </c>
      <c r="E694" s="255">
        <f>BugetComplet!S2172+BugetComplet!S2182+BugetComplet!S2192+BugetComplet!S2202+BugetComplet!S2212</f>
        <v>0</v>
      </c>
      <c r="F694" s="255">
        <f>BugetComplet!T2172+BugetComplet!T2182+BugetComplet!T2192+BugetComplet!T2202+BugetComplet!T2212</f>
        <v>0</v>
      </c>
      <c r="G694" s="255">
        <f>BugetComplet!U2172+BugetComplet!U2182+BugetComplet!U2192+BugetComplet!U2202+BugetComplet!U2212</f>
        <v>0</v>
      </c>
      <c r="H694" s="255">
        <f>BugetComplet!V2172+BugetComplet!V2182+BugetComplet!V2192+BugetComplet!V2202+BugetComplet!V2212</f>
        <v>0</v>
      </c>
    </row>
    <row r="695" spans="1:13" ht="26.1" customHeight="1">
      <c r="A695" s="131"/>
      <c r="B695" s="169" t="s">
        <v>83</v>
      </c>
      <c r="C695" s="255">
        <f>BugetComplet!Q2173+BugetComplet!Q2183+BugetComplet!Q2193+BugetComplet!Q2203+BugetComplet!Q2213</f>
        <v>0</v>
      </c>
      <c r="D695" s="255">
        <f>BugetComplet!R2173+BugetComplet!R2183+BugetComplet!R2193+BugetComplet!R2203+BugetComplet!R2213</f>
        <v>0</v>
      </c>
      <c r="E695" s="255">
        <f>BugetComplet!S2173+BugetComplet!S2183+BugetComplet!S2193+BugetComplet!S2203+BugetComplet!S2213</f>
        <v>0</v>
      </c>
      <c r="F695" s="255">
        <f>BugetComplet!T2173+BugetComplet!T2183+BugetComplet!T2193+BugetComplet!T2203+BugetComplet!T2213</f>
        <v>0</v>
      </c>
      <c r="G695" s="255">
        <f>BugetComplet!U2173+BugetComplet!U2183+BugetComplet!U2193+BugetComplet!U2203+BugetComplet!U2213</f>
        <v>0</v>
      </c>
      <c r="H695" s="255">
        <f>BugetComplet!V2173+BugetComplet!V2183+BugetComplet!V2193+BugetComplet!V2203+BugetComplet!V2213</f>
        <v>0</v>
      </c>
    </row>
    <row r="696" spans="1:13" ht="26.1" customHeight="1">
      <c r="A696" s="131"/>
      <c r="B696" s="169" t="s">
        <v>84</v>
      </c>
      <c r="C696" s="255">
        <f>BugetComplet!Q2174+BugetComplet!Q2184+BugetComplet!Q2194+BugetComplet!Q2204+BugetComplet!Q2214</f>
        <v>0</v>
      </c>
      <c r="D696" s="255">
        <f>BugetComplet!R2174+BugetComplet!R2184+BugetComplet!R2194+BugetComplet!R2204+BugetComplet!R2214</f>
        <v>0</v>
      </c>
      <c r="E696" s="255">
        <f>BugetComplet!S2174+BugetComplet!S2184+BugetComplet!S2194+BugetComplet!S2204+BugetComplet!S2214</f>
        <v>0</v>
      </c>
      <c r="F696" s="255">
        <f>BugetComplet!T2174+BugetComplet!T2184+BugetComplet!T2194+BugetComplet!T2204+BugetComplet!T2214</f>
        <v>695842.6</v>
      </c>
      <c r="G696" s="255">
        <f>BugetComplet!U2174+BugetComplet!U2184+BugetComplet!U2194+BugetComplet!U2204+BugetComplet!U2214</f>
        <v>695842.6</v>
      </c>
      <c r="H696" s="255">
        <f>BugetComplet!V2174+BugetComplet!V2184+BugetComplet!V2194+BugetComplet!V2204+BugetComplet!V2214</f>
        <v>1391685.2</v>
      </c>
    </row>
    <row r="697" spans="1:13">
      <c r="A697" s="129" t="str">
        <f>BugetComplet!F$2215</f>
        <v>3.7</v>
      </c>
      <c r="B697" s="128" t="str">
        <f>BugetComplet!G$2215</f>
        <v>Снизить стигму и дискриминацию, связанную с ВИЧ-статусом</v>
      </c>
      <c r="C697" s="256">
        <f>BugetComplet!Q$2215</f>
        <v>2202461.2999999998</v>
      </c>
      <c r="D697" s="256">
        <f>BugetComplet!R$2215</f>
        <v>2129161.2999999998</v>
      </c>
      <c r="E697" s="256">
        <f>BugetComplet!S$2215</f>
        <v>1659161.3</v>
      </c>
      <c r="F697" s="256">
        <f>BugetComplet!T$2215</f>
        <v>595000</v>
      </c>
      <c r="G697" s="256">
        <f>BugetComplet!U$2215</f>
        <v>595000</v>
      </c>
      <c r="H697" s="256">
        <f>BugetComplet!V$2215</f>
        <v>7180783.8999999994</v>
      </c>
      <c r="I697" s="258"/>
      <c r="J697" s="258"/>
      <c r="K697" s="258"/>
      <c r="L697" s="258"/>
      <c r="M697" s="258"/>
    </row>
    <row r="698" spans="1:13" ht="26.1" customHeight="1">
      <c r="A698" s="131"/>
      <c r="B698" s="168" t="s">
        <v>79</v>
      </c>
      <c r="C698" s="255">
        <f>C709+C720+C731+C742</f>
        <v>2202461.2999999998</v>
      </c>
      <c r="D698" s="255">
        <f t="shared" ref="D698:H698" si="56">D709+D720+D731+D742</f>
        <v>2129161.2999999998</v>
      </c>
      <c r="E698" s="255">
        <f t="shared" si="56"/>
        <v>1659161.3</v>
      </c>
      <c r="F698" s="255">
        <f t="shared" si="56"/>
        <v>2202461.2999999998</v>
      </c>
      <c r="G698" s="255">
        <f t="shared" si="56"/>
        <v>1659161.3</v>
      </c>
      <c r="H698" s="255">
        <f t="shared" si="56"/>
        <v>9852406.5</v>
      </c>
    </row>
    <row r="699" spans="1:13" ht="26.1" customHeight="1">
      <c r="A699" s="131"/>
      <c r="B699" s="169" t="s">
        <v>80</v>
      </c>
      <c r="C699" s="255">
        <f>C710+C721+C732+C743</f>
        <v>2202461.2999999998</v>
      </c>
      <c r="D699" s="255">
        <f t="shared" ref="C699:H707" si="57">D710+D721+D732+D743</f>
        <v>2129161.2999999998</v>
      </c>
      <c r="E699" s="255">
        <f t="shared" si="57"/>
        <v>1659161.3</v>
      </c>
      <c r="F699" s="255">
        <f t="shared" si="57"/>
        <v>595000</v>
      </c>
      <c r="G699" s="255">
        <f t="shared" si="57"/>
        <v>595000</v>
      </c>
      <c r="H699" s="255">
        <f t="shared" si="57"/>
        <v>7180783.9000000004</v>
      </c>
    </row>
    <row r="700" spans="1:13" ht="26.1" customHeight="1">
      <c r="A700" s="131"/>
      <c r="B700" s="169" t="s">
        <v>429</v>
      </c>
      <c r="C700" s="255">
        <f t="shared" si="57"/>
        <v>0</v>
      </c>
      <c r="D700" s="255">
        <f t="shared" si="57"/>
        <v>0</v>
      </c>
      <c r="E700" s="255">
        <f t="shared" si="57"/>
        <v>0</v>
      </c>
      <c r="F700" s="255">
        <f t="shared" si="57"/>
        <v>175000</v>
      </c>
      <c r="G700" s="255">
        <f t="shared" si="57"/>
        <v>175000</v>
      </c>
      <c r="H700" s="255">
        <f t="shared" si="57"/>
        <v>350000</v>
      </c>
    </row>
    <row r="701" spans="1:13" ht="26.1" customHeight="1">
      <c r="A701" s="131"/>
      <c r="B701" s="169" t="s">
        <v>133</v>
      </c>
      <c r="C701" s="255">
        <f t="shared" si="57"/>
        <v>0</v>
      </c>
      <c r="D701" s="255">
        <f t="shared" si="57"/>
        <v>0</v>
      </c>
      <c r="E701" s="255">
        <f t="shared" si="57"/>
        <v>0</v>
      </c>
      <c r="F701" s="255">
        <f t="shared" si="57"/>
        <v>75000</v>
      </c>
      <c r="G701" s="255">
        <f t="shared" si="57"/>
        <v>75000</v>
      </c>
      <c r="H701" s="255">
        <f t="shared" si="57"/>
        <v>150000</v>
      </c>
    </row>
    <row r="702" spans="1:13" ht="26.1" customHeight="1">
      <c r="A702" s="131"/>
      <c r="B702" s="169" t="s">
        <v>81</v>
      </c>
      <c r="C702" s="255">
        <f t="shared" si="57"/>
        <v>0</v>
      </c>
      <c r="D702" s="255">
        <f t="shared" si="57"/>
        <v>0</v>
      </c>
      <c r="E702" s="255">
        <f t="shared" si="57"/>
        <v>0</v>
      </c>
      <c r="F702" s="255">
        <f t="shared" si="57"/>
        <v>0</v>
      </c>
      <c r="G702" s="255">
        <f t="shared" si="57"/>
        <v>0</v>
      </c>
      <c r="H702" s="255">
        <f t="shared" si="57"/>
        <v>0</v>
      </c>
    </row>
    <row r="703" spans="1:13" ht="26.1" customHeight="1">
      <c r="A703" s="131"/>
      <c r="B703" s="169" t="s">
        <v>134</v>
      </c>
      <c r="C703" s="255">
        <f t="shared" si="57"/>
        <v>115000</v>
      </c>
      <c r="D703" s="255">
        <f t="shared" si="57"/>
        <v>115000</v>
      </c>
      <c r="E703" s="255">
        <f t="shared" si="57"/>
        <v>115000</v>
      </c>
      <c r="F703" s="255">
        <f t="shared" si="57"/>
        <v>345000</v>
      </c>
      <c r="G703" s="255">
        <f t="shared" si="57"/>
        <v>345000</v>
      </c>
      <c r="H703" s="255">
        <f t="shared" si="57"/>
        <v>1035000</v>
      </c>
    </row>
    <row r="704" spans="1:13" ht="26.1" customHeight="1">
      <c r="A704" s="131"/>
      <c r="B704" s="169" t="s">
        <v>82</v>
      </c>
      <c r="C704" s="255">
        <f t="shared" si="57"/>
        <v>1235161.2999999998</v>
      </c>
      <c r="D704" s="255">
        <f t="shared" si="57"/>
        <v>1705161.2999999998</v>
      </c>
      <c r="E704" s="255">
        <f t="shared" si="57"/>
        <v>1235161.2999999998</v>
      </c>
      <c r="F704" s="255">
        <f t="shared" si="57"/>
        <v>0</v>
      </c>
      <c r="G704" s="255">
        <f t="shared" si="57"/>
        <v>0</v>
      </c>
      <c r="H704" s="255">
        <f t="shared" si="57"/>
        <v>4175483.9</v>
      </c>
      <c r="I704" s="958"/>
    </row>
    <row r="705" spans="1:9" ht="26.1" customHeight="1">
      <c r="A705" s="131"/>
      <c r="B705" s="169" t="s">
        <v>90</v>
      </c>
      <c r="C705" s="255">
        <f t="shared" si="57"/>
        <v>309000</v>
      </c>
      <c r="D705" s="255">
        <f t="shared" si="57"/>
        <v>309000</v>
      </c>
      <c r="E705" s="255">
        <f t="shared" si="57"/>
        <v>309000</v>
      </c>
      <c r="F705" s="255">
        <f t="shared" si="57"/>
        <v>0</v>
      </c>
      <c r="G705" s="255">
        <f t="shared" si="57"/>
        <v>0</v>
      </c>
      <c r="H705" s="255">
        <f t="shared" si="57"/>
        <v>927000</v>
      </c>
      <c r="I705" s="958"/>
    </row>
    <row r="706" spans="1:9" ht="26.1" customHeight="1">
      <c r="A706" s="131"/>
      <c r="B706" s="169" t="s">
        <v>83</v>
      </c>
      <c r="C706" s="255">
        <f t="shared" si="57"/>
        <v>543300</v>
      </c>
      <c r="D706" s="255">
        <f t="shared" si="57"/>
        <v>0</v>
      </c>
      <c r="E706" s="255">
        <f t="shared" si="57"/>
        <v>0</v>
      </c>
      <c r="F706" s="255">
        <f t="shared" si="57"/>
        <v>0</v>
      </c>
      <c r="G706" s="255">
        <f t="shared" si="57"/>
        <v>0</v>
      </c>
      <c r="H706" s="255">
        <f t="shared" si="57"/>
        <v>543300</v>
      </c>
    </row>
    <row r="707" spans="1:9" ht="26.1" customHeight="1">
      <c r="A707" s="131"/>
      <c r="B707" s="169" t="s">
        <v>84</v>
      </c>
      <c r="C707" s="255">
        <f t="shared" si="57"/>
        <v>0</v>
      </c>
      <c r="D707" s="255">
        <f t="shared" si="57"/>
        <v>0</v>
      </c>
      <c r="E707" s="255">
        <f t="shared" si="57"/>
        <v>0</v>
      </c>
      <c r="F707" s="255">
        <f t="shared" si="57"/>
        <v>1607461.3</v>
      </c>
      <c r="G707" s="255">
        <f t="shared" si="57"/>
        <v>1064161.3</v>
      </c>
      <c r="H707" s="255">
        <f t="shared" si="57"/>
        <v>2671622.6</v>
      </c>
    </row>
    <row r="708" spans="1:9" ht="36" customHeight="1">
      <c r="A708" s="137" t="str">
        <f>BugetComplet!F$2216</f>
        <v>3.7.1</v>
      </c>
      <c r="B708" s="139" t="str">
        <f>BugetComplet!G$2216</f>
        <v>Продвижение научно обоснованных подходов общественного здравоохранения к профилактике и лечению ВИЧ.</v>
      </c>
      <c r="C708" s="257">
        <f>BugetComplet!Q$2216</f>
        <v>595000</v>
      </c>
      <c r="D708" s="257">
        <f>BugetComplet!R$2216</f>
        <v>595000</v>
      </c>
      <c r="E708" s="257">
        <f>BugetComplet!S$2216</f>
        <v>595000</v>
      </c>
      <c r="F708" s="257">
        <f>BugetComplet!T$2216</f>
        <v>595000</v>
      </c>
      <c r="G708" s="257">
        <f>BugetComplet!U$2216</f>
        <v>595000</v>
      </c>
      <c r="H708" s="257">
        <f>BugetComplet!V$2216</f>
        <v>2975000</v>
      </c>
    </row>
    <row r="709" spans="1:9" ht="26.1" customHeight="1">
      <c r="A709" s="131"/>
      <c r="B709" s="168" t="s">
        <v>79</v>
      </c>
      <c r="C709" s="255">
        <f>BugetComplet!Q2217+BugetComplet!Q2227</f>
        <v>595000</v>
      </c>
      <c r="D709" s="255">
        <f>BugetComplet!R2217+BugetComplet!R2227</f>
        <v>595000</v>
      </c>
      <c r="E709" s="255">
        <f>BugetComplet!S2217+BugetComplet!S2227</f>
        <v>595000</v>
      </c>
      <c r="F709" s="255">
        <f>BugetComplet!T2217+BugetComplet!T2227</f>
        <v>595000</v>
      </c>
      <c r="G709" s="255">
        <f>BugetComplet!U2217+BugetComplet!U2227</f>
        <v>595000</v>
      </c>
      <c r="H709" s="255">
        <f>BugetComplet!V2217+BugetComplet!V2227</f>
        <v>2975000</v>
      </c>
    </row>
    <row r="710" spans="1:9" ht="26.1" customHeight="1">
      <c r="A710" s="131"/>
      <c r="B710" s="169" t="s">
        <v>80</v>
      </c>
      <c r="C710" s="255">
        <f>BugetComplet!Q2218+BugetComplet!Q2228</f>
        <v>595000</v>
      </c>
      <c r="D710" s="255">
        <f>BugetComplet!R2218+BugetComplet!R2228</f>
        <v>595000</v>
      </c>
      <c r="E710" s="255">
        <f>BugetComplet!S2218+BugetComplet!S2228</f>
        <v>595000</v>
      </c>
      <c r="F710" s="255">
        <f>BugetComplet!T2218+BugetComplet!T2228</f>
        <v>595000</v>
      </c>
      <c r="G710" s="255">
        <f>BugetComplet!U2218+BugetComplet!U2228</f>
        <v>595000</v>
      </c>
      <c r="H710" s="255">
        <f>BugetComplet!V2218+BugetComplet!V2228</f>
        <v>2975000</v>
      </c>
    </row>
    <row r="711" spans="1:9" ht="26.1" customHeight="1">
      <c r="A711" s="131"/>
      <c r="B711" s="169" t="s">
        <v>429</v>
      </c>
      <c r="C711" s="255">
        <f>BugetComplet!Q2219+BugetComplet!Q2229</f>
        <v>0</v>
      </c>
      <c r="D711" s="255">
        <f>BugetComplet!R2219+BugetComplet!R2229</f>
        <v>0</v>
      </c>
      <c r="E711" s="255">
        <f>BugetComplet!S2219+BugetComplet!S2229</f>
        <v>0</v>
      </c>
      <c r="F711" s="255">
        <f>BugetComplet!T2219+BugetComplet!T2229</f>
        <v>175000</v>
      </c>
      <c r="G711" s="255">
        <f>BugetComplet!U2219+BugetComplet!U2229</f>
        <v>175000</v>
      </c>
      <c r="H711" s="255">
        <f>BugetComplet!V2219+BugetComplet!V2229</f>
        <v>350000</v>
      </c>
    </row>
    <row r="712" spans="1:9" ht="26.1" customHeight="1">
      <c r="A712" s="131"/>
      <c r="B712" s="169" t="s">
        <v>133</v>
      </c>
      <c r="C712" s="255">
        <f>BugetComplet!Q2220+BugetComplet!Q2230</f>
        <v>0</v>
      </c>
      <c r="D712" s="255">
        <f>BugetComplet!R2220+BugetComplet!R2230</f>
        <v>0</v>
      </c>
      <c r="E712" s="255">
        <f>BugetComplet!S2220+BugetComplet!S2230</f>
        <v>0</v>
      </c>
      <c r="F712" s="255">
        <f>BugetComplet!T2220+BugetComplet!T2230</f>
        <v>75000</v>
      </c>
      <c r="G712" s="255">
        <f>BugetComplet!U2220+BugetComplet!U2230</f>
        <v>75000</v>
      </c>
      <c r="H712" s="255">
        <f>BugetComplet!V2220+BugetComplet!V2230</f>
        <v>150000</v>
      </c>
    </row>
    <row r="713" spans="1:9" ht="26.1" customHeight="1">
      <c r="A713" s="131"/>
      <c r="B713" s="169" t="s">
        <v>81</v>
      </c>
      <c r="C713" s="255">
        <f>BugetComplet!Q2221+BugetComplet!Q2231</f>
        <v>0</v>
      </c>
      <c r="D713" s="255">
        <f>BugetComplet!R2221+BugetComplet!R2231</f>
        <v>0</v>
      </c>
      <c r="E713" s="255">
        <f>BugetComplet!S2221+BugetComplet!S2231</f>
        <v>0</v>
      </c>
      <c r="F713" s="255">
        <f>BugetComplet!T2221+BugetComplet!T2231</f>
        <v>0</v>
      </c>
      <c r="G713" s="255">
        <f>BugetComplet!U2221+BugetComplet!U2231</f>
        <v>0</v>
      </c>
      <c r="H713" s="255">
        <f>BugetComplet!V2221+BugetComplet!V2231</f>
        <v>0</v>
      </c>
    </row>
    <row r="714" spans="1:9" ht="26.1" customHeight="1">
      <c r="A714" s="131"/>
      <c r="B714" s="169" t="s">
        <v>134</v>
      </c>
      <c r="C714" s="255">
        <f>BugetComplet!Q2222+BugetComplet!Q2232</f>
        <v>115000</v>
      </c>
      <c r="D714" s="255">
        <f>BugetComplet!R2222+BugetComplet!R2232</f>
        <v>115000</v>
      </c>
      <c r="E714" s="255">
        <f>BugetComplet!S2222+BugetComplet!S2232</f>
        <v>115000</v>
      </c>
      <c r="F714" s="255">
        <f>BugetComplet!T2222+BugetComplet!T2232</f>
        <v>345000</v>
      </c>
      <c r="G714" s="255">
        <f>BugetComplet!U2222+BugetComplet!U2232</f>
        <v>345000</v>
      </c>
      <c r="H714" s="255">
        <f>BugetComplet!V2222+BugetComplet!V2232</f>
        <v>1035000</v>
      </c>
    </row>
    <row r="715" spans="1:9" ht="26.1" customHeight="1">
      <c r="A715" s="131"/>
      <c r="B715" s="169" t="s">
        <v>82</v>
      </c>
      <c r="C715" s="255">
        <f>BugetComplet!Q2223+BugetComplet!Q2233</f>
        <v>405000</v>
      </c>
      <c r="D715" s="255">
        <f>BugetComplet!R2223+BugetComplet!R2233</f>
        <v>405000</v>
      </c>
      <c r="E715" s="255">
        <f>BugetComplet!S2223+BugetComplet!S2233</f>
        <v>405000</v>
      </c>
      <c r="F715" s="255">
        <f>BugetComplet!T2223+BugetComplet!T2233</f>
        <v>0</v>
      </c>
      <c r="G715" s="255">
        <f>BugetComplet!U2223+BugetComplet!U2233</f>
        <v>0</v>
      </c>
      <c r="H715" s="255">
        <f>BugetComplet!V2223+BugetComplet!V2233</f>
        <v>1215000</v>
      </c>
      <c r="I715" s="958"/>
    </row>
    <row r="716" spans="1:9" ht="26.1" customHeight="1">
      <c r="A716" s="131"/>
      <c r="B716" s="169" t="s">
        <v>90</v>
      </c>
      <c r="C716" s="255">
        <f>BugetComplet!Q2224+BugetComplet!Q2234</f>
        <v>75000</v>
      </c>
      <c r="D716" s="255">
        <f>BugetComplet!R2224+BugetComplet!R2234</f>
        <v>75000</v>
      </c>
      <c r="E716" s="255">
        <f>BugetComplet!S2224+BugetComplet!S2234</f>
        <v>75000</v>
      </c>
      <c r="F716" s="255">
        <f>BugetComplet!T2224+BugetComplet!T2234</f>
        <v>0</v>
      </c>
      <c r="G716" s="255">
        <f>BugetComplet!U2224+BugetComplet!U2234</f>
        <v>0</v>
      </c>
      <c r="H716" s="255">
        <f>BugetComplet!V2224+BugetComplet!V2234</f>
        <v>225000</v>
      </c>
      <c r="I716" s="958"/>
    </row>
    <row r="717" spans="1:9" ht="26.1" customHeight="1">
      <c r="A717" s="131"/>
      <c r="B717" s="169" t="s">
        <v>83</v>
      </c>
      <c r="C717" s="255">
        <f>BugetComplet!Q2225+BugetComplet!Q2235</f>
        <v>0</v>
      </c>
      <c r="D717" s="255">
        <f>BugetComplet!R2225+BugetComplet!R2235</f>
        <v>0</v>
      </c>
      <c r="E717" s="255">
        <f>BugetComplet!S2225+BugetComplet!S2235</f>
        <v>0</v>
      </c>
      <c r="F717" s="255">
        <f>BugetComplet!T2225+BugetComplet!T2235</f>
        <v>0</v>
      </c>
      <c r="G717" s="255">
        <f>BugetComplet!U2225+BugetComplet!U2235</f>
        <v>0</v>
      </c>
      <c r="H717" s="255">
        <f>BugetComplet!V2225+BugetComplet!V2235</f>
        <v>0</v>
      </c>
    </row>
    <row r="718" spans="1:9" ht="26.1" customHeight="1">
      <c r="A718" s="131"/>
      <c r="B718" s="169" t="s">
        <v>84</v>
      </c>
      <c r="C718" s="255">
        <f>BugetComplet!Q2226+BugetComplet!Q2236</f>
        <v>0</v>
      </c>
      <c r="D718" s="255">
        <f>BugetComplet!R2226+BugetComplet!R2236</f>
        <v>0</v>
      </c>
      <c r="E718" s="255">
        <f>BugetComplet!S2226+BugetComplet!S2236</f>
        <v>0</v>
      </c>
      <c r="F718" s="255">
        <f>BugetComplet!T2226+BugetComplet!T2236</f>
        <v>0</v>
      </c>
      <c r="G718" s="255">
        <f>BugetComplet!U2226+BugetComplet!U2236</f>
        <v>0</v>
      </c>
      <c r="H718" s="255">
        <f>BugetComplet!V2226+BugetComplet!V2236</f>
        <v>0</v>
      </c>
    </row>
    <row r="719" spans="1:9" ht="46.35" customHeight="1">
      <c r="A719" s="137" t="str">
        <f>BugetComplet!F$2237</f>
        <v>3.7.2</v>
      </c>
      <c r="B719" s="139" t="str">
        <f>BugetComplet!G$2237</f>
        <v>Усиление соблюдения законов о гражданских правах для защиты ЛЖВ и представителей групп риска от преследования, насилия, мести и дискриминации, связанных с ВИЧ-статусом.</v>
      </c>
      <c r="C719" s="257">
        <f>BugetComplet!Q$2237</f>
        <v>824841.3</v>
      </c>
      <c r="D719" s="257">
        <f>BugetComplet!R$2237</f>
        <v>824841.3</v>
      </c>
      <c r="E719" s="257">
        <f>BugetComplet!S$2237</f>
        <v>824841.3</v>
      </c>
      <c r="F719" s="257">
        <f>BugetComplet!T$2237</f>
        <v>0</v>
      </c>
      <c r="G719" s="257">
        <f>BugetComplet!U$2237</f>
        <v>0</v>
      </c>
      <c r="H719" s="257">
        <f>BugetComplet!V$2237</f>
        <v>2474523.9000000004</v>
      </c>
    </row>
    <row r="720" spans="1:9" ht="26.1" customHeight="1">
      <c r="A720" s="131"/>
      <c r="B720" s="168" t="s">
        <v>79</v>
      </c>
      <c r="C720" s="255">
        <f>BugetComplet!Q2238+BugetComplet!Q2248+BugetComplet!Q2258+BugetComplet!Q2268</f>
        <v>824841.3</v>
      </c>
      <c r="D720" s="255">
        <f>BugetComplet!R2238+BugetComplet!R2248+BugetComplet!R2258+BugetComplet!R2268</f>
        <v>824841.3</v>
      </c>
      <c r="E720" s="255">
        <f>BugetComplet!S2238+BugetComplet!S2248+BugetComplet!S2258+BugetComplet!S2268</f>
        <v>824841.3</v>
      </c>
      <c r="F720" s="255">
        <f>BugetComplet!T2238+BugetComplet!T2248+BugetComplet!T2258+BugetComplet!T2268</f>
        <v>824841.3</v>
      </c>
      <c r="G720" s="255">
        <f>BugetComplet!U2238+BugetComplet!U2248+BugetComplet!U2258+BugetComplet!U2268</f>
        <v>824841.3</v>
      </c>
      <c r="H720" s="255">
        <f>BugetComplet!V2238+BugetComplet!V2248+BugetComplet!V2258+BugetComplet!V2268</f>
        <v>4124206.5</v>
      </c>
    </row>
    <row r="721" spans="1:9" ht="26.1" customHeight="1">
      <c r="A721" s="131"/>
      <c r="B721" s="169" t="s">
        <v>80</v>
      </c>
      <c r="C721" s="255">
        <f>BugetComplet!Q2239+BugetComplet!Q2249+BugetComplet!Q2259+BugetComplet!Q2269</f>
        <v>824841.3</v>
      </c>
      <c r="D721" s="255">
        <f>BugetComplet!R2239+BugetComplet!R2249+BugetComplet!R2259+BugetComplet!R2269</f>
        <v>824841.3</v>
      </c>
      <c r="E721" s="255">
        <f>BugetComplet!S2239+BugetComplet!S2249+BugetComplet!S2259+BugetComplet!S2269</f>
        <v>824841.3</v>
      </c>
      <c r="F721" s="255">
        <f>BugetComplet!T2239+BugetComplet!T2249+BugetComplet!T2259+BugetComplet!T2269</f>
        <v>0</v>
      </c>
      <c r="G721" s="255">
        <f>BugetComplet!U2239+BugetComplet!U2249+BugetComplet!U2259+BugetComplet!U2269</f>
        <v>0</v>
      </c>
      <c r="H721" s="255">
        <f>BugetComplet!V2239+BugetComplet!V2249+BugetComplet!V2259+BugetComplet!V2269</f>
        <v>2474523.9</v>
      </c>
    </row>
    <row r="722" spans="1:9" ht="26.1" customHeight="1">
      <c r="A722" s="131"/>
      <c r="B722" s="169" t="s">
        <v>429</v>
      </c>
      <c r="C722" s="255">
        <f>BugetComplet!Q2240+BugetComplet!Q2250+BugetComplet!Q2260+BugetComplet!Q2270</f>
        <v>0</v>
      </c>
      <c r="D722" s="255">
        <f>BugetComplet!R2240+BugetComplet!R2250+BugetComplet!R2260+BugetComplet!R2270</f>
        <v>0</v>
      </c>
      <c r="E722" s="255">
        <f>BugetComplet!S2240+BugetComplet!S2250+BugetComplet!S2260+BugetComplet!S2270</f>
        <v>0</v>
      </c>
      <c r="F722" s="255">
        <f>BugetComplet!T2240+BugetComplet!T2250+BugetComplet!T2260+BugetComplet!T2270</f>
        <v>0</v>
      </c>
      <c r="G722" s="255">
        <f>BugetComplet!U2240+BugetComplet!U2250+BugetComplet!U2260+BugetComplet!U2270</f>
        <v>0</v>
      </c>
      <c r="H722" s="255">
        <f>BugetComplet!V2240+BugetComplet!V2250+BugetComplet!V2260+BugetComplet!V2270</f>
        <v>0</v>
      </c>
    </row>
    <row r="723" spans="1:9" ht="26.1" customHeight="1">
      <c r="A723" s="131"/>
      <c r="B723" s="169" t="s">
        <v>133</v>
      </c>
      <c r="C723" s="255">
        <f>BugetComplet!Q2241+BugetComplet!Q2251+BugetComplet!Q2261+BugetComplet!Q2271</f>
        <v>0</v>
      </c>
      <c r="D723" s="255">
        <f>BugetComplet!R2241+BugetComplet!R2251+BugetComplet!R2261+BugetComplet!R2271</f>
        <v>0</v>
      </c>
      <c r="E723" s="255">
        <f>BugetComplet!S2241+BugetComplet!S2251+BugetComplet!S2261+BugetComplet!S2271</f>
        <v>0</v>
      </c>
      <c r="F723" s="255">
        <f>BugetComplet!T2241+BugetComplet!T2251+BugetComplet!T2261+BugetComplet!T2271</f>
        <v>0</v>
      </c>
      <c r="G723" s="255">
        <f>BugetComplet!U2241+BugetComplet!U2251+BugetComplet!U2261+BugetComplet!U2271</f>
        <v>0</v>
      </c>
      <c r="H723" s="255">
        <f>BugetComplet!V2241+BugetComplet!V2251+BugetComplet!V2261+BugetComplet!V2271</f>
        <v>0</v>
      </c>
    </row>
    <row r="724" spans="1:9" ht="26.1" customHeight="1">
      <c r="A724" s="131"/>
      <c r="B724" s="169" t="s">
        <v>81</v>
      </c>
      <c r="C724" s="255">
        <f>BugetComplet!Q2242+BugetComplet!Q2252+BugetComplet!Q2262+BugetComplet!Q2272</f>
        <v>0</v>
      </c>
      <c r="D724" s="255">
        <f>BugetComplet!R2242+BugetComplet!R2252+BugetComplet!R2262+BugetComplet!R2272</f>
        <v>0</v>
      </c>
      <c r="E724" s="255">
        <f>BugetComplet!S2242+BugetComplet!S2252+BugetComplet!S2262+BugetComplet!S2272</f>
        <v>0</v>
      </c>
      <c r="F724" s="255">
        <f>BugetComplet!T2242+BugetComplet!T2252+BugetComplet!T2262+BugetComplet!T2272</f>
        <v>0</v>
      </c>
      <c r="G724" s="255">
        <f>BugetComplet!U2242+BugetComplet!U2252+BugetComplet!U2262+BugetComplet!U2272</f>
        <v>0</v>
      </c>
      <c r="H724" s="255">
        <f>BugetComplet!V2242+BugetComplet!V2252+BugetComplet!V2262+BugetComplet!V2272</f>
        <v>0</v>
      </c>
    </row>
    <row r="725" spans="1:9" ht="26.1" customHeight="1">
      <c r="A725" s="131"/>
      <c r="B725" s="169" t="s">
        <v>134</v>
      </c>
      <c r="C725" s="255">
        <f>BugetComplet!Q2243+BugetComplet!Q2253+BugetComplet!Q2263+BugetComplet!Q2273</f>
        <v>0</v>
      </c>
      <c r="D725" s="255">
        <f>BugetComplet!R2243+BugetComplet!R2253+BugetComplet!R2263+BugetComplet!R2273</f>
        <v>0</v>
      </c>
      <c r="E725" s="255">
        <f>BugetComplet!S2243+BugetComplet!S2253+BugetComplet!S2263+BugetComplet!S2273</f>
        <v>0</v>
      </c>
      <c r="F725" s="255">
        <f>BugetComplet!T2243+BugetComplet!T2253+BugetComplet!T2263+BugetComplet!T2273</f>
        <v>0</v>
      </c>
      <c r="G725" s="255">
        <f>BugetComplet!U2243+BugetComplet!U2253+BugetComplet!U2263+BugetComplet!U2273</f>
        <v>0</v>
      </c>
      <c r="H725" s="255">
        <f>BugetComplet!V2243+BugetComplet!V2253+BugetComplet!V2263+BugetComplet!V2273</f>
        <v>0</v>
      </c>
    </row>
    <row r="726" spans="1:9" ht="26.1" customHeight="1">
      <c r="A726" s="131"/>
      <c r="B726" s="169" t="s">
        <v>82</v>
      </c>
      <c r="C726" s="255">
        <f>BugetComplet!Q2244+BugetComplet!Q2254+BugetComplet!Q2264+BugetComplet!Q2274</f>
        <v>590841.29999999993</v>
      </c>
      <c r="D726" s="255">
        <f>BugetComplet!R2244+BugetComplet!R2254+BugetComplet!R2264+BugetComplet!R2274</f>
        <v>590841.29999999993</v>
      </c>
      <c r="E726" s="255">
        <f>BugetComplet!S2244+BugetComplet!S2254+BugetComplet!S2264+BugetComplet!S2274</f>
        <v>590841.29999999993</v>
      </c>
      <c r="F726" s="255">
        <f>BugetComplet!T2244+BugetComplet!T2254+BugetComplet!T2264+BugetComplet!T2274</f>
        <v>0</v>
      </c>
      <c r="G726" s="255">
        <f>BugetComplet!U2244+BugetComplet!U2254+BugetComplet!U2264+BugetComplet!U2274</f>
        <v>0</v>
      </c>
      <c r="H726" s="255">
        <f>BugetComplet!V2244+BugetComplet!V2254+BugetComplet!V2264+BugetComplet!V2274</f>
        <v>1772523.9</v>
      </c>
      <c r="I726" s="958"/>
    </row>
    <row r="727" spans="1:9" ht="26.1" customHeight="1">
      <c r="A727" s="131"/>
      <c r="B727" s="169" t="s">
        <v>90</v>
      </c>
      <c r="C727" s="255">
        <f>BugetComplet!Q2245+BugetComplet!Q2255+BugetComplet!Q2265+BugetComplet!Q2275</f>
        <v>234000</v>
      </c>
      <c r="D727" s="255">
        <f>BugetComplet!R2245+BugetComplet!R2255+BugetComplet!R2265+BugetComplet!R2275</f>
        <v>234000</v>
      </c>
      <c r="E727" s="255">
        <f>BugetComplet!S2245+BugetComplet!S2255+BugetComplet!S2265+BugetComplet!S2275</f>
        <v>234000</v>
      </c>
      <c r="F727" s="255">
        <f>BugetComplet!T2245+BugetComplet!T2255+BugetComplet!T2265+BugetComplet!T2275</f>
        <v>0</v>
      </c>
      <c r="G727" s="255">
        <f>BugetComplet!U2245+BugetComplet!U2255+BugetComplet!U2265+BugetComplet!U2275</f>
        <v>0</v>
      </c>
      <c r="H727" s="255">
        <f>BugetComplet!V2245+BugetComplet!V2255+BugetComplet!V2265+BugetComplet!V2275</f>
        <v>702000</v>
      </c>
    </row>
    <row r="728" spans="1:9" ht="26.1" customHeight="1">
      <c r="A728" s="131"/>
      <c r="B728" s="169" t="s">
        <v>83</v>
      </c>
      <c r="C728" s="255">
        <f>BugetComplet!Q2246+BugetComplet!Q2256+BugetComplet!Q2266+BugetComplet!Q2276</f>
        <v>0</v>
      </c>
      <c r="D728" s="255">
        <f>BugetComplet!R2246+BugetComplet!R2256+BugetComplet!R2266+BugetComplet!R2276</f>
        <v>0</v>
      </c>
      <c r="E728" s="255">
        <f>BugetComplet!S2246+BugetComplet!S2256+BugetComplet!S2266+BugetComplet!S2276</f>
        <v>0</v>
      </c>
      <c r="F728" s="255">
        <f>BugetComplet!T2246+BugetComplet!T2256+BugetComplet!T2266+BugetComplet!T2276</f>
        <v>0</v>
      </c>
      <c r="G728" s="255">
        <f>BugetComplet!U2246+BugetComplet!U2256+BugetComplet!U2266+BugetComplet!U2276</f>
        <v>0</v>
      </c>
      <c r="H728" s="255">
        <f>BugetComplet!V2246+BugetComplet!V2256+BugetComplet!V2266+BugetComplet!V2276</f>
        <v>0</v>
      </c>
    </row>
    <row r="729" spans="1:9" ht="26.1" customHeight="1">
      <c r="A729" s="131"/>
      <c r="B729" s="169" t="s">
        <v>84</v>
      </c>
      <c r="C729" s="255">
        <f>BugetComplet!Q2247+BugetComplet!Q2257+BugetComplet!Q2267+BugetComplet!Q2277</f>
        <v>0</v>
      </c>
      <c r="D729" s="255">
        <f>BugetComplet!R2247+BugetComplet!R2257+BugetComplet!R2267+BugetComplet!R2277</f>
        <v>0</v>
      </c>
      <c r="E729" s="255">
        <f>BugetComplet!S2247+BugetComplet!S2257+BugetComplet!S2267+BugetComplet!S2277</f>
        <v>0</v>
      </c>
      <c r="F729" s="255">
        <f>BugetComplet!T2247+BugetComplet!T2257+BugetComplet!T2267+BugetComplet!T2277</f>
        <v>824841.3</v>
      </c>
      <c r="G729" s="255">
        <f>BugetComplet!U2247+BugetComplet!U2257+BugetComplet!U2267+BugetComplet!U2277</f>
        <v>824841.3</v>
      </c>
      <c r="H729" s="255">
        <f>BugetComplet!V2247+BugetComplet!V2257+BugetComplet!V2267+BugetComplet!V2277</f>
        <v>1649682.6</v>
      </c>
    </row>
    <row r="730" spans="1:9" ht="36" customHeight="1">
      <c r="A730" s="137" t="str">
        <f>BugetComplet!F$2278</f>
        <v>3.7.3</v>
      </c>
      <c r="B730" s="139" t="str">
        <f>BugetComplet!G$2278</f>
        <v>Мобилизация сообществ для снижения стигмы, связанной с ВИЧ.</v>
      </c>
      <c r="C730" s="257">
        <f>BugetComplet!Q$2278</f>
        <v>543300</v>
      </c>
      <c r="D730" s="257">
        <f>BugetComplet!R$2278</f>
        <v>470000</v>
      </c>
      <c r="E730" s="257">
        <f>BugetComplet!S$2278</f>
        <v>0</v>
      </c>
      <c r="F730" s="257">
        <f>BugetComplet!T$2278</f>
        <v>0</v>
      </c>
      <c r="G730" s="257">
        <f>BugetComplet!U$2278</f>
        <v>0</v>
      </c>
      <c r="H730" s="257">
        <f>BugetComplet!V$2278</f>
        <v>1013300</v>
      </c>
    </row>
    <row r="731" spans="1:9" ht="26.1" customHeight="1">
      <c r="A731" s="131"/>
      <c r="B731" s="168" t="s">
        <v>79</v>
      </c>
      <c r="C731" s="255">
        <f>BugetComplet!Q2279+BugetComplet!Q2289+BugetComplet!Q2299</f>
        <v>543300</v>
      </c>
      <c r="D731" s="255">
        <f>BugetComplet!R2279+BugetComplet!R2289+BugetComplet!R2299</f>
        <v>470000</v>
      </c>
      <c r="E731" s="255">
        <f>BugetComplet!S2279+BugetComplet!S2289+BugetComplet!S2299</f>
        <v>0</v>
      </c>
      <c r="F731" s="255">
        <f>BugetComplet!T2279+BugetComplet!T2289+BugetComplet!T2299</f>
        <v>543300</v>
      </c>
      <c r="G731" s="255">
        <f>BugetComplet!U2279+BugetComplet!U2289+BugetComplet!U2299</f>
        <v>0</v>
      </c>
      <c r="H731" s="255">
        <f>BugetComplet!V2279+BugetComplet!V2289+BugetComplet!V2299</f>
        <v>1556600</v>
      </c>
    </row>
    <row r="732" spans="1:9" ht="26.1" customHeight="1">
      <c r="A732" s="131"/>
      <c r="B732" s="169" t="s">
        <v>80</v>
      </c>
      <c r="C732" s="255">
        <f>BugetComplet!Q2280+BugetComplet!Q2290+BugetComplet!Q2300</f>
        <v>543300</v>
      </c>
      <c r="D732" s="255">
        <f>BugetComplet!R2280+BugetComplet!R2290+BugetComplet!R2300</f>
        <v>470000</v>
      </c>
      <c r="E732" s="255">
        <f>BugetComplet!S2280+BugetComplet!S2290+BugetComplet!S2300</f>
        <v>0</v>
      </c>
      <c r="F732" s="255">
        <f>BugetComplet!T2280+BugetComplet!T2290+BugetComplet!T2300</f>
        <v>0</v>
      </c>
      <c r="G732" s="255">
        <f>BugetComplet!U2280+BugetComplet!U2290+BugetComplet!U2300</f>
        <v>0</v>
      </c>
      <c r="H732" s="255">
        <f>BugetComplet!V2280+BugetComplet!V2290+BugetComplet!V2300</f>
        <v>1013300</v>
      </c>
    </row>
    <row r="733" spans="1:9" ht="26.1" customHeight="1">
      <c r="A733" s="131"/>
      <c r="B733" s="169" t="s">
        <v>429</v>
      </c>
      <c r="C733" s="255">
        <f>BugetComplet!Q2281+BugetComplet!Q2291+BugetComplet!Q2301</f>
        <v>0</v>
      </c>
      <c r="D733" s="255">
        <f>BugetComplet!R2281+BugetComplet!R2291+BugetComplet!R2301</f>
        <v>0</v>
      </c>
      <c r="E733" s="255">
        <f>BugetComplet!S2281+BugetComplet!S2291+BugetComplet!S2301</f>
        <v>0</v>
      </c>
      <c r="F733" s="255">
        <f>BugetComplet!T2281+BugetComplet!T2291+BugetComplet!T2301</f>
        <v>0</v>
      </c>
      <c r="G733" s="255">
        <f>BugetComplet!U2281+BugetComplet!U2291+BugetComplet!U2301</f>
        <v>0</v>
      </c>
      <c r="H733" s="255">
        <f>BugetComplet!V2281+BugetComplet!V2291+BugetComplet!V2301</f>
        <v>0</v>
      </c>
    </row>
    <row r="734" spans="1:9" ht="26.1" customHeight="1">
      <c r="A734" s="131"/>
      <c r="B734" s="169" t="s">
        <v>133</v>
      </c>
      <c r="C734" s="255">
        <f>BugetComplet!Q2282+BugetComplet!Q2292+BugetComplet!Q2302</f>
        <v>0</v>
      </c>
      <c r="D734" s="255">
        <f>BugetComplet!R2282+BugetComplet!R2292+BugetComplet!R2302</f>
        <v>0</v>
      </c>
      <c r="E734" s="255">
        <f>BugetComplet!S2282+BugetComplet!S2292+BugetComplet!S2302</f>
        <v>0</v>
      </c>
      <c r="F734" s="255">
        <f>BugetComplet!T2282+BugetComplet!T2292+BugetComplet!T2302</f>
        <v>0</v>
      </c>
      <c r="G734" s="255">
        <f>BugetComplet!U2282+BugetComplet!U2292+BugetComplet!U2302</f>
        <v>0</v>
      </c>
      <c r="H734" s="255">
        <f>BugetComplet!V2282+BugetComplet!V2292+BugetComplet!V2302</f>
        <v>0</v>
      </c>
    </row>
    <row r="735" spans="1:9" ht="26.1" customHeight="1">
      <c r="A735" s="131"/>
      <c r="B735" s="169" t="s">
        <v>81</v>
      </c>
      <c r="C735" s="255">
        <f>BugetComplet!Q2283+BugetComplet!Q2293+BugetComplet!Q2303</f>
        <v>0</v>
      </c>
      <c r="D735" s="255">
        <f>BugetComplet!R2283+BugetComplet!R2293+BugetComplet!R2303</f>
        <v>0</v>
      </c>
      <c r="E735" s="255">
        <f>BugetComplet!S2283+BugetComplet!S2293+BugetComplet!S2303</f>
        <v>0</v>
      </c>
      <c r="F735" s="255">
        <f>BugetComplet!T2283+BugetComplet!T2293+BugetComplet!T2303</f>
        <v>0</v>
      </c>
      <c r="G735" s="255">
        <f>BugetComplet!U2283+BugetComplet!U2293+BugetComplet!U2303</f>
        <v>0</v>
      </c>
      <c r="H735" s="255">
        <f>BugetComplet!V2283+BugetComplet!V2293+BugetComplet!V2303</f>
        <v>0</v>
      </c>
    </row>
    <row r="736" spans="1:9" ht="26.1" customHeight="1">
      <c r="A736" s="131"/>
      <c r="B736" s="169" t="s">
        <v>134</v>
      </c>
      <c r="C736" s="255">
        <f>BugetComplet!Q2284+BugetComplet!Q2294+BugetComplet!Q2304</f>
        <v>0</v>
      </c>
      <c r="D736" s="255">
        <f>BugetComplet!R2284+BugetComplet!R2294+BugetComplet!R2304</f>
        <v>0</v>
      </c>
      <c r="E736" s="255">
        <f>BugetComplet!S2284+BugetComplet!S2294+BugetComplet!S2304</f>
        <v>0</v>
      </c>
      <c r="F736" s="255">
        <f>BugetComplet!T2284+BugetComplet!T2294+BugetComplet!T2304</f>
        <v>0</v>
      </c>
      <c r="G736" s="255">
        <f>BugetComplet!U2284+BugetComplet!U2294+BugetComplet!U2304</f>
        <v>0</v>
      </c>
      <c r="H736" s="255">
        <f>BugetComplet!V2284+BugetComplet!V2294+BugetComplet!V2304</f>
        <v>0</v>
      </c>
    </row>
    <row r="737" spans="1:9" ht="26.1" customHeight="1">
      <c r="A737" s="131"/>
      <c r="B737" s="169" t="s">
        <v>82</v>
      </c>
      <c r="C737" s="255">
        <f>BugetComplet!Q2285+BugetComplet!Q2295+BugetComplet!Q2305</f>
        <v>0</v>
      </c>
      <c r="D737" s="255">
        <f>BugetComplet!R2285+BugetComplet!R2295+BugetComplet!R2305</f>
        <v>470000</v>
      </c>
      <c r="E737" s="255">
        <f>BugetComplet!S2285+BugetComplet!S2295+BugetComplet!S2305</f>
        <v>0</v>
      </c>
      <c r="F737" s="255">
        <f>BugetComplet!T2285+BugetComplet!T2295+BugetComplet!T2305</f>
        <v>0</v>
      </c>
      <c r="G737" s="255">
        <f>BugetComplet!U2285+BugetComplet!U2295+BugetComplet!U2305</f>
        <v>0</v>
      </c>
      <c r="H737" s="255">
        <f>BugetComplet!V2285+BugetComplet!V2295+BugetComplet!V2305</f>
        <v>470000</v>
      </c>
      <c r="I737" s="850"/>
    </row>
    <row r="738" spans="1:9" ht="26.1" customHeight="1">
      <c r="A738" s="131"/>
      <c r="B738" s="169" t="s">
        <v>90</v>
      </c>
      <c r="C738" s="255">
        <f>BugetComplet!Q2286+BugetComplet!Q2296+BugetComplet!Q2306</f>
        <v>0</v>
      </c>
      <c r="D738" s="255">
        <f>BugetComplet!R2286+BugetComplet!R2296+BugetComplet!R2306</f>
        <v>0</v>
      </c>
      <c r="E738" s="255">
        <f>BugetComplet!S2286+BugetComplet!S2296+BugetComplet!S2306</f>
        <v>0</v>
      </c>
      <c r="F738" s="255">
        <f>BugetComplet!T2286+BugetComplet!T2296+BugetComplet!T2306</f>
        <v>0</v>
      </c>
      <c r="G738" s="255">
        <f>BugetComplet!U2286+BugetComplet!U2296+BugetComplet!U2306</f>
        <v>0</v>
      </c>
      <c r="H738" s="255">
        <f>BugetComplet!V2286+BugetComplet!V2296+BugetComplet!V2306</f>
        <v>0</v>
      </c>
    </row>
    <row r="739" spans="1:9" ht="26.1" customHeight="1">
      <c r="A739" s="131"/>
      <c r="B739" s="169" t="s">
        <v>83</v>
      </c>
      <c r="C739" s="255">
        <f>BugetComplet!Q2287+BugetComplet!Q2297+BugetComplet!Q2307</f>
        <v>543300</v>
      </c>
      <c r="D739" s="255">
        <f>BugetComplet!R2287+BugetComplet!R2297+BugetComplet!R2307</f>
        <v>0</v>
      </c>
      <c r="E739" s="255">
        <f>BugetComplet!S2287+BugetComplet!S2297+BugetComplet!S2307</f>
        <v>0</v>
      </c>
      <c r="F739" s="255">
        <f>BugetComplet!T2287+BugetComplet!T2297+BugetComplet!T2307</f>
        <v>0</v>
      </c>
      <c r="G739" s="255">
        <f>BugetComplet!U2287+BugetComplet!U2297+BugetComplet!U2307</f>
        <v>0</v>
      </c>
      <c r="H739" s="255">
        <f>BugetComplet!V2287+BugetComplet!V2297+BugetComplet!V2307</f>
        <v>543300</v>
      </c>
    </row>
    <row r="740" spans="1:9" ht="26.1" customHeight="1">
      <c r="A740" s="131"/>
      <c r="B740" s="169" t="s">
        <v>84</v>
      </c>
      <c r="C740" s="255">
        <f>BugetComplet!Q2288+BugetComplet!Q2298+BugetComplet!Q2308</f>
        <v>0</v>
      </c>
      <c r="D740" s="255">
        <f>BugetComplet!R2288+BugetComplet!R2298+BugetComplet!R2308</f>
        <v>0</v>
      </c>
      <c r="E740" s="255">
        <f>BugetComplet!S2288+BugetComplet!S2298+BugetComplet!S2308</f>
        <v>0</v>
      </c>
      <c r="F740" s="255">
        <f>BugetComplet!T2288+BugetComplet!T2298+BugetComplet!T2308</f>
        <v>543300</v>
      </c>
      <c r="G740" s="255">
        <f>BugetComplet!U2288+BugetComplet!U2298+BugetComplet!U2308</f>
        <v>0</v>
      </c>
      <c r="H740" s="255">
        <f>BugetComplet!V2288+BugetComplet!V2298+BugetComplet!V2308</f>
        <v>543300</v>
      </c>
    </row>
    <row r="741" spans="1:9" ht="36" customHeight="1">
      <c r="A741" s="137" t="str">
        <f>BugetComplet!F$2309</f>
        <v>3.7.4</v>
      </c>
      <c r="B741" s="139" t="str">
        <f>BugetComplet!G$2309</f>
        <v>Поддержка  общественного (публичного) лидерства ЛЖВ и ключевых групп</v>
      </c>
      <c r="C741" s="257">
        <f>BugetComplet!Q$2309</f>
        <v>239320</v>
      </c>
      <c r="D741" s="257">
        <f>BugetComplet!R$2309</f>
        <v>239320</v>
      </c>
      <c r="E741" s="257">
        <f>BugetComplet!S$2309</f>
        <v>239320</v>
      </c>
      <c r="F741" s="257">
        <f>BugetComplet!T$2309</f>
        <v>0</v>
      </c>
      <c r="G741" s="257">
        <f>BugetComplet!U$2309</f>
        <v>0</v>
      </c>
      <c r="H741" s="257">
        <f>BugetComplet!V$2309</f>
        <v>717960</v>
      </c>
    </row>
    <row r="742" spans="1:9" ht="26.1" customHeight="1">
      <c r="A742" s="131"/>
      <c r="B742" s="168" t="s">
        <v>79</v>
      </c>
      <c r="C742" s="255">
        <f>BugetComplet!Q2310+BugetComplet!Q2320</f>
        <v>239320</v>
      </c>
      <c r="D742" s="255">
        <f>BugetComplet!R2310+BugetComplet!R2320</f>
        <v>239320</v>
      </c>
      <c r="E742" s="255">
        <f>BugetComplet!S2310+BugetComplet!S2320</f>
        <v>239320</v>
      </c>
      <c r="F742" s="255">
        <f>BugetComplet!T2310+BugetComplet!T2320</f>
        <v>239320</v>
      </c>
      <c r="G742" s="255">
        <f>BugetComplet!U2310+BugetComplet!U2320</f>
        <v>239320</v>
      </c>
      <c r="H742" s="255">
        <f>BugetComplet!V2310+BugetComplet!V2320</f>
        <v>1196600</v>
      </c>
    </row>
    <row r="743" spans="1:9" ht="26.1" customHeight="1">
      <c r="A743" s="131"/>
      <c r="B743" s="169" t="s">
        <v>80</v>
      </c>
      <c r="C743" s="255">
        <f>BugetComplet!Q2311+BugetComplet!Q2321</f>
        <v>239320</v>
      </c>
      <c r="D743" s="255">
        <f>BugetComplet!R2311+BugetComplet!R2321</f>
        <v>239320</v>
      </c>
      <c r="E743" s="255">
        <f>BugetComplet!S2311+BugetComplet!S2321</f>
        <v>239320</v>
      </c>
      <c r="F743" s="255">
        <f>BugetComplet!T2311+BugetComplet!T2321</f>
        <v>0</v>
      </c>
      <c r="G743" s="255">
        <f>BugetComplet!U2311+BugetComplet!U2321</f>
        <v>0</v>
      </c>
      <c r="H743" s="255">
        <f>BugetComplet!V2311+BugetComplet!V2321</f>
        <v>717960</v>
      </c>
    </row>
    <row r="744" spans="1:9" ht="26.1" customHeight="1">
      <c r="A744" s="131"/>
      <c r="B744" s="169" t="s">
        <v>429</v>
      </c>
      <c r="C744" s="255">
        <f>BugetComplet!Q2312+BugetComplet!Q2322</f>
        <v>0</v>
      </c>
      <c r="D744" s="255">
        <f>BugetComplet!R2312+BugetComplet!R2322</f>
        <v>0</v>
      </c>
      <c r="E744" s="255">
        <f>BugetComplet!S2312+BugetComplet!S2322</f>
        <v>0</v>
      </c>
      <c r="F744" s="255">
        <f>BugetComplet!T2312+BugetComplet!T2322</f>
        <v>0</v>
      </c>
      <c r="G744" s="255">
        <f>BugetComplet!U2312+BugetComplet!U2322</f>
        <v>0</v>
      </c>
      <c r="H744" s="255">
        <f>BugetComplet!V2312+BugetComplet!V2322</f>
        <v>0</v>
      </c>
    </row>
    <row r="745" spans="1:9" ht="26.1" customHeight="1">
      <c r="A745" s="131"/>
      <c r="B745" s="169" t="s">
        <v>133</v>
      </c>
      <c r="C745" s="255">
        <f>BugetComplet!Q2313+BugetComplet!Q2323</f>
        <v>0</v>
      </c>
      <c r="D745" s="255">
        <f>BugetComplet!R2313+BugetComplet!R2323</f>
        <v>0</v>
      </c>
      <c r="E745" s="255">
        <f>BugetComplet!S2313+BugetComplet!S2323</f>
        <v>0</v>
      </c>
      <c r="F745" s="255">
        <f>BugetComplet!T2313+BugetComplet!T2323</f>
        <v>0</v>
      </c>
      <c r="G745" s="255">
        <f>BugetComplet!U2313+BugetComplet!U2323</f>
        <v>0</v>
      </c>
      <c r="H745" s="255">
        <f>BugetComplet!V2313+BugetComplet!V2323</f>
        <v>0</v>
      </c>
    </row>
    <row r="746" spans="1:9" ht="26.1" customHeight="1">
      <c r="A746" s="131"/>
      <c r="B746" s="169" t="s">
        <v>81</v>
      </c>
      <c r="C746" s="255">
        <f>BugetComplet!Q2314+BugetComplet!Q2324</f>
        <v>0</v>
      </c>
      <c r="D746" s="255">
        <f>BugetComplet!R2314+BugetComplet!R2324</f>
        <v>0</v>
      </c>
      <c r="E746" s="255">
        <f>BugetComplet!S2314+BugetComplet!S2324</f>
        <v>0</v>
      </c>
      <c r="F746" s="255">
        <f>BugetComplet!T2314+BugetComplet!T2324</f>
        <v>0</v>
      </c>
      <c r="G746" s="255">
        <f>BugetComplet!U2314+BugetComplet!U2324</f>
        <v>0</v>
      </c>
      <c r="H746" s="255">
        <f>BugetComplet!V2314+BugetComplet!V2324</f>
        <v>0</v>
      </c>
    </row>
    <row r="747" spans="1:9" ht="26.1" customHeight="1">
      <c r="A747" s="131"/>
      <c r="B747" s="169" t="s">
        <v>134</v>
      </c>
      <c r="C747" s="255">
        <f>BugetComplet!Q2315+BugetComplet!Q2325</f>
        <v>0</v>
      </c>
      <c r="D747" s="255">
        <f>BugetComplet!R2315+BugetComplet!R2325</f>
        <v>0</v>
      </c>
      <c r="E747" s="255">
        <f>BugetComplet!S2315+BugetComplet!S2325</f>
        <v>0</v>
      </c>
      <c r="F747" s="255">
        <f>BugetComplet!T2315+BugetComplet!T2325</f>
        <v>0</v>
      </c>
      <c r="G747" s="255">
        <f>BugetComplet!U2315+BugetComplet!U2325</f>
        <v>0</v>
      </c>
      <c r="H747" s="255">
        <f>BugetComplet!V2315+BugetComplet!V2325</f>
        <v>0</v>
      </c>
    </row>
    <row r="748" spans="1:9" ht="26.1" customHeight="1">
      <c r="A748" s="131"/>
      <c r="B748" s="169" t="s">
        <v>82</v>
      </c>
      <c r="C748" s="255">
        <f>BugetComplet!Q2316+BugetComplet!Q2326</f>
        <v>239320</v>
      </c>
      <c r="D748" s="255">
        <f>BugetComplet!R2316+BugetComplet!R2326</f>
        <v>239320</v>
      </c>
      <c r="E748" s="255">
        <f>BugetComplet!S2316+BugetComplet!S2326</f>
        <v>239320</v>
      </c>
      <c r="F748" s="255">
        <f>BugetComplet!T2316+BugetComplet!T2326</f>
        <v>0</v>
      </c>
      <c r="G748" s="255">
        <f>BugetComplet!U2316+BugetComplet!U2326</f>
        <v>0</v>
      </c>
      <c r="H748" s="255">
        <f>BugetComplet!V2316+BugetComplet!V2326</f>
        <v>717960</v>
      </c>
    </row>
    <row r="749" spans="1:9" ht="26.1" customHeight="1">
      <c r="A749" s="131"/>
      <c r="B749" s="169" t="s">
        <v>90</v>
      </c>
      <c r="C749" s="255">
        <f>BugetComplet!Q2317+BugetComplet!Q2327</f>
        <v>0</v>
      </c>
      <c r="D749" s="255">
        <f>BugetComplet!R2317+BugetComplet!R2327</f>
        <v>0</v>
      </c>
      <c r="E749" s="255">
        <f>BugetComplet!S2317+BugetComplet!S2327</f>
        <v>0</v>
      </c>
      <c r="F749" s="255">
        <f>BugetComplet!T2317+BugetComplet!T2327</f>
        <v>0</v>
      </c>
      <c r="G749" s="255">
        <f>BugetComplet!U2317+BugetComplet!U2327</f>
        <v>0</v>
      </c>
      <c r="H749" s="255">
        <f>BugetComplet!V2317+BugetComplet!V2327</f>
        <v>0</v>
      </c>
    </row>
    <row r="750" spans="1:9" ht="26.1" customHeight="1">
      <c r="A750" s="131"/>
      <c r="B750" s="169" t="s">
        <v>83</v>
      </c>
      <c r="C750" s="255">
        <f>BugetComplet!Q2318+BugetComplet!Q2328</f>
        <v>0</v>
      </c>
      <c r="D750" s="255">
        <f>BugetComplet!R2318+BugetComplet!R2328</f>
        <v>0</v>
      </c>
      <c r="E750" s="255">
        <f>BugetComplet!S2318+BugetComplet!S2328</f>
        <v>0</v>
      </c>
      <c r="F750" s="255">
        <f>BugetComplet!T2318+BugetComplet!T2328</f>
        <v>0</v>
      </c>
      <c r="G750" s="255">
        <f>BugetComplet!U2318+BugetComplet!U2328</f>
        <v>0</v>
      </c>
      <c r="H750" s="255">
        <f>BugetComplet!V2318+BugetComplet!V2328</f>
        <v>0</v>
      </c>
    </row>
    <row r="751" spans="1:9" ht="26.1" customHeight="1">
      <c r="A751" s="131"/>
      <c r="B751" s="169" t="s">
        <v>84</v>
      </c>
      <c r="C751" s="255">
        <f>BugetComplet!Q2319+BugetComplet!Q2329</f>
        <v>0</v>
      </c>
      <c r="D751" s="255">
        <f>BugetComplet!R2319+BugetComplet!R2329</f>
        <v>0</v>
      </c>
      <c r="E751" s="255">
        <f>BugetComplet!S2319+BugetComplet!S2329</f>
        <v>0</v>
      </c>
      <c r="F751" s="255">
        <f>BugetComplet!T2319+BugetComplet!T2329</f>
        <v>239320</v>
      </c>
      <c r="G751" s="255">
        <f>BugetComplet!U2319+BugetComplet!U2329</f>
        <v>239320</v>
      </c>
      <c r="H751" s="255">
        <f>BugetComplet!V2319+BugetComplet!V2329</f>
        <v>478640</v>
      </c>
    </row>
  </sheetData>
  <autoFilter ref="A3:H751"/>
  <conditionalFormatting sqref="B27:B28 B36 B31:B32">
    <cfRule type="expression" dxfId="9266" priority="745">
      <formula>#REF! = "produs"</formula>
    </cfRule>
    <cfRule type="expression" dxfId="9265" priority="746">
      <formula>#REF! = "obiectiv"</formula>
    </cfRule>
  </conditionalFormatting>
  <conditionalFormatting sqref="B35">
    <cfRule type="expression" dxfId="9264" priority="743">
      <formula>#REF! = "produs"</formula>
    </cfRule>
    <cfRule type="expression" dxfId="9263" priority="744">
      <formula>#REF! = "obiectiv"</formula>
    </cfRule>
  </conditionalFormatting>
  <conditionalFormatting sqref="B34">
    <cfRule type="expression" dxfId="9262" priority="741">
      <formula>#REF! = "produs"</formula>
    </cfRule>
    <cfRule type="expression" dxfId="9261" priority="742">
      <formula>#REF! = "obiectiv"</formula>
    </cfRule>
  </conditionalFormatting>
  <conditionalFormatting sqref="B33">
    <cfRule type="expression" dxfId="9260" priority="739">
      <formula>#REF! = "produs"</formula>
    </cfRule>
    <cfRule type="expression" dxfId="9259" priority="740">
      <formula>#REF! = "obiectiv"</formula>
    </cfRule>
  </conditionalFormatting>
  <conditionalFormatting sqref="B30">
    <cfRule type="expression" dxfId="9258" priority="737">
      <formula>#REF! = "produs"</formula>
    </cfRule>
    <cfRule type="expression" dxfId="9257" priority="738">
      <formula>#REF! = "obiectiv"</formula>
    </cfRule>
  </conditionalFormatting>
  <conditionalFormatting sqref="B38:B39 B47 B42:B43">
    <cfRule type="expression" dxfId="9256" priority="735">
      <formula>#REF! = "produs"</formula>
    </cfRule>
    <cfRule type="expression" dxfId="9255" priority="736">
      <formula>#REF! = "obiectiv"</formula>
    </cfRule>
  </conditionalFormatting>
  <conditionalFormatting sqref="B46">
    <cfRule type="expression" dxfId="9254" priority="733">
      <formula>#REF! = "produs"</formula>
    </cfRule>
    <cfRule type="expression" dxfId="9253" priority="734">
      <formula>#REF! = "obiectiv"</formula>
    </cfRule>
  </conditionalFormatting>
  <conditionalFormatting sqref="B45">
    <cfRule type="expression" dxfId="9252" priority="731">
      <formula>#REF! = "produs"</formula>
    </cfRule>
    <cfRule type="expression" dxfId="9251" priority="732">
      <formula>#REF! = "obiectiv"</formula>
    </cfRule>
  </conditionalFormatting>
  <conditionalFormatting sqref="B44">
    <cfRule type="expression" dxfId="9250" priority="729">
      <formula>#REF! = "produs"</formula>
    </cfRule>
    <cfRule type="expression" dxfId="9249" priority="730">
      <formula>#REF! = "obiectiv"</formula>
    </cfRule>
  </conditionalFormatting>
  <conditionalFormatting sqref="B41">
    <cfRule type="expression" dxfId="9248" priority="727">
      <formula>#REF! = "produs"</formula>
    </cfRule>
    <cfRule type="expression" dxfId="9247" priority="728">
      <formula>#REF! = "obiectiv"</formula>
    </cfRule>
  </conditionalFormatting>
  <conditionalFormatting sqref="B49:B50 B58 B53:B54">
    <cfRule type="expression" dxfId="9246" priority="725">
      <formula>#REF! = "produs"</formula>
    </cfRule>
    <cfRule type="expression" dxfId="9245" priority="726">
      <formula>#REF! = "obiectiv"</formula>
    </cfRule>
  </conditionalFormatting>
  <conditionalFormatting sqref="B57">
    <cfRule type="expression" dxfId="9244" priority="723">
      <formula>#REF! = "produs"</formula>
    </cfRule>
    <cfRule type="expression" dxfId="9243" priority="724">
      <formula>#REF! = "obiectiv"</formula>
    </cfRule>
  </conditionalFormatting>
  <conditionalFormatting sqref="B56">
    <cfRule type="expression" dxfId="9242" priority="721">
      <formula>#REF! = "produs"</formula>
    </cfRule>
    <cfRule type="expression" dxfId="9241" priority="722">
      <formula>#REF! = "obiectiv"</formula>
    </cfRule>
  </conditionalFormatting>
  <conditionalFormatting sqref="B55">
    <cfRule type="expression" dxfId="9240" priority="719">
      <formula>#REF! = "produs"</formula>
    </cfRule>
    <cfRule type="expression" dxfId="9239" priority="720">
      <formula>#REF! = "obiectiv"</formula>
    </cfRule>
  </conditionalFormatting>
  <conditionalFormatting sqref="B52">
    <cfRule type="expression" dxfId="9238" priority="717">
      <formula>#REF! = "produs"</formula>
    </cfRule>
    <cfRule type="expression" dxfId="9237" priority="718">
      <formula>#REF! = "obiectiv"</formula>
    </cfRule>
  </conditionalFormatting>
  <conditionalFormatting sqref="B60:B61 B69 B64:B65">
    <cfRule type="expression" dxfId="9236" priority="715">
      <formula>#REF! = "produs"</formula>
    </cfRule>
    <cfRule type="expression" dxfId="9235" priority="716">
      <formula>#REF! = "obiectiv"</formula>
    </cfRule>
  </conditionalFormatting>
  <conditionalFormatting sqref="B68">
    <cfRule type="expression" dxfId="9234" priority="713">
      <formula>#REF! = "produs"</formula>
    </cfRule>
    <cfRule type="expression" dxfId="9233" priority="714">
      <formula>#REF! = "obiectiv"</formula>
    </cfRule>
  </conditionalFormatting>
  <conditionalFormatting sqref="B67">
    <cfRule type="expression" dxfId="9232" priority="711">
      <formula>#REF! = "produs"</formula>
    </cfRule>
    <cfRule type="expression" dxfId="9231" priority="712">
      <formula>#REF! = "obiectiv"</formula>
    </cfRule>
  </conditionalFormatting>
  <conditionalFormatting sqref="B66">
    <cfRule type="expression" dxfId="9230" priority="709">
      <formula>#REF! = "produs"</formula>
    </cfRule>
    <cfRule type="expression" dxfId="9229" priority="710">
      <formula>#REF! = "obiectiv"</formula>
    </cfRule>
  </conditionalFormatting>
  <conditionalFormatting sqref="B63">
    <cfRule type="expression" dxfId="9228" priority="707">
      <formula>#REF! = "produs"</formula>
    </cfRule>
    <cfRule type="expression" dxfId="9227" priority="708">
      <formula>#REF! = "obiectiv"</formula>
    </cfRule>
  </conditionalFormatting>
  <conditionalFormatting sqref="B71:B72 B80 B75:B76">
    <cfRule type="expression" dxfId="9226" priority="705">
      <formula>#REF! = "produs"</formula>
    </cfRule>
    <cfRule type="expression" dxfId="9225" priority="706">
      <formula>#REF! = "obiectiv"</formula>
    </cfRule>
  </conditionalFormatting>
  <conditionalFormatting sqref="B79">
    <cfRule type="expression" dxfId="9224" priority="703">
      <formula>#REF! = "produs"</formula>
    </cfRule>
    <cfRule type="expression" dxfId="9223" priority="704">
      <formula>#REF! = "obiectiv"</formula>
    </cfRule>
  </conditionalFormatting>
  <conditionalFormatting sqref="B78">
    <cfRule type="expression" dxfId="9222" priority="701">
      <formula>#REF! = "produs"</formula>
    </cfRule>
    <cfRule type="expression" dxfId="9221" priority="702">
      <formula>#REF! = "obiectiv"</formula>
    </cfRule>
  </conditionalFormatting>
  <conditionalFormatting sqref="B77">
    <cfRule type="expression" dxfId="9220" priority="699">
      <formula>#REF! = "produs"</formula>
    </cfRule>
    <cfRule type="expression" dxfId="9219" priority="700">
      <formula>#REF! = "obiectiv"</formula>
    </cfRule>
  </conditionalFormatting>
  <conditionalFormatting sqref="B74">
    <cfRule type="expression" dxfId="9218" priority="697">
      <formula>#REF! = "produs"</formula>
    </cfRule>
    <cfRule type="expression" dxfId="9217" priority="698">
      <formula>#REF! = "obiectiv"</formula>
    </cfRule>
  </conditionalFormatting>
  <conditionalFormatting sqref="B16:B17 B25 B20:B21">
    <cfRule type="expression" dxfId="9216" priority="695">
      <formula>#REF! = "produs"</formula>
    </cfRule>
    <cfRule type="expression" dxfId="9215" priority="696">
      <formula>#REF! = "obiectiv"</formula>
    </cfRule>
  </conditionalFormatting>
  <conditionalFormatting sqref="B24">
    <cfRule type="expression" dxfId="9214" priority="693">
      <formula>#REF! = "produs"</formula>
    </cfRule>
    <cfRule type="expression" dxfId="9213" priority="694">
      <formula>#REF! = "obiectiv"</formula>
    </cfRule>
  </conditionalFormatting>
  <conditionalFormatting sqref="B23">
    <cfRule type="expression" dxfId="9212" priority="691">
      <formula>#REF! = "produs"</formula>
    </cfRule>
    <cfRule type="expression" dxfId="9211" priority="692">
      <formula>#REF! = "obiectiv"</formula>
    </cfRule>
  </conditionalFormatting>
  <conditionalFormatting sqref="B22">
    <cfRule type="expression" dxfId="9210" priority="689">
      <formula>#REF! = "produs"</formula>
    </cfRule>
    <cfRule type="expression" dxfId="9209" priority="690">
      <formula>#REF! = "obiectiv"</formula>
    </cfRule>
  </conditionalFormatting>
  <conditionalFormatting sqref="B19">
    <cfRule type="expression" dxfId="9208" priority="687">
      <formula>#REF! = "produs"</formula>
    </cfRule>
    <cfRule type="expression" dxfId="9207" priority="688">
      <formula>#REF! = "obiectiv"</formula>
    </cfRule>
  </conditionalFormatting>
  <conditionalFormatting sqref="B82:B83 B91 B86:B87">
    <cfRule type="expression" dxfId="9206" priority="685">
      <formula>#REF! = "produs"</formula>
    </cfRule>
    <cfRule type="expression" dxfId="9205" priority="686">
      <formula>#REF! = "obiectiv"</formula>
    </cfRule>
  </conditionalFormatting>
  <conditionalFormatting sqref="B90">
    <cfRule type="expression" dxfId="9204" priority="683">
      <formula>#REF! = "produs"</formula>
    </cfRule>
    <cfRule type="expression" dxfId="9203" priority="684">
      <formula>#REF! = "obiectiv"</formula>
    </cfRule>
  </conditionalFormatting>
  <conditionalFormatting sqref="B89">
    <cfRule type="expression" dxfId="9202" priority="681">
      <formula>#REF! = "produs"</formula>
    </cfRule>
    <cfRule type="expression" dxfId="9201" priority="682">
      <formula>#REF! = "obiectiv"</formula>
    </cfRule>
  </conditionalFormatting>
  <conditionalFormatting sqref="B88">
    <cfRule type="expression" dxfId="9200" priority="679">
      <formula>#REF! = "produs"</formula>
    </cfRule>
    <cfRule type="expression" dxfId="9199" priority="680">
      <formula>#REF! = "obiectiv"</formula>
    </cfRule>
  </conditionalFormatting>
  <conditionalFormatting sqref="B85">
    <cfRule type="expression" dxfId="9198" priority="677">
      <formula>#REF! = "produs"</formula>
    </cfRule>
    <cfRule type="expression" dxfId="9197" priority="678">
      <formula>#REF! = "obiectiv"</formula>
    </cfRule>
  </conditionalFormatting>
  <conditionalFormatting sqref="B93:B94 B102 B97:B98">
    <cfRule type="expression" dxfId="9196" priority="675">
      <formula>#REF! = "produs"</formula>
    </cfRule>
    <cfRule type="expression" dxfId="9195" priority="676">
      <formula>#REF! = "obiectiv"</formula>
    </cfRule>
  </conditionalFormatting>
  <conditionalFormatting sqref="B101">
    <cfRule type="expression" dxfId="9194" priority="673">
      <formula>#REF! = "produs"</formula>
    </cfRule>
    <cfRule type="expression" dxfId="9193" priority="674">
      <formula>#REF! = "obiectiv"</formula>
    </cfRule>
  </conditionalFormatting>
  <conditionalFormatting sqref="B100">
    <cfRule type="expression" dxfId="9192" priority="671">
      <formula>#REF! = "produs"</formula>
    </cfRule>
    <cfRule type="expression" dxfId="9191" priority="672">
      <formula>#REF! = "obiectiv"</formula>
    </cfRule>
  </conditionalFormatting>
  <conditionalFormatting sqref="B99">
    <cfRule type="expression" dxfId="9190" priority="669">
      <formula>#REF! = "produs"</formula>
    </cfRule>
    <cfRule type="expression" dxfId="9189" priority="670">
      <formula>#REF! = "obiectiv"</formula>
    </cfRule>
  </conditionalFormatting>
  <conditionalFormatting sqref="B96">
    <cfRule type="expression" dxfId="9188" priority="667">
      <formula>#REF! = "produs"</formula>
    </cfRule>
    <cfRule type="expression" dxfId="9187" priority="668">
      <formula>#REF! = "obiectiv"</formula>
    </cfRule>
  </conditionalFormatting>
  <conditionalFormatting sqref="B104:B105 B113 B108:B109">
    <cfRule type="expression" dxfId="9186" priority="665">
      <formula>#REF! = "produs"</formula>
    </cfRule>
    <cfRule type="expression" dxfId="9185" priority="666">
      <formula>#REF! = "obiectiv"</formula>
    </cfRule>
  </conditionalFormatting>
  <conditionalFormatting sqref="B112">
    <cfRule type="expression" dxfId="9184" priority="663">
      <formula>#REF! = "produs"</formula>
    </cfRule>
    <cfRule type="expression" dxfId="9183" priority="664">
      <formula>#REF! = "obiectiv"</formula>
    </cfRule>
  </conditionalFormatting>
  <conditionalFormatting sqref="B111">
    <cfRule type="expression" dxfId="9182" priority="661">
      <formula>#REF! = "produs"</formula>
    </cfRule>
    <cfRule type="expression" dxfId="9181" priority="662">
      <formula>#REF! = "obiectiv"</formula>
    </cfRule>
  </conditionalFormatting>
  <conditionalFormatting sqref="B110">
    <cfRule type="expression" dxfId="9180" priority="659">
      <formula>#REF! = "produs"</formula>
    </cfRule>
    <cfRule type="expression" dxfId="9179" priority="660">
      <formula>#REF! = "obiectiv"</formula>
    </cfRule>
  </conditionalFormatting>
  <conditionalFormatting sqref="B107">
    <cfRule type="expression" dxfId="9178" priority="657">
      <formula>#REF! = "produs"</formula>
    </cfRule>
    <cfRule type="expression" dxfId="9177" priority="658">
      <formula>#REF! = "obiectiv"</formula>
    </cfRule>
  </conditionalFormatting>
  <conditionalFormatting sqref="B115:B116 B124 B119:B120">
    <cfRule type="expression" dxfId="9176" priority="655">
      <formula>#REF! = "produs"</formula>
    </cfRule>
    <cfRule type="expression" dxfId="9175" priority="656">
      <formula>#REF! = "obiectiv"</formula>
    </cfRule>
  </conditionalFormatting>
  <conditionalFormatting sqref="B123">
    <cfRule type="expression" dxfId="9174" priority="653">
      <formula>#REF! = "produs"</formula>
    </cfRule>
    <cfRule type="expression" dxfId="9173" priority="654">
      <formula>#REF! = "obiectiv"</formula>
    </cfRule>
  </conditionalFormatting>
  <conditionalFormatting sqref="B122">
    <cfRule type="expression" dxfId="9172" priority="651">
      <formula>#REF! = "produs"</formula>
    </cfRule>
    <cfRule type="expression" dxfId="9171" priority="652">
      <formula>#REF! = "obiectiv"</formula>
    </cfRule>
  </conditionalFormatting>
  <conditionalFormatting sqref="B121">
    <cfRule type="expression" dxfId="9170" priority="649">
      <formula>#REF! = "produs"</formula>
    </cfRule>
    <cfRule type="expression" dxfId="9169" priority="650">
      <formula>#REF! = "obiectiv"</formula>
    </cfRule>
  </conditionalFormatting>
  <conditionalFormatting sqref="B118">
    <cfRule type="expression" dxfId="9168" priority="647">
      <formula>#REF! = "produs"</formula>
    </cfRule>
    <cfRule type="expression" dxfId="9167" priority="648">
      <formula>#REF! = "obiectiv"</formula>
    </cfRule>
  </conditionalFormatting>
  <conditionalFormatting sqref="B126:B127 B135 B130:B131">
    <cfRule type="expression" dxfId="9166" priority="645">
      <formula>#REF! = "produs"</formula>
    </cfRule>
    <cfRule type="expression" dxfId="9165" priority="646">
      <formula>#REF! = "obiectiv"</formula>
    </cfRule>
  </conditionalFormatting>
  <conditionalFormatting sqref="B134">
    <cfRule type="expression" dxfId="9164" priority="643">
      <formula>#REF! = "produs"</formula>
    </cfRule>
    <cfRule type="expression" dxfId="9163" priority="644">
      <formula>#REF! = "obiectiv"</formula>
    </cfRule>
  </conditionalFormatting>
  <conditionalFormatting sqref="B133">
    <cfRule type="expression" dxfId="9162" priority="641">
      <formula>#REF! = "produs"</formula>
    </cfRule>
    <cfRule type="expression" dxfId="9161" priority="642">
      <formula>#REF! = "obiectiv"</formula>
    </cfRule>
  </conditionalFormatting>
  <conditionalFormatting sqref="B132">
    <cfRule type="expression" dxfId="9160" priority="639">
      <formula>#REF! = "produs"</formula>
    </cfRule>
    <cfRule type="expression" dxfId="9159" priority="640">
      <formula>#REF! = "obiectiv"</formula>
    </cfRule>
  </conditionalFormatting>
  <conditionalFormatting sqref="B129">
    <cfRule type="expression" dxfId="9158" priority="637">
      <formula>#REF! = "produs"</formula>
    </cfRule>
    <cfRule type="expression" dxfId="9157" priority="638">
      <formula>#REF! = "obiectiv"</formula>
    </cfRule>
  </conditionalFormatting>
  <conditionalFormatting sqref="B137:B138 B146 B141:B142">
    <cfRule type="expression" dxfId="9156" priority="635">
      <formula>#REF! = "produs"</formula>
    </cfRule>
    <cfRule type="expression" dxfId="9155" priority="636">
      <formula>#REF! = "obiectiv"</formula>
    </cfRule>
  </conditionalFormatting>
  <conditionalFormatting sqref="B145">
    <cfRule type="expression" dxfId="9154" priority="633">
      <formula>#REF! = "produs"</formula>
    </cfRule>
    <cfRule type="expression" dxfId="9153" priority="634">
      <formula>#REF! = "obiectiv"</formula>
    </cfRule>
  </conditionalFormatting>
  <conditionalFormatting sqref="B144">
    <cfRule type="expression" dxfId="9152" priority="631">
      <formula>#REF! = "produs"</formula>
    </cfRule>
    <cfRule type="expression" dxfId="9151" priority="632">
      <formula>#REF! = "obiectiv"</formula>
    </cfRule>
  </conditionalFormatting>
  <conditionalFormatting sqref="B143">
    <cfRule type="expression" dxfId="9150" priority="629">
      <formula>#REF! = "produs"</formula>
    </cfRule>
    <cfRule type="expression" dxfId="9149" priority="630">
      <formula>#REF! = "obiectiv"</formula>
    </cfRule>
  </conditionalFormatting>
  <conditionalFormatting sqref="B140">
    <cfRule type="expression" dxfId="9148" priority="627">
      <formula>#REF! = "produs"</formula>
    </cfRule>
    <cfRule type="expression" dxfId="9147" priority="628">
      <formula>#REF! = "obiectiv"</formula>
    </cfRule>
  </conditionalFormatting>
  <conditionalFormatting sqref="B148:B149 B157 B152:B153">
    <cfRule type="expression" dxfId="9146" priority="625">
      <formula>#REF! = "produs"</formula>
    </cfRule>
    <cfRule type="expression" dxfId="9145" priority="626">
      <formula>#REF! = "obiectiv"</formula>
    </cfRule>
  </conditionalFormatting>
  <conditionalFormatting sqref="B156">
    <cfRule type="expression" dxfId="9144" priority="623">
      <formula>#REF! = "produs"</formula>
    </cfRule>
    <cfRule type="expression" dxfId="9143" priority="624">
      <formula>#REF! = "obiectiv"</formula>
    </cfRule>
  </conditionalFormatting>
  <conditionalFormatting sqref="B155">
    <cfRule type="expression" dxfId="9142" priority="621">
      <formula>#REF! = "produs"</formula>
    </cfRule>
    <cfRule type="expression" dxfId="9141" priority="622">
      <formula>#REF! = "obiectiv"</formula>
    </cfRule>
  </conditionalFormatting>
  <conditionalFormatting sqref="B154">
    <cfRule type="expression" dxfId="9140" priority="619">
      <formula>#REF! = "produs"</formula>
    </cfRule>
    <cfRule type="expression" dxfId="9139" priority="620">
      <formula>#REF! = "obiectiv"</formula>
    </cfRule>
  </conditionalFormatting>
  <conditionalFormatting sqref="B151">
    <cfRule type="expression" dxfId="9138" priority="617">
      <formula>#REF! = "produs"</formula>
    </cfRule>
    <cfRule type="expression" dxfId="9137" priority="618">
      <formula>#REF! = "obiectiv"</formula>
    </cfRule>
  </conditionalFormatting>
  <conditionalFormatting sqref="B159:B160 B168 B163:B164">
    <cfRule type="expression" dxfId="9136" priority="615">
      <formula>#REF! = "produs"</formula>
    </cfRule>
    <cfRule type="expression" dxfId="9135" priority="616">
      <formula>#REF! = "obiectiv"</formula>
    </cfRule>
  </conditionalFormatting>
  <conditionalFormatting sqref="B167">
    <cfRule type="expression" dxfId="9134" priority="613">
      <formula>#REF! = "produs"</formula>
    </cfRule>
    <cfRule type="expression" dxfId="9133" priority="614">
      <formula>#REF! = "obiectiv"</formula>
    </cfRule>
  </conditionalFormatting>
  <conditionalFormatting sqref="B166">
    <cfRule type="expression" dxfId="9132" priority="611">
      <formula>#REF! = "produs"</formula>
    </cfRule>
    <cfRule type="expression" dxfId="9131" priority="612">
      <formula>#REF! = "obiectiv"</formula>
    </cfRule>
  </conditionalFormatting>
  <conditionalFormatting sqref="B165">
    <cfRule type="expression" dxfId="9130" priority="609">
      <formula>#REF! = "produs"</formula>
    </cfRule>
    <cfRule type="expression" dxfId="9129" priority="610">
      <formula>#REF! = "obiectiv"</formula>
    </cfRule>
  </conditionalFormatting>
  <conditionalFormatting sqref="B162">
    <cfRule type="expression" dxfId="9128" priority="607">
      <formula>#REF! = "produs"</formula>
    </cfRule>
    <cfRule type="expression" dxfId="9127" priority="608">
      <formula>#REF! = "obiectiv"</formula>
    </cfRule>
  </conditionalFormatting>
  <conditionalFormatting sqref="B170:B171 B179 B174:B175">
    <cfRule type="expression" dxfId="9126" priority="605">
      <formula>#REF! = "produs"</formula>
    </cfRule>
    <cfRule type="expression" dxfId="9125" priority="606">
      <formula>#REF! = "obiectiv"</formula>
    </cfRule>
  </conditionalFormatting>
  <conditionalFormatting sqref="B178">
    <cfRule type="expression" dxfId="9124" priority="603">
      <formula>#REF! = "produs"</formula>
    </cfRule>
    <cfRule type="expression" dxfId="9123" priority="604">
      <formula>#REF! = "obiectiv"</formula>
    </cfRule>
  </conditionalFormatting>
  <conditionalFormatting sqref="B177">
    <cfRule type="expression" dxfId="9122" priority="601">
      <formula>#REF! = "produs"</formula>
    </cfRule>
    <cfRule type="expression" dxfId="9121" priority="602">
      <formula>#REF! = "obiectiv"</formula>
    </cfRule>
  </conditionalFormatting>
  <conditionalFormatting sqref="B176">
    <cfRule type="expression" dxfId="9120" priority="599">
      <formula>#REF! = "produs"</formula>
    </cfRule>
    <cfRule type="expression" dxfId="9119" priority="600">
      <formula>#REF! = "obiectiv"</formula>
    </cfRule>
  </conditionalFormatting>
  <conditionalFormatting sqref="B173">
    <cfRule type="expression" dxfId="9118" priority="597">
      <formula>#REF! = "produs"</formula>
    </cfRule>
    <cfRule type="expression" dxfId="9117" priority="598">
      <formula>#REF! = "obiectiv"</formula>
    </cfRule>
  </conditionalFormatting>
  <conditionalFormatting sqref="B181:B182 B190 B185:B186">
    <cfRule type="expression" dxfId="9116" priority="595">
      <formula>#REF! = "produs"</formula>
    </cfRule>
    <cfRule type="expression" dxfId="9115" priority="596">
      <formula>#REF! = "obiectiv"</formula>
    </cfRule>
  </conditionalFormatting>
  <conditionalFormatting sqref="B189">
    <cfRule type="expression" dxfId="9114" priority="593">
      <formula>#REF! = "produs"</formula>
    </cfRule>
    <cfRule type="expression" dxfId="9113" priority="594">
      <formula>#REF! = "obiectiv"</formula>
    </cfRule>
  </conditionalFormatting>
  <conditionalFormatting sqref="B188">
    <cfRule type="expression" dxfId="9112" priority="591">
      <formula>#REF! = "produs"</formula>
    </cfRule>
    <cfRule type="expression" dxfId="9111" priority="592">
      <formula>#REF! = "obiectiv"</formula>
    </cfRule>
  </conditionalFormatting>
  <conditionalFormatting sqref="B187">
    <cfRule type="expression" dxfId="9110" priority="589">
      <formula>#REF! = "produs"</formula>
    </cfRule>
    <cfRule type="expression" dxfId="9109" priority="590">
      <formula>#REF! = "obiectiv"</formula>
    </cfRule>
  </conditionalFormatting>
  <conditionalFormatting sqref="B184">
    <cfRule type="expression" dxfId="9108" priority="587">
      <formula>#REF! = "produs"</formula>
    </cfRule>
    <cfRule type="expression" dxfId="9107" priority="588">
      <formula>#REF! = "obiectiv"</formula>
    </cfRule>
  </conditionalFormatting>
  <conditionalFormatting sqref="B192:B193 B201 B196:B197">
    <cfRule type="expression" dxfId="9106" priority="585">
      <formula>#REF! = "produs"</formula>
    </cfRule>
    <cfRule type="expression" dxfId="9105" priority="586">
      <formula>#REF! = "obiectiv"</formula>
    </cfRule>
  </conditionalFormatting>
  <conditionalFormatting sqref="B200">
    <cfRule type="expression" dxfId="9104" priority="583">
      <formula>#REF! = "produs"</formula>
    </cfRule>
    <cfRule type="expression" dxfId="9103" priority="584">
      <formula>#REF! = "obiectiv"</formula>
    </cfRule>
  </conditionalFormatting>
  <conditionalFormatting sqref="B199">
    <cfRule type="expression" dxfId="9102" priority="581">
      <formula>#REF! = "produs"</formula>
    </cfRule>
    <cfRule type="expression" dxfId="9101" priority="582">
      <formula>#REF! = "obiectiv"</formula>
    </cfRule>
  </conditionalFormatting>
  <conditionalFormatting sqref="B198">
    <cfRule type="expression" dxfId="9100" priority="579">
      <formula>#REF! = "produs"</formula>
    </cfRule>
    <cfRule type="expression" dxfId="9099" priority="580">
      <formula>#REF! = "obiectiv"</formula>
    </cfRule>
  </conditionalFormatting>
  <conditionalFormatting sqref="B195">
    <cfRule type="expression" dxfId="9098" priority="577">
      <formula>#REF! = "produs"</formula>
    </cfRule>
    <cfRule type="expression" dxfId="9097" priority="578">
      <formula>#REF! = "obiectiv"</formula>
    </cfRule>
  </conditionalFormatting>
  <conditionalFormatting sqref="B203:B204 B212 B207:B208">
    <cfRule type="expression" dxfId="9096" priority="575">
      <formula>#REF! = "produs"</formula>
    </cfRule>
    <cfRule type="expression" dxfId="9095" priority="576">
      <formula>#REF! = "obiectiv"</formula>
    </cfRule>
  </conditionalFormatting>
  <conditionalFormatting sqref="B211">
    <cfRule type="expression" dxfId="9094" priority="573">
      <formula>#REF! = "produs"</formula>
    </cfRule>
    <cfRule type="expression" dxfId="9093" priority="574">
      <formula>#REF! = "obiectiv"</formula>
    </cfRule>
  </conditionalFormatting>
  <conditionalFormatting sqref="B210">
    <cfRule type="expression" dxfId="9092" priority="571">
      <formula>#REF! = "produs"</formula>
    </cfRule>
    <cfRule type="expression" dxfId="9091" priority="572">
      <formula>#REF! = "obiectiv"</formula>
    </cfRule>
  </conditionalFormatting>
  <conditionalFormatting sqref="B209">
    <cfRule type="expression" dxfId="9090" priority="569">
      <formula>#REF! = "produs"</formula>
    </cfRule>
    <cfRule type="expression" dxfId="9089" priority="570">
      <formula>#REF! = "obiectiv"</formula>
    </cfRule>
  </conditionalFormatting>
  <conditionalFormatting sqref="B206">
    <cfRule type="expression" dxfId="9088" priority="567">
      <formula>#REF! = "produs"</formula>
    </cfRule>
    <cfRule type="expression" dxfId="9087" priority="568">
      <formula>#REF! = "obiectiv"</formula>
    </cfRule>
  </conditionalFormatting>
  <conditionalFormatting sqref="B214:B215 B223 B218:B219">
    <cfRule type="expression" dxfId="9086" priority="555">
      <formula>#REF! = "produs"</formula>
    </cfRule>
    <cfRule type="expression" dxfId="9085" priority="556">
      <formula>#REF! = "obiectiv"</formula>
    </cfRule>
  </conditionalFormatting>
  <conditionalFormatting sqref="B222">
    <cfRule type="expression" dxfId="9084" priority="553">
      <formula>#REF! = "produs"</formula>
    </cfRule>
    <cfRule type="expression" dxfId="9083" priority="554">
      <formula>#REF! = "obiectiv"</formula>
    </cfRule>
  </conditionalFormatting>
  <conditionalFormatting sqref="B221">
    <cfRule type="expression" dxfId="9082" priority="551">
      <formula>#REF! = "produs"</formula>
    </cfRule>
    <cfRule type="expression" dxfId="9081" priority="552">
      <formula>#REF! = "obiectiv"</formula>
    </cfRule>
  </conditionalFormatting>
  <conditionalFormatting sqref="B220">
    <cfRule type="expression" dxfId="9080" priority="549">
      <formula>#REF! = "produs"</formula>
    </cfRule>
    <cfRule type="expression" dxfId="9079" priority="550">
      <formula>#REF! = "obiectiv"</formula>
    </cfRule>
  </conditionalFormatting>
  <conditionalFormatting sqref="B217">
    <cfRule type="expression" dxfId="9078" priority="547">
      <formula>#REF! = "produs"</formula>
    </cfRule>
    <cfRule type="expression" dxfId="9077" priority="548">
      <formula>#REF! = "obiectiv"</formula>
    </cfRule>
  </conditionalFormatting>
  <conditionalFormatting sqref="B225:B226 B234 B229:B230">
    <cfRule type="expression" dxfId="9076" priority="545">
      <formula>#REF! = "produs"</formula>
    </cfRule>
    <cfRule type="expression" dxfId="9075" priority="546">
      <formula>#REF! = "obiectiv"</formula>
    </cfRule>
  </conditionalFormatting>
  <conditionalFormatting sqref="B233">
    <cfRule type="expression" dxfId="9074" priority="543">
      <formula>#REF! = "produs"</formula>
    </cfRule>
    <cfRule type="expression" dxfId="9073" priority="544">
      <formula>#REF! = "obiectiv"</formula>
    </cfRule>
  </conditionalFormatting>
  <conditionalFormatting sqref="B232">
    <cfRule type="expression" dxfId="9072" priority="541">
      <formula>#REF! = "produs"</formula>
    </cfRule>
    <cfRule type="expression" dxfId="9071" priority="542">
      <formula>#REF! = "obiectiv"</formula>
    </cfRule>
  </conditionalFormatting>
  <conditionalFormatting sqref="B231">
    <cfRule type="expression" dxfId="9070" priority="539">
      <formula>#REF! = "produs"</formula>
    </cfRule>
    <cfRule type="expression" dxfId="9069" priority="540">
      <formula>#REF! = "obiectiv"</formula>
    </cfRule>
  </conditionalFormatting>
  <conditionalFormatting sqref="B228">
    <cfRule type="expression" dxfId="9068" priority="537">
      <formula>#REF! = "produs"</formula>
    </cfRule>
    <cfRule type="expression" dxfId="9067" priority="538">
      <formula>#REF! = "obiectiv"</formula>
    </cfRule>
  </conditionalFormatting>
  <conditionalFormatting sqref="B236:B237 B245 B240:B241">
    <cfRule type="expression" dxfId="9066" priority="535">
      <formula>#REF! = "produs"</formula>
    </cfRule>
    <cfRule type="expression" dxfId="9065" priority="536">
      <formula>#REF! = "obiectiv"</formula>
    </cfRule>
  </conditionalFormatting>
  <conditionalFormatting sqref="B244">
    <cfRule type="expression" dxfId="9064" priority="533">
      <formula>#REF! = "produs"</formula>
    </cfRule>
    <cfRule type="expression" dxfId="9063" priority="534">
      <formula>#REF! = "obiectiv"</formula>
    </cfRule>
  </conditionalFormatting>
  <conditionalFormatting sqref="B243">
    <cfRule type="expression" dxfId="9062" priority="531">
      <formula>#REF! = "produs"</formula>
    </cfRule>
    <cfRule type="expression" dxfId="9061" priority="532">
      <formula>#REF! = "obiectiv"</formula>
    </cfRule>
  </conditionalFormatting>
  <conditionalFormatting sqref="B242">
    <cfRule type="expression" dxfId="9060" priority="529">
      <formula>#REF! = "produs"</formula>
    </cfRule>
    <cfRule type="expression" dxfId="9059" priority="530">
      <formula>#REF! = "obiectiv"</formula>
    </cfRule>
  </conditionalFormatting>
  <conditionalFormatting sqref="B239">
    <cfRule type="expression" dxfId="9058" priority="527">
      <formula>#REF! = "produs"</formula>
    </cfRule>
    <cfRule type="expression" dxfId="9057" priority="528">
      <formula>#REF! = "obiectiv"</formula>
    </cfRule>
  </conditionalFormatting>
  <conditionalFormatting sqref="B269:B270 B278 B273:B274">
    <cfRule type="expression" dxfId="9056" priority="485">
      <formula>#REF! = "produs"</formula>
    </cfRule>
    <cfRule type="expression" dxfId="9055" priority="486">
      <formula>#REF! = "obiectiv"</formula>
    </cfRule>
  </conditionalFormatting>
  <conditionalFormatting sqref="B277">
    <cfRule type="expression" dxfId="9054" priority="483">
      <formula>#REF! = "produs"</formula>
    </cfRule>
    <cfRule type="expression" dxfId="9053" priority="484">
      <formula>#REF! = "obiectiv"</formula>
    </cfRule>
  </conditionalFormatting>
  <conditionalFormatting sqref="B276">
    <cfRule type="expression" dxfId="9052" priority="481">
      <formula>#REF! = "produs"</formula>
    </cfRule>
    <cfRule type="expression" dxfId="9051" priority="482">
      <formula>#REF! = "obiectiv"</formula>
    </cfRule>
  </conditionalFormatting>
  <conditionalFormatting sqref="B275">
    <cfRule type="expression" dxfId="9050" priority="479">
      <formula>#REF! = "produs"</formula>
    </cfRule>
    <cfRule type="expression" dxfId="9049" priority="480">
      <formula>#REF! = "obiectiv"</formula>
    </cfRule>
  </conditionalFormatting>
  <conditionalFormatting sqref="B272">
    <cfRule type="expression" dxfId="9048" priority="477">
      <formula>#REF! = "produs"</formula>
    </cfRule>
    <cfRule type="expression" dxfId="9047" priority="478">
      <formula>#REF! = "obiectiv"</formula>
    </cfRule>
  </conditionalFormatting>
  <conditionalFormatting sqref="B280:B281 B289 B284:B285">
    <cfRule type="expression" dxfId="9046" priority="475">
      <formula>#REF! = "produs"</formula>
    </cfRule>
    <cfRule type="expression" dxfId="9045" priority="476">
      <formula>#REF! = "obiectiv"</formula>
    </cfRule>
  </conditionalFormatting>
  <conditionalFormatting sqref="B288">
    <cfRule type="expression" dxfId="9044" priority="473">
      <formula>#REF! = "produs"</formula>
    </cfRule>
    <cfRule type="expression" dxfId="9043" priority="474">
      <formula>#REF! = "obiectiv"</formula>
    </cfRule>
  </conditionalFormatting>
  <conditionalFormatting sqref="B287">
    <cfRule type="expression" dxfId="9042" priority="471">
      <formula>#REF! = "produs"</formula>
    </cfRule>
    <cfRule type="expression" dxfId="9041" priority="472">
      <formula>#REF! = "obiectiv"</formula>
    </cfRule>
  </conditionalFormatting>
  <conditionalFormatting sqref="B286">
    <cfRule type="expression" dxfId="9040" priority="469">
      <formula>#REF! = "produs"</formula>
    </cfRule>
    <cfRule type="expression" dxfId="9039" priority="470">
      <formula>#REF! = "obiectiv"</formula>
    </cfRule>
  </conditionalFormatting>
  <conditionalFormatting sqref="B283">
    <cfRule type="expression" dxfId="9038" priority="467">
      <formula>#REF! = "produs"</formula>
    </cfRule>
    <cfRule type="expression" dxfId="9037" priority="468">
      <formula>#REF! = "obiectiv"</formula>
    </cfRule>
  </conditionalFormatting>
  <conditionalFormatting sqref="B291:B292 B300 B295:B296">
    <cfRule type="expression" dxfId="9036" priority="465">
      <formula>#REF! = "produs"</formula>
    </cfRule>
    <cfRule type="expression" dxfId="9035" priority="466">
      <formula>#REF! = "obiectiv"</formula>
    </cfRule>
  </conditionalFormatting>
  <conditionalFormatting sqref="B299">
    <cfRule type="expression" dxfId="9034" priority="463">
      <formula>#REF! = "produs"</formula>
    </cfRule>
    <cfRule type="expression" dxfId="9033" priority="464">
      <formula>#REF! = "obiectiv"</formula>
    </cfRule>
  </conditionalFormatting>
  <conditionalFormatting sqref="B298">
    <cfRule type="expression" dxfId="9032" priority="461">
      <formula>#REF! = "produs"</formula>
    </cfRule>
    <cfRule type="expression" dxfId="9031" priority="462">
      <formula>#REF! = "obiectiv"</formula>
    </cfRule>
  </conditionalFormatting>
  <conditionalFormatting sqref="B297">
    <cfRule type="expression" dxfId="9030" priority="459">
      <formula>#REF! = "produs"</formula>
    </cfRule>
    <cfRule type="expression" dxfId="9029" priority="460">
      <formula>#REF! = "obiectiv"</formula>
    </cfRule>
  </conditionalFormatting>
  <conditionalFormatting sqref="B294">
    <cfRule type="expression" dxfId="9028" priority="457">
      <formula>#REF! = "produs"</formula>
    </cfRule>
    <cfRule type="expression" dxfId="9027" priority="458">
      <formula>#REF! = "obiectiv"</formula>
    </cfRule>
  </conditionalFormatting>
  <conditionalFormatting sqref="B302:B303 B311 B306:B307">
    <cfRule type="expression" dxfId="9026" priority="445">
      <formula>#REF! = "produs"</formula>
    </cfRule>
    <cfRule type="expression" dxfId="9025" priority="446">
      <formula>#REF! = "obiectiv"</formula>
    </cfRule>
  </conditionalFormatting>
  <conditionalFormatting sqref="B310">
    <cfRule type="expression" dxfId="9024" priority="443">
      <formula>#REF! = "produs"</formula>
    </cfRule>
    <cfRule type="expression" dxfId="9023" priority="444">
      <formula>#REF! = "obiectiv"</formula>
    </cfRule>
  </conditionalFormatting>
  <conditionalFormatting sqref="B309">
    <cfRule type="expression" dxfId="9022" priority="441">
      <formula>#REF! = "produs"</formula>
    </cfRule>
    <cfRule type="expression" dxfId="9021" priority="442">
      <formula>#REF! = "obiectiv"</formula>
    </cfRule>
  </conditionalFormatting>
  <conditionalFormatting sqref="B308">
    <cfRule type="expression" dxfId="9020" priority="439">
      <formula>#REF! = "produs"</formula>
    </cfRule>
    <cfRule type="expression" dxfId="9019" priority="440">
      <formula>#REF! = "obiectiv"</formula>
    </cfRule>
  </conditionalFormatting>
  <conditionalFormatting sqref="B305">
    <cfRule type="expression" dxfId="9018" priority="437">
      <formula>#REF! = "produs"</formula>
    </cfRule>
    <cfRule type="expression" dxfId="9017" priority="438">
      <formula>#REF! = "obiectiv"</formula>
    </cfRule>
  </conditionalFormatting>
  <conditionalFormatting sqref="B313:B314 B322 B317:B318">
    <cfRule type="expression" dxfId="9016" priority="435">
      <formula>#REF! = "produs"</formula>
    </cfRule>
    <cfRule type="expression" dxfId="9015" priority="436">
      <formula>#REF! = "obiectiv"</formula>
    </cfRule>
  </conditionalFormatting>
  <conditionalFormatting sqref="B321">
    <cfRule type="expression" dxfId="9014" priority="433">
      <formula>#REF! = "produs"</formula>
    </cfRule>
    <cfRule type="expression" dxfId="9013" priority="434">
      <formula>#REF! = "obiectiv"</formula>
    </cfRule>
  </conditionalFormatting>
  <conditionalFormatting sqref="B320">
    <cfRule type="expression" dxfId="9012" priority="431">
      <formula>#REF! = "produs"</formula>
    </cfRule>
    <cfRule type="expression" dxfId="9011" priority="432">
      <formula>#REF! = "obiectiv"</formula>
    </cfRule>
  </conditionalFormatting>
  <conditionalFormatting sqref="B319">
    <cfRule type="expression" dxfId="9010" priority="429">
      <formula>#REF! = "produs"</formula>
    </cfRule>
    <cfRule type="expression" dxfId="9009" priority="430">
      <formula>#REF! = "obiectiv"</formula>
    </cfRule>
  </conditionalFormatting>
  <conditionalFormatting sqref="B316">
    <cfRule type="expression" dxfId="9008" priority="427">
      <formula>#REF! = "produs"</formula>
    </cfRule>
    <cfRule type="expression" dxfId="9007" priority="428">
      <formula>#REF! = "obiectiv"</formula>
    </cfRule>
  </conditionalFormatting>
  <conditionalFormatting sqref="B324:B325 B333 B328:B329">
    <cfRule type="expression" dxfId="9006" priority="425">
      <formula>#REF! = "produs"</formula>
    </cfRule>
    <cfRule type="expression" dxfId="9005" priority="426">
      <formula>#REF! = "obiectiv"</formula>
    </cfRule>
  </conditionalFormatting>
  <conditionalFormatting sqref="B332">
    <cfRule type="expression" dxfId="9004" priority="423">
      <formula>#REF! = "produs"</formula>
    </cfRule>
    <cfRule type="expression" dxfId="9003" priority="424">
      <formula>#REF! = "obiectiv"</formula>
    </cfRule>
  </conditionalFormatting>
  <conditionalFormatting sqref="B331">
    <cfRule type="expression" dxfId="9002" priority="421">
      <formula>#REF! = "produs"</formula>
    </cfRule>
    <cfRule type="expression" dxfId="9001" priority="422">
      <formula>#REF! = "obiectiv"</formula>
    </cfRule>
  </conditionalFormatting>
  <conditionalFormatting sqref="B330">
    <cfRule type="expression" dxfId="9000" priority="419">
      <formula>#REF! = "produs"</formula>
    </cfRule>
    <cfRule type="expression" dxfId="8999" priority="420">
      <formula>#REF! = "obiectiv"</formula>
    </cfRule>
  </conditionalFormatting>
  <conditionalFormatting sqref="B327">
    <cfRule type="expression" dxfId="8998" priority="417">
      <formula>#REF! = "produs"</formula>
    </cfRule>
    <cfRule type="expression" dxfId="8997" priority="418">
      <formula>#REF! = "obiectiv"</formula>
    </cfRule>
  </conditionalFormatting>
  <conditionalFormatting sqref="B335:B336 B344 B339:B340">
    <cfRule type="expression" dxfId="8996" priority="415">
      <formula>#REF! = "produs"</formula>
    </cfRule>
    <cfRule type="expression" dxfId="8995" priority="416">
      <formula>#REF! = "obiectiv"</formula>
    </cfRule>
  </conditionalFormatting>
  <conditionalFormatting sqref="B343">
    <cfRule type="expression" dxfId="8994" priority="413">
      <formula>#REF! = "produs"</formula>
    </cfRule>
    <cfRule type="expression" dxfId="8993" priority="414">
      <formula>#REF! = "obiectiv"</formula>
    </cfRule>
  </conditionalFormatting>
  <conditionalFormatting sqref="B342">
    <cfRule type="expression" dxfId="8992" priority="411">
      <formula>#REF! = "produs"</formula>
    </cfRule>
    <cfRule type="expression" dxfId="8991" priority="412">
      <formula>#REF! = "obiectiv"</formula>
    </cfRule>
  </conditionalFormatting>
  <conditionalFormatting sqref="B341">
    <cfRule type="expression" dxfId="8990" priority="409">
      <formula>#REF! = "produs"</formula>
    </cfRule>
    <cfRule type="expression" dxfId="8989" priority="410">
      <formula>#REF! = "obiectiv"</formula>
    </cfRule>
  </conditionalFormatting>
  <conditionalFormatting sqref="B338">
    <cfRule type="expression" dxfId="8988" priority="407">
      <formula>#REF! = "produs"</formula>
    </cfRule>
    <cfRule type="expression" dxfId="8987" priority="408">
      <formula>#REF! = "obiectiv"</formula>
    </cfRule>
  </conditionalFormatting>
  <conditionalFormatting sqref="B346:B347 B355 B350:B351">
    <cfRule type="expression" dxfId="8986" priority="405">
      <formula>#REF! = "produs"</formula>
    </cfRule>
    <cfRule type="expression" dxfId="8985" priority="406">
      <formula>#REF! = "obiectiv"</formula>
    </cfRule>
  </conditionalFormatting>
  <conditionalFormatting sqref="B354">
    <cfRule type="expression" dxfId="8984" priority="403">
      <formula>#REF! = "produs"</formula>
    </cfRule>
    <cfRule type="expression" dxfId="8983" priority="404">
      <formula>#REF! = "obiectiv"</formula>
    </cfRule>
  </conditionalFormatting>
  <conditionalFormatting sqref="B353">
    <cfRule type="expression" dxfId="8982" priority="401">
      <formula>#REF! = "produs"</formula>
    </cfRule>
    <cfRule type="expression" dxfId="8981" priority="402">
      <formula>#REF! = "obiectiv"</formula>
    </cfRule>
  </conditionalFormatting>
  <conditionalFormatting sqref="B352">
    <cfRule type="expression" dxfId="8980" priority="399">
      <formula>#REF! = "produs"</formula>
    </cfRule>
    <cfRule type="expression" dxfId="8979" priority="400">
      <formula>#REF! = "obiectiv"</formula>
    </cfRule>
  </conditionalFormatting>
  <conditionalFormatting sqref="B349">
    <cfRule type="expression" dxfId="8978" priority="397">
      <formula>#REF! = "produs"</formula>
    </cfRule>
    <cfRule type="expression" dxfId="8977" priority="398">
      <formula>#REF! = "obiectiv"</formula>
    </cfRule>
  </conditionalFormatting>
  <conditionalFormatting sqref="B357:B358 B366 B361:B362">
    <cfRule type="expression" dxfId="8976" priority="395">
      <formula>#REF! = "produs"</formula>
    </cfRule>
    <cfRule type="expression" dxfId="8975" priority="396">
      <formula>#REF! = "obiectiv"</formula>
    </cfRule>
  </conditionalFormatting>
  <conditionalFormatting sqref="B365">
    <cfRule type="expression" dxfId="8974" priority="393">
      <formula>#REF! = "produs"</formula>
    </cfRule>
    <cfRule type="expression" dxfId="8973" priority="394">
      <formula>#REF! = "obiectiv"</formula>
    </cfRule>
  </conditionalFormatting>
  <conditionalFormatting sqref="B364">
    <cfRule type="expression" dxfId="8972" priority="391">
      <formula>#REF! = "produs"</formula>
    </cfRule>
    <cfRule type="expression" dxfId="8971" priority="392">
      <formula>#REF! = "obiectiv"</formula>
    </cfRule>
  </conditionalFormatting>
  <conditionalFormatting sqref="B363">
    <cfRule type="expression" dxfId="8970" priority="389">
      <formula>#REF! = "produs"</formula>
    </cfRule>
    <cfRule type="expression" dxfId="8969" priority="390">
      <formula>#REF! = "obiectiv"</formula>
    </cfRule>
  </conditionalFormatting>
  <conditionalFormatting sqref="B360">
    <cfRule type="expression" dxfId="8968" priority="387">
      <formula>#REF! = "produs"</formula>
    </cfRule>
    <cfRule type="expression" dxfId="8967" priority="388">
      <formula>#REF! = "obiectiv"</formula>
    </cfRule>
  </conditionalFormatting>
  <conditionalFormatting sqref="B368:B369 B377 B372:B373">
    <cfRule type="expression" dxfId="8966" priority="385">
      <formula>#REF! = "produs"</formula>
    </cfRule>
    <cfRule type="expression" dxfId="8965" priority="386">
      <formula>#REF! = "obiectiv"</formula>
    </cfRule>
  </conditionalFormatting>
  <conditionalFormatting sqref="B376">
    <cfRule type="expression" dxfId="8964" priority="383">
      <formula>#REF! = "produs"</formula>
    </cfRule>
    <cfRule type="expression" dxfId="8963" priority="384">
      <formula>#REF! = "obiectiv"</formula>
    </cfRule>
  </conditionalFormatting>
  <conditionalFormatting sqref="B375">
    <cfRule type="expression" dxfId="8962" priority="381">
      <formula>#REF! = "produs"</formula>
    </cfRule>
    <cfRule type="expression" dxfId="8961" priority="382">
      <formula>#REF! = "obiectiv"</formula>
    </cfRule>
  </conditionalFormatting>
  <conditionalFormatting sqref="B374">
    <cfRule type="expression" dxfId="8960" priority="379">
      <formula>#REF! = "produs"</formula>
    </cfRule>
    <cfRule type="expression" dxfId="8959" priority="380">
      <formula>#REF! = "obiectiv"</formula>
    </cfRule>
  </conditionalFormatting>
  <conditionalFormatting sqref="B371">
    <cfRule type="expression" dxfId="8958" priority="377">
      <formula>#REF! = "produs"</formula>
    </cfRule>
    <cfRule type="expression" dxfId="8957" priority="378">
      <formula>#REF! = "obiectiv"</formula>
    </cfRule>
  </conditionalFormatting>
  <conditionalFormatting sqref="B379:B380 B388 B383:B384">
    <cfRule type="expression" dxfId="8956" priority="375">
      <formula>#REF! = "produs"</formula>
    </cfRule>
    <cfRule type="expression" dxfId="8955" priority="376">
      <formula>#REF! = "obiectiv"</formula>
    </cfRule>
  </conditionalFormatting>
  <conditionalFormatting sqref="B387">
    <cfRule type="expression" dxfId="8954" priority="373">
      <formula>#REF! = "produs"</formula>
    </cfRule>
    <cfRule type="expression" dxfId="8953" priority="374">
      <formula>#REF! = "obiectiv"</formula>
    </cfRule>
  </conditionalFormatting>
  <conditionalFormatting sqref="B386">
    <cfRule type="expression" dxfId="8952" priority="371">
      <formula>#REF! = "produs"</formula>
    </cfRule>
    <cfRule type="expression" dxfId="8951" priority="372">
      <formula>#REF! = "obiectiv"</formula>
    </cfRule>
  </conditionalFormatting>
  <conditionalFormatting sqref="B385">
    <cfRule type="expression" dxfId="8950" priority="369">
      <formula>#REF! = "produs"</formula>
    </cfRule>
    <cfRule type="expression" dxfId="8949" priority="370">
      <formula>#REF! = "obiectiv"</formula>
    </cfRule>
  </conditionalFormatting>
  <conditionalFormatting sqref="B382">
    <cfRule type="expression" dxfId="8948" priority="367">
      <formula>#REF! = "produs"</formula>
    </cfRule>
    <cfRule type="expression" dxfId="8947" priority="368">
      <formula>#REF! = "obiectiv"</formula>
    </cfRule>
  </conditionalFormatting>
  <conditionalFormatting sqref="B390:B391 B399 B394:B395">
    <cfRule type="expression" dxfId="8946" priority="365">
      <formula>#REF! = "produs"</formula>
    </cfRule>
    <cfRule type="expression" dxfId="8945" priority="366">
      <formula>#REF! = "obiectiv"</formula>
    </cfRule>
  </conditionalFormatting>
  <conditionalFormatting sqref="B398">
    <cfRule type="expression" dxfId="8944" priority="363">
      <formula>#REF! = "produs"</formula>
    </cfRule>
    <cfRule type="expression" dxfId="8943" priority="364">
      <formula>#REF! = "obiectiv"</formula>
    </cfRule>
  </conditionalFormatting>
  <conditionalFormatting sqref="B397">
    <cfRule type="expression" dxfId="8942" priority="361">
      <formula>#REF! = "produs"</formula>
    </cfRule>
    <cfRule type="expression" dxfId="8941" priority="362">
      <formula>#REF! = "obiectiv"</formula>
    </cfRule>
  </conditionalFormatting>
  <conditionalFormatting sqref="B396">
    <cfRule type="expression" dxfId="8940" priority="359">
      <formula>#REF! = "produs"</formula>
    </cfRule>
    <cfRule type="expression" dxfId="8939" priority="360">
      <formula>#REF! = "obiectiv"</formula>
    </cfRule>
  </conditionalFormatting>
  <conditionalFormatting sqref="B393">
    <cfRule type="expression" dxfId="8938" priority="357">
      <formula>#REF! = "produs"</formula>
    </cfRule>
    <cfRule type="expression" dxfId="8937" priority="358">
      <formula>#REF! = "obiectiv"</formula>
    </cfRule>
  </conditionalFormatting>
  <conditionalFormatting sqref="B401:B402 B410 B405:B406">
    <cfRule type="expression" dxfId="8936" priority="355">
      <formula>#REF! = "produs"</formula>
    </cfRule>
    <cfRule type="expression" dxfId="8935" priority="356">
      <formula>#REF! = "obiectiv"</formula>
    </cfRule>
  </conditionalFormatting>
  <conditionalFormatting sqref="B409">
    <cfRule type="expression" dxfId="8934" priority="353">
      <formula>#REF! = "produs"</formula>
    </cfRule>
    <cfRule type="expression" dxfId="8933" priority="354">
      <formula>#REF! = "obiectiv"</formula>
    </cfRule>
  </conditionalFormatting>
  <conditionalFormatting sqref="B408">
    <cfRule type="expression" dxfId="8932" priority="351">
      <formula>#REF! = "produs"</formula>
    </cfRule>
    <cfRule type="expression" dxfId="8931" priority="352">
      <formula>#REF! = "obiectiv"</formula>
    </cfRule>
  </conditionalFormatting>
  <conditionalFormatting sqref="B407">
    <cfRule type="expression" dxfId="8930" priority="349">
      <formula>#REF! = "produs"</formula>
    </cfRule>
    <cfRule type="expression" dxfId="8929" priority="350">
      <formula>#REF! = "obiectiv"</formula>
    </cfRule>
  </conditionalFormatting>
  <conditionalFormatting sqref="B404">
    <cfRule type="expression" dxfId="8928" priority="347">
      <formula>#REF! = "produs"</formula>
    </cfRule>
    <cfRule type="expression" dxfId="8927" priority="348">
      <formula>#REF! = "obiectiv"</formula>
    </cfRule>
  </conditionalFormatting>
  <conditionalFormatting sqref="B412:B413 B421 B416:B417">
    <cfRule type="expression" dxfId="8926" priority="345">
      <formula>#REF! = "produs"</formula>
    </cfRule>
    <cfRule type="expression" dxfId="8925" priority="346">
      <formula>#REF! = "obiectiv"</formula>
    </cfRule>
  </conditionalFormatting>
  <conditionalFormatting sqref="B420">
    <cfRule type="expression" dxfId="8924" priority="343">
      <formula>#REF! = "produs"</formula>
    </cfRule>
    <cfRule type="expression" dxfId="8923" priority="344">
      <formula>#REF! = "obiectiv"</formula>
    </cfRule>
  </conditionalFormatting>
  <conditionalFormatting sqref="B419">
    <cfRule type="expression" dxfId="8922" priority="341">
      <formula>#REF! = "produs"</formula>
    </cfRule>
    <cfRule type="expression" dxfId="8921" priority="342">
      <formula>#REF! = "obiectiv"</formula>
    </cfRule>
  </conditionalFormatting>
  <conditionalFormatting sqref="B418">
    <cfRule type="expression" dxfId="8920" priority="339">
      <formula>#REF! = "produs"</formula>
    </cfRule>
    <cfRule type="expression" dxfId="8919" priority="340">
      <formula>#REF! = "obiectiv"</formula>
    </cfRule>
  </conditionalFormatting>
  <conditionalFormatting sqref="B415">
    <cfRule type="expression" dxfId="8918" priority="337">
      <formula>#REF! = "produs"</formula>
    </cfRule>
    <cfRule type="expression" dxfId="8917" priority="338">
      <formula>#REF! = "obiectiv"</formula>
    </cfRule>
  </conditionalFormatting>
  <conditionalFormatting sqref="B423:B424 B432 B427:B428">
    <cfRule type="expression" dxfId="8916" priority="335">
      <formula>#REF! = "produs"</formula>
    </cfRule>
    <cfRule type="expression" dxfId="8915" priority="336">
      <formula>#REF! = "obiectiv"</formula>
    </cfRule>
  </conditionalFormatting>
  <conditionalFormatting sqref="B431">
    <cfRule type="expression" dxfId="8914" priority="333">
      <formula>#REF! = "produs"</formula>
    </cfRule>
    <cfRule type="expression" dxfId="8913" priority="334">
      <formula>#REF! = "obiectiv"</formula>
    </cfRule>
  </conditionalFormatting>
  <conditionalFormatting sqref="B430">
    <cfRule type="expression" dxfId="8912" priority="331">
      <formula>#REF! = "produs"</formula>
    </cfRule>
    <cfRule type="expression" dxfId="8911" priority="332">
      <formula>#REF! = "obiectiv"</formula>
    </cfRule>
  </conditionalFormatting>
  <conditionalFormatting sqref="B429">
    <cfRule type="expression" dxfId="8910" priority="329">
      <formula>#REF! = "produs"</formula>
    </cfRule>
    <cfRule type="expression" dxfId="8909" priority="330">
      <formula>#REF! = "obiectiv"</formula>
    </cfRule>
  </conditionalFormatting>
  <conditionalFormatting sqref="B426">
    <cfRule type="expression" dxfId="8908" priority="327">
      <formula>#REF! = "produs"</formula>
    </cfRule>
    <cfRule type="expression" dxfId="8907" priority="328">
      <formula>#REF! = "obiectiv"</formula>
    </cfRule>
  </conditionalFormatting>
  <conditionalFormatting sqref="B434:B435 B443 B438:B439">
    <cfRule type="expression" dxfId="8906" priority="325">
      <formula>#REF! = "produs"</formula>
    </cfRule>
    <cfRule type="expression" dxfId="8905" priority="326">
      <formula>#REF! = "obiectiv"</formula>
    </cfRule>
  </conditionalFormatting>
  <conditionalFormatting sqref="B442">
    <cfRule type="expression" dxfId="8904" priority="323">
      <formula>#REF! = "produs"</formula>
    </cfRule>
    <cfRule type="expression" dxfId="8903" priority="324">
      <formula>#REF! = "obiectiv"</formula>
    </cfRule>
  </conditionalFormatting>
  <conditionalFormatting sqref="B441">
    <cfRule type="expression" dxfId="8902" priority="321">
      <formula>#REF! = "produs"</formula>
    </cfRule>
    <cfRule type="expression" dxfId="8901" priority="322">
      <formula>#REF! = "obiectiv"</formula>
    </cfRule>
  </conditionalFormatting>
  <conditionalFormatting sqref="B440">
    <cfRule type="expression" dxfId="8900" priority="319">
      <formula>#REF! = "produs"</formula>
    </cfRule>
    <cfRule type="expression" dxfId="8899" priority="320">
      <formula>#REF! = "obiectiv"</formula>
    </cfRule>
  </conditionalFormatting>
  <conditionalFormatting sqref="B437">
    <cfRule type="expression" dxfId="8898" priority="317">
      <formula>#REF! = "produs"</formula>
    </cfRule>
    <cfRule type="expression" dxfId="8897" priority="318">
      <formula>#REF! = "obiectiv"</formula>
    </cfRule>
  </conditionalFormatting>
  <conditionalFormatting sqref="B445:B446 B454 B449:B450">
    <cfRule type="expression" dxfId="8896" priority="315">
      <formula>#REF! = "produs"</formula>
    </cfRule>
    <cfRule type="expression" dxfId="8895" priority="316">
      <formula>#REF! = "obiectiv"</formula>
    </cfRule>
  </conditionalFormatting>
  <conditionalFormatting sqref="B453">
    <cfRule type="expression" dxfId="8894" priority="313">
      <formula>#REF! = "produs"</formula>
    </cfRule>
    <cfRule type="expression" dxfId="8893" priority="314">
      <formula>#REF! = "obiectiv"</formula>
    </cfRule>
  </conditionalFormatting>
  <conditionalFormatting sqref="B452">
    <cfRule type="expression" dxfId="8892" priority="311">
      <formula>#REF! = "produs"</formula>
    </cfRule>
    <cfRule type="expression" dxfId="8891" priority="312">
      <formula>#REF! = "obiectiv"</formula>
    </cfRule>
  </conditionalFormatting>
  <conditionalFormatting sqref="B451">
    <cfRule type="expression" dxfId="8890" priority="309">
      <formula>#REF! = "produs"</formula>
    </cfRule>
    <cfRule type="expression" dxfId="8889" priority="310">
      <formula>#REF! = "obiectiv"</formula>
    </cfRule>
  </conditionalFormatting>
  <conditionalFormatting sqref="B448">
    <cfRule type="expression" dxfId="8888" priority="307">
      <formula>#REF! = "produs"</formula>
    </cfRule>
    <cfRule type="expression" dxfId="8887" priority="308">
      <formula>#REF! = "obiectiv"</formula>
    </cfRule>
  </conditionalFormatting>
  <conditionalFormatting sqref="B456:B457 B465 B460:B461">
    <cfRule type="expression" dxfId="8886" priority="305">
      <formula>#REF! = "produs"</formula>
    </cfRule>
    <cfRule type="expression" dxfId="8885" priority="306">
      <formula>#REF! = "obiectiv"</formula>
    </cfRule>
  </conditionalFormatting>
  <conditionalFormatting sqref="B464">
    <cfRule type="expression" dxfId="8884" priority="303">
      <formula>#REF! = "produs"</formula>
    </cfRule>
    <cfRule type="expression" dxfId="8883" priority="304">
      <formula>#REF! = "obiectiv"</formula>
    </cfRule>
  </conditionalFormatting>
  <conditionalFormatting sqref="B463">
    <cfRule type="expression" dxfId="8882" priority="301">
      <formula>#REF! = "produs"</formula>
    </cfRule>
    <cfRule type="expression" dxfId="8881" priority="302">
      <formula>#REF! = "obiectiv"</formula>
    </cfRule>
  </conditionalFormatting>
  <conditionalFormatting sqref="B462">
    <cfRule type="expression" dxfId="8880" priority="299">
      <formula>#REF! = "produs"</formula>
    </cfRule>
    <cfRule type="expression" dxfId="8879" priority="300">
      <formula>#REF! = "obiectiv"</formula>
    </cfRule>
  </conditionalFormatting>
  <conditionalFormatting sqref="B459">
    <cfRule type="expression" dxfId="8878" priority="297">
      <formula>#REF! = "produs"</formula>
    </cfRule>
    <cfRule type="expression" dxfId="8877" priority="298">
      <formula>#REF! = "obiectiv"</formula>
    </cfRule>
  </conditionalFormatting>
  <conditionalFormatting sqref="B467:B468 B476 B471:B472">
    <cfRule type="expression" dxfId="8876" priority="295">
      <formula>#REF! = "produs"</formula>
    </cfRule>
    <cfRule type="expression" dxfId="8875" priority="296">
      <formula>#REF! = "obiectiv"</formula>
    </cfRule>
  </conditionalFormatting>
  <conditionalFormatting sqref="B475">
    <cfRule type="expression" dxfId="8874" priority="293">
      <formula>#REF! = "produs"</formula>
    </cfRule>
    <cfRule type="expression" dxfId="8873" priority="294">
      <formula>#REF! = "obiectiv"</formula>
    </cfRule>
  </conditionalFormatting>
  <conditionalFormatting sqref="B474">
    <cfRule type="expression" dxfId="8872" priority="291">
      <formula>#REF! = "produs"</formula>
    </cfRule>
    <cfRule type="expression" dxfId="8871" priority="292">
      <formula>#REF! = "obiectiv"</formula>
    </cfRule>
  </conditionalFormatting>
  <conditionalFormatting sqref="B473">
    <cfRule type="expression" dxfId="8870" priority="289">
      <formula>#REF! = "produs"</formula>
    </cfRule>
    <cfRule type="expression" dxfId="8869" priority="290">
      <formula>#REF! = "obiectiv"</formula>
    </cfRule>
  </conditionalFormatting>
  <conditionalFormatting sqref="B470">
    <cfRule type="expression" dxfId="8868" priority="287">
      <formula>#REF! = "produs"</formula>
    </cfRule>
    <cfRule type="expression" dxfId="8867" priority="288">
      <formula>#REF! = "obiectiv"</formula>
    </cfRule>
  </conditionalFormatting>
  <conditionalFormatting sqref="B478:B479 B487 B482:B483">
    <cfRule type="expression" dxfId="8866" priority="285">
      <formula>#REF! = "produs"</formula>
    </cfRule>
    <cfRule type="expression" dxfId="8865" priority="286">
      <formula>#REF! = "obiectiv"</formula>
    </cfRule>
  </conditionalFormatting>
  <conditionalFormatting sqref="B486">
    <cfRule type="expression" dxfId="8864" priority="283">
      <formula>#REF! = "produs"</formula>
    </cfRule>
    <cfRule type="expression" dxfId="8863" priority="284">
      <formula>#REF! = "obiectiv"</formula>
    </cfRule>
  </conditionalFormatting>
  <conditionalFormatting sqref="B485">
    <cfRule type="expression" dxfId="8862" priority="281">
      <formula>#REF! = "produs"</formula>
    </cfRule>
    <cfRule type="expression" dxfId="8861" priority="282">
      <formula>#REF! = "obiectiv"</formula>
    </cfRule>
  </conditionalFormatting>
  <conditionalFormatting sqref="B484">
    <cfRule type="expression" dxfId="8860" priority="279">
      <formula>#REF! = "produs"</formula>
    </cfRule>
    <cfRule type="expression" dxfId="8859" priority="280">
      <formula>#REF! = "obiectiv"</formula>
    </cfRule>
  </conditionalFormatting>
  <conditionalFormatting sqref="B481">
    <cfRule type="expression" dxfId="8858" priority="277">
      <formula>#REF! = "produs"</formula>
    </cfRule>
    <cfRule type="expression" dxfId="8857" priority="278">
      <formula>#REF! = "obiectiv"</formula>
    </cfRule>
  </conditionalFormatting>
  <conditionalFormatting sqref="B489:B490 B498 B493:B494">
    <cfRule type="expression" dxfId="8856" priority="275">
      <formula>#REF! = "produs"</formula>
    </cfRule>
    <cfRule type="expression" dxfId="8855" priority="276">
      <formula>#REF! = "obiectiv"</formula>
    </cfRule>
  </conditionalFormatting>
  <conditionalFormatting sqref="B497">
    <cfRule type="expression" dxfId="8854" priority="273">
      <formula>#REF! = "produs"</formula>
    </cfRule>
    <cfRule type="expression" dxfId="8853" priority="274">
      <formula>#REF! = "obiectiv"</formula>
    </cfRule>
  </conditionalFormatting>
  <conditionalFormatting sqref="B496">
    <cfRule type="expression" dxfId="8852" priority="271">
      <formula>#REF! = "produs"</formula>
    </cfRule>
    <cfRule type="expression" dxfId="8851" priority="272">
      <formula>#REF! = "obiectiv"</formula>
    </cfRule>
  </conditionalFormatting>
  <conditionalFormatting sqref="B495">
    <cfRule type="expression" dxfId="8850" priority="269">
      <formula>#REF! = "produs"</formula>
    </cfRule>
    <cfRule type="expression" dxfId="8849" priority="270">
      <formula>#REF! = "obiectiv"</formula>
    </cfRule>
  </conditionalFormatting>
  <conditionalFormatting sqref="B492">
    <cfRule type="expression" dxfId="8848" priority="267">
      <formula>#REF! = "produs"</formula>
    </cfRule>
    <cfRule type="expression" dxfId="8847" priority="268">
      <formula>#REF! = "obiectiv"</formula>
    </cfRule>
  </conditionalFormatting>
  <conditionalFormatting sqref="B500:B501 B509 B504:B505">
    <cfRule type="expression" dxfId="8846" priority="265">
      <formula>#REF! = "produs"</formula>
    </cfRule>
    <cfRule type="expression" dxfId="8845" priority="266">
      <formula>#REF! = "obiectiv"</formula>
    </cfRule>
  </conditionalFormatting>
  <conditionalFormatting sqref="B508">
    <cfRule type="expression" dxfId="8844" priority="263">
      <formula>#REF! = "produs"</formula>
    </cfRule>
    <cfRule type="expression" dxfId="8843" priority="264">
      <formula>#REF! = "obiectiv"</formula>
    </cfRule>
  </conditionalFormatting>
  <conditionalFormatting sqref="B507">
    <cfRule type="expression" dxfId="8842" priority="261">
      <formula>#REF! = "produs"</formula>
    </cfRule>
    <cfRule type="expression" dxfId="8841" priority="262">
      <formula>#REF! = "obiectiv"</formula>
    </cfRule>
  </conditionalFormatting>
  <conditionalFormatting sqref="B506">
    <cfRule type="expression" dxfId="8840" priority="259">
      <formula>#REF! = "produs"</formula>
    </cfRule>
    <cfRule type="expression" dxfId="8839" priority="260">
      <formula>#REF! = "obiectiv"</formula>
    </cfRule>
  </conditionalFormatting>
  <conditionalFormatting sqref="B503">
    <cfRule type="expression" dxfId="8838" priority="257">
      <formula>#REF! = "produs"</formula>
    </cfRule>
    <cfRule type="expression" dxfId="8837" priority="258">
      <formula>#REF! = "obiectiv"</formula>
    </cfRule>
  </conditionalFormatting>
  <conditionalFormatting sqref="B511:B512 B520 B515:B516">
    <cfRule type="expression" dxfId="8836" priority="255">
      <formula>#REF! = "produs"</formula>
    </cfRule>
    <cfRule type="expression" dxfId="8835" priority="256">
      <formula>#REF! = "obiectiv"</formula>
    </cfRule>
  </conditionalFormatting>
  <conditionalFormatting sqref="B519">
    <cfRule type="expression" dxfId="8834" priority="253">
      <formula>#REF! = "produs"</formula>
    </cfRule>
    <cfRule type="expression" dxfId="8833" priority="254">
      <formula>#REF! = "obiectiv"</formula>
    </cfRule>
  </conditionalFormatting>
  <conditionalFormatting sqref="B518">
    <cfRule type="expression" dxfId="8832" priority="251">
      <formula>#REF! = "produs"</formula>
    </cfRule>
    <cfRule type="expression" dxfId="8831" priority="252">
      <formula>#REF! = "obiectiv"</formula>
    </cfRule>
  </conditionalFormatting>
  <conditionalFormatting sqref="B517">
    <cfRule type="expression" dxfId="8830" priority="249">
      <formula>#REF! = "produs"</formula>
    </cfRule>
    <cfRule type="expression" dxfId="8829" priority="250">
      <formula>#REF! = "obiectiv"</formula>
    </cfRule>
  </conditionalFormatting>
  <conditionalFormatting sqref="B514">
    <cfRule type="expression" dxfId="8828" priority="247">
      <formula>#REF! = "produs"</formula>
    </cfRule>
    <cfRule type="expression" dxfId="8827" priority="248">
      <formula>#REF! = "obiectiv"</formula>
    </cfRule>
  </conditionalFormatting>
  <conditionalFormatting sqref="B522:B523 B531 B526:B527">
    <cfRule type="expression" dxfId="8826" priority="245">
      <formula>#REF! = "produs"</formula>
    </cfRule>
    <cfRule type="expression" dxfId="8825" priority="246">
      <formula>#REF! = "obiectiv"</formula>
    </cfRule>
  </conditionalFormatting>
  <conditionalFormatting sqref="B530">
    <cfRule type="expression" dxfId="8824" priority="243">
      <formula>#REF! = "produs"</formula>
    </cfRule>
    <cfRule type="expression" dxfId="8823" priority="244">
      <formula>#REF! = "obiectiv"</formula>
    </cfRule>
  </conditionalFormatting>
  <conditionalFormatting sqref="B529">
    <cfRule type="expression" dxfId="8822" priority="241">
      <formula>#REF! = "produs"</formula>
    </cfRule>
    <cfRule type="expression" dxfId="8821" priority="242">
      <formula>#REF! = "obiectiv"</formula>
    </cfRule>
  </conditionalFormatting>
  <conditionalFormatting sqref="B528">
    <cfRule type="expression" dxfId="8820" priority="239">
      <formula>#REF! = "produs"</formula>
    </cfRule>
    <cfRule type="expression" dxfId="8819" priority="240">
      <formula>#REF! = "obiectiv"</formula>
    </cfRule>
  </conditionalFormatting>
  <conditionalFormatting sqref="B525">
    <cfRule type="expression" dxfId="8818" priority="237">
      <formula>#REF! = "produs"</formula>
    </cfRule>
    <cfRule type="expression" dxfId="8817" priority="238">
      <formula>#REF! = "obiectiv"</formula>
    </cfRule>
  </conditionalFormatting>
  <conditionalFormatting sqref="B533:B534 B542 B537:B538">
    <cfRule type="expression" dxfId="8816" priority="235">
      <formula>#REF! = "produs"</formula>
    </cfRule>
    <cfRule type="expression" dxfId="8815" priority="236">
      <formula>#REF! = "obiectiv"</formula>
    </cfRule>
  </conditionalFormatting>
  <conditionalFormatting sqref="B541">
    <cfRule type="expression" dxfId="8814" priority="233">
      <formula>#REF! = "produs"</formula>
    </cfRule>
    <cfRule type="expression" dxfId="8813" priority="234">
      <formula>#REF! = "obiectiv"</formula>
    </cfRule>
  </conditionalFormatting>
  <conditionalFormatting sqref="B540">
    <cfRule type="expression" dxfId="8812" priority="231">
      <formula>#REF! = "produs"</formula>
    </cfRule>
    <cfRule type="expression" dxfId="8811" priority="232">
      <formula>#REF! = "obiectiv"</formula>
    </cfRule>
  </conditionalFormatting>
  <conditionalFormatting sqref="B539">
    <cfRule type="expression" dxfId="8810" priority="229">
      <formula>#REF! = "produs"</formula>
    </cfRule>
    <cfRule type="expression" dxfId="8809" priority="230">
      <formula>#REF! = "obiectiv"</formula>
    </cfRule>
  </conditionalFormatting>
  <conditionalFormatting sqref="B536">
    <cfRule type="expression" dxfId="8808" priority="227">
      <formula>#REF! = "produs"</formula>
    </cfRule>
    <cfRule type="expression" dxfId="8807" priority="228">
      <formula>#REF! = "obiectiv"</formula>
    </cfRule>
  </conditionalFormatting>
  <conditionalFormatting sqref="B544:B545 B553 B548:B549">
    <cfRule type="expression" dxfId="8806" priority="225">
      <formula>#REF! = "produs"</formula>
    </cfRule>
    <cfRule type="expression" dxfId="8805" priority="226">
      <formula>#REF! = "obiectiv"</formula>
    </cfRule>
  </conditionalFormatting>
  <conditionalFormatting sqref="B552">
    <cfRule type="expression" dxfId="8804" priority="223">
      <formula>#REF! = "produs"</formula>
    </cfRule>
    <cfRule type="expression" dxfId="8803" priority="224">
      <formula>#REF! = "obiectiv"</formula>
    </cfRule>
  </conditionalFormatting>
  <conditionalFormatting sqref="B551">
    <cfRule type="expression" dxfId="8802" priority="221">
      <formula>#REF! = "produs"</formula>
    </cfRule>
    <cfRule type="expression" dxfId="8801" priority="222">
      <formula>#REF! = "obiectiv"</formula>
    </cfRule>
  </conditionalFormatting>
  <conditionalFormatting sqref="B550">
    <cfRule type="expression" dxfId="8800" priority="219">
      <formula>#REF! = "produs"</formula>
    </cfRule>
    <cfRule type="expression" dxfId="8799" priority="220">
      <formula>#REF! = "obiectiv"</formula>
    </cfRule>
  </conditionalFormatting>
  <conditionalFormatting sqref="B547">
    <cfRule type="expression" dxfId="8798" priority="217">
      <formula>#REF! = "produs"</formula>
    </cfRule>
    <cfRule type="expression" dxfId="8797" priority="218">
      <formula>#REF! = "obiectiv"</formula>
    </cfRule>
  </conditionalFormatting>
  <conditionalFormatting sqref="B555:B556 B564 B559:B560">
    <cfRule type="expression" dxfId="8796" priority="215">
      <formula>#REF! = "produs"</formula>
    </cfRule>
    <cfRule type="expression" dxfId="8795" priority="216">
      <formula>#REF! = "obiectiv"</formula>
    </cfRule>
  </conditionalFormatting>
  <conditionalFormatting sqref="B563">
    <cfRule type="expression" dxfId="8794" priority="213">
      <formula>#REF! = "produs"</formula>
    </cfRule>
    <cfRule type="expression" dxfId="8793" priority="214">
      <formula>#REF! = "obiectiv"</formula>
    </cfRule>
  </conditionalFormatting>
  <conditionalFormatting sqref="B562">
    <cfRule type="expression" dxfId="8792" priority="211">
      <formula>#REF! = "produs"</formula>
    </cfRule>
    <cfRule type="expression" dxfId="8791" priority="212">
      <formula>#REF! = "obiectiv"</formula>
    </cfRule>
  </conditionalFormatting>
  <conditionalFormatting sqref="B561">
    <cfRule type="expression" dxfId="8790" priority="209">
      <formula>#REF! = "produs"</formula>
    </cfRule>
    <cfRule type="expression" dxfId="8789" priority="210">
      <formula>#REF! = "obiectiv"</formula>
    </cfRule>
  </conditionalFormatting>
  <conditionalFormatting sqref="B558">
    <cfRule type="expression" dxfId="8788" priority="207">
      <formula>#REF! = "produs"</formula>
    </cfRule>
    <cfRule type="expression" dxfId="8787" priority="208">
      <formula>#REF! = "obiectiv"</formula>
    </cfRule>
  </conditionalFormatting>
  <conditionalFormatting sqref="B566:B567 B575 B570:B571">
    <cfRule type="expression" dxfId="8786" priority="205">
      <formula>#REF! = "produs"</formula>
    </cfRule>
    <cfRule type="expression" dxfId="8785" priority="206">
      <formula>#REF! = "obiectiv"</formula>
    </cfRule>
  </conditionalFormatting>
  <conditionalFormatting sqref="B574">
    <cfRule type="expression" dxfId="8784" priority="203">
      <formula>#REF! = "produs"</formula>
    </cfRule>
    <cfRule type="expression" dxfId="8783" priority="204">
      <formula>#REF! = "obiectiv"</formula>
    </cfRule>
  </conditionalFormatting>
  <conditionalFormatting sqref="B573">
    <cfRule type="expression" dxfId="8782" priority="201">
      <formula>#REF! = "produs"</formula>
    </cfRule>
    <cfRule type="expression" dxfId="8781" priority="202">
      <formula>#REF! = "obiectiv"</formula>
    </cfRule>
  </conditionalFormatting>
  <conditionalFormatting sqref="B572">
    <cfRule type="expression" dxfId="8780" priority="199">
      <formula>#REF! = "produs"</formula>
    </cfRule>
    <cfRule type="expression" dxfId="8779" priority="200">
      <formula>#REF! = "obiectiv"</formula>
    </cfRule>
  </conditionalFormatting>
  <conditionalFormatting sqref="B569">
    <cfRule type="expression" dxfId="8778" priority="197">
      <formula>#REF! = "produs"</formula>
    </cfRule>
    <cfRule type="expression" dxfId="8777" priority="198">
      <formula>#REF! = "obiectiv"</formula>
    </cfRule>
  </conditionalFormatting>
  <conditionalFormatting sqref="B577:B578 B586 B581:B582">
    <cfRule type="expression" dxfId="8776" priority="195">
      <formula>#REF! = "produs"</formula>
    </cfRule>
    <cfRule type="expression" dxfId="8775" priority="196">
      <formula>#REF! = "obiectiv"</formula>
    </cfRule>
  </conditionalFormatting>
  <conditionalFormatting sqref="B585">
    <cfRule type="expression" dxfId="8774" priority="193">
      <formula>#REF! = "produs"</formula>
    </cfRule>
    <cfRule type="expression" dxfId="8773" priority="194">
      <formula>#REF! = "obiectiv"</formula>
    </cfRule>
  </conditionalFormatting>
  <conditionalFormatting sqref="B584">
    <cfRule type="expression" dxfId="8772" priority="191">
      <formula>#REF! = "produs"</formula>
    </cfRule>
    <cfRule type="expression" dxfId="8771" priority="192">
      <formula>#REF! = "obiectiv"</formula>
    </cfRule>
  </conditionalFormatting>
  <conditionalFormatting sqref="B583">
    <cfRule type="expression" dxfId="8770" priority="189">
      <formula>#REF! = "produs"</formula>
    </cfRule>
    <cfRule type="expression" dxfId="8769" priority="190">
      <formula>#REF! = "obiectiv"</formula>
    </cfRule>
  </conditionalFormatting>
  <conditionalFormatting sqref="B580">
    <cfRule type="expression" dxfId="8768" priority="187">
      <formula>#REF! = "produs"</formula>
    </cfRule>
    <cfRule type="expression" dxfId="8767" priority="188">
      <formula>#REF! = "obiectiv"</formula>
    </cfRule>
  </conditionalFormatting>
  <conditionalFormatting sqref="B588:B589 B597 B592:B593">
    <cfRule type="expression" dxfId="8766" priority="185">
      <formula>#REF! = "produs"</formula>
    </cfRule>
    <cfRule type="expression" dxfId="8765" priority="186">
      <formula>#REF! = "obiectiv"</formula>
    </cfRule>
  </conditionalFormatting>
  <conditionalFormatting sqref="B596">
    <cfRule type="expression" dxfId="8764" priority="183">
      <formula>#REF! = "produs"</formula>
    </cfRule>
    <cfRule type="expression" dxfId="8763" priority="184">
      <formula>#REF! = "obiectiv"</formula>
    </cfRule>
  </conditionalFormatting>
  <conditionalFormatting sqref="B595">
    <cfRule type="expression" dxfId="8762" priority="181">
      <formula>#REF! = "produs"</formula>
    </cfRule>
    <cfRule type="expression" dxfId="8761" priority="182">
      <formula>#REF! = "obiectiv"</formula>
    </cfRule>
  </conditionalFormatting>
  <conditionalFormatting sqref="B594">
    <cfRule type="expression" dxfId="8760" priority="179">
      <formula>#REF! = "produs"</formula>
    </cfRule>
    <cfRule type="expression" dxfId="8759" priority="180">
      <formula>#REF! = "obiectiv"</formula>
    </cfRule>
  </conditionalFormatting>
  <conditionalFormatting sqref="B591">
    <cfRule type="expression" dxfId="8758" priority="177">
      <formula>#REF! = "produs"</formula>
    </cfRule>
    <cfRule type="expression" dxfId="8757" priority="178">
      <formula>#REF! = "obiectiv"</formula>
    </cfRule>
  </conditionalFormatting>
  <conditionalFormatting sqref="B599:B600 B608 B603:B604">
    <cfRule type="expression" dxfId="8756" priority="175">
      <formula>#REF! = "produs"</formula>
    </cfRule>
    <cfRule type="expression" dxfId="8755" priority="176">
      <formula>#REF! = "obiectiv"</formula>
    </cfRule>
  </conditionalFormatting>
  <conditionalFormatting sqref="B607">
    <cfRule type="expression" dxfId="8754" priority="173">
      <formula>#REF! = "produs"</formula>
    </cfRule>
    <cfRule type="expression" dxfId="8753" priority="174">
      <formula>#REF! = "obiectiv"</formula>
    </cfRule>
  </conditionalFormatting>
  <conditionalFormatting sqref="B606">
    <cfRule type="expression" dxfId="8752" priority="171">
      <formula>#REF! = "produs"</formula>
    </cfRule>
    <cfRule type="expression" dxfId="8751" priority="172">
      <formula>#REF! = "obiectiv"</formula>
    </cfRule>
  </conditionalFormatting>
  <conditionalFormatting sqref="B605">
    <cfRule type="expression" dxfId="8750" priority="169">
      <formula>#REF! = "produs"</formula>
    </cfRule>
    <cfRule type="expression" dxfId="8749" priority="170">
      <formula>#REF! = "obiectiv"</formula>
    </cfRule>
  </conditionalFormatting>
  <conditionalFormatting sqref="B602">
    <cfRule type="expression" dxfId="8748" priority="167">
      <formula>#REF! = "produs"</formula>
    </cfRule>
    <cfRule type="expression" dxfId="8747" priority="168">
      <formula>#REF! = "obiectiv"</formula>
    </cfRule>
  </conditionalFormatting>
  <conditionalFormatting sqref="B610:B611 B619 B614:B615">
    <cfRule type="expression" dxfId="8746" priority="165">
      <formula>#REF! = "produs"</formula>
    </cfRule>
    <cfRule type="expression" dxfId="8745" priority="166">
      <formula>#REF! = "obiectiv"</formula>
    </cfRule>
  </conditionalFormatting>
  <conditionalFormatting sqref="B618">
    <cfRule type="expression" dxfId="8744" priority="163">
      <formula>#REF! = "produs"</formula>
    </cfRule>
    <cfRule type="expression" dxfId="8743" priority="164">
      <formula>#REF! = "obiectiv"</formula>
    </cfRule>
  </conditionalFormatting>
  <conditionalFormatting sqref="B617">
    <cfRule type="expression" dxfId="8742" priority="161">
      <formula>#REF! = "produs"</formula>
    </cfRule>
    <cfRule type="expression" dxfId="8741" priority="162">
      <formula>#REF! = "obiectiv"</formula>
    </cfRule>
  </conditionalFormatting>
  <conditionalFormatting sqref="B616">
    <cfRule type="expression" dxfId="8740" priority="159">
      <formula>#REF! = "produs"</formula>
    </cfRule>
    <cfRule type="expression" dxfId="8739" priority="160">
      <formula>#REF! = "obiectiv"</formula>
    </cfRule>
  </conditionalFormatting>
  <conditionalFormatting sqref="B613">
    <cfRule type="expression" dxfId="8738" priority="157">
      <formula>#REF! = "produs"</formula>
    </cfRule>
    <cfRule type="expression" dxfId="8737" priority="158">
      <formula>#REF! = "obiectiv"</formula>
    </cfRule>
  </conditionalFormatting>
  <conditionalFormatting sqref="B621:B622 B630 B625:B626">
    <cfRule type="expression" dxfId="8736" priority="155">
      <formula>#REF! = "produs"</formula>
    </cfRule>
    <cfRule type="expression" dxfId="8735" priority="156">
      <formula>#REF! = "obiectiv"</formula>
    </cfRule>
  </conditionalFormatting>
  <conditionalFormatting sqref="B629">
    <cfRule type="expression" dxfId="8734" priority="153">
      <formula>#REF! = "produs"</formula>
    </cfRule>
    <cfRule type="expression" dxfId="8733" priority="154">
      <formula>#REF! = "obiectiv"</formula>
    </cfRule>
  </conditionalFormatting>
  <conditionalFormatting sqref="B628">
    <cfRule type="expression" dxfId="8732" priority="151">
      <formula>#REF! = "produs"</formula>
    </cfRule>
    <cfRule type="expression" dxfId="8731" priority="152">
      <formula>#REF! = "obiectiv"</formula>
    </cfRule>
  </conditionalFormatting>
  <conditionalFormatting sqref="B627">
    <cfRule type="expression" dxfId="8730" priority="149">
      <formula>#REF! = "produs"</formula>
    </cfRule>
    <cfRule type="expression" dxfId="8729" priority="150">
      <formula>#REF! = "obiectiv"</formula>
    </cfRule>
  </conditionalFormatting>
  <conditionalFormatting sqref="B624">
    <cfRule type="expression" dxfId="8728" priority="147">
      <formula>#REF! = "produs"</formula>
    </cfRule>
    <cfRule type="expression" dxfId="8727" priority="148">
      <formula>#REF! = "obiectiv"</formula>
    </cfRule>
  </conditionalFormatting>
  <conditionalFormatting sqref="B632:B633 B641 B636:B637">
    <cfRule type="expression" dxfId="8726" priority="145">
      <formula>#REF! = "produs"</formula>
    </cfRule>
    <cfRule type="expression" dxfId="8725" priority="146">
      <formula>#REF! = "obiectiv"</formula>
    </cfRule>
  </conditionalFormatting>
  <conditionalFormatting sqref="B640">
    <cfRule type="expression" dxfId="8724" priority="143">
      <formula>#REF! = "produs"</formula>
    </cfRule>
    <cfRule type="expression" dxfId="8723" priority="144">
      <formula>#REF! = "obiectiv"</formula>
    </cfRule>
  </conditionalFormatting>
  <conditionalFormatting sqref="B639">
    <cfRule type="expression" dxfId="8722" priority="141">
      <formula>#REF! = "produs"</formula>
    </cfRule>
    <cfRule type="expression" dxfId="8721" priority="142">
      <formula>#REF! = "obiectiv"</formula>
    </cfRule>
  </conditionalFormatting>
  <conditionalFormatting sqref="B638">
    <cfRule type="expression" dxfId="8720" priority="139">
      <formula>#REF! = "produs"</formula>
    </cfRule>
    <cfRule type="expression" dxfId="8719" priority="140">
      <formula>#REF! = "obiectiv"</formula>
    </cfRule>
  </conditionalFormatting>
  <conditionalFormatting sqref="B635">
    <cfRule type="expression" dxfId="8718" priority="137">
      <formula>#REF! = "produs"</formula>
    </cfRule>
    <cfRule type="expression" dxfId="8717" priority="138">
      <formula>#REF! = "obiectiv"</formula>
    </cfRule>
  </conditionalFormatting>
  <conditionalFormatting sqref="B643:B644 B652 B647:B648">
    <cfRule type="expression" dxfId="8716" priority="135">
      <formula>#REF! = "produs"</formula>
    </cfRule>
    <cfRule type="expression" dxfId="8715" priority="136">
      <formula>#REF! = "obiectiv"</formula>
    </cfRule>
  </conditionalFormatting>
  <conditionalFormatting sqref="B651">
    <cfRule type="expression" dxfId="8714" priority="133">
      <formula>#REF! = "produs"</formula>
    </cfRule>
    <cfRule type="expression" dxfId="8713" priority="134">
      <formula>#REF! = "obiectiv"</formula>
    </cfRule>
  </conditionalFormatting>
  <conditionalFormatting sqref="B650">
    <cfRule type="expression" dxfId="8712" priority="131">
      <formula>#REF! = "produs"</formula>
    </cfRule>
    <cfRule type="expression" dxfId="8711" priority="132">
      <formula>#REF! = "obiectiv"</formula>
    </cfRule>
  </conditionalFormatting>
  <conditionalFormatting sqref="B649">
    <cfRule type="expression" dxfId="8710" priority="129">
      <formula>#REF! = "produs"</formula>
    </cfRule>
    <cfRule type="expression" dxfId="8709" priority="130">
      <formula>#REF! = "obiectiv"</formula>
    </cfRule>
  </conditionalFormatting>
  <conditionalFormatting sqref="B646">
    <cfRule type="expression" dxfId="8708" priority="127">
      <formula>#REF! = "produs"</formula>
    </cfRule>
    <cfRule type="expression" dxfId="8707" priority="128">
      <formula>#REF! = "obiectiv"</formula>
    </cfRule>
  </conditionalFormatting>
  <conditionalFormatting sqref="B654:B655 B663 B658:B659">
    <cfRule type="expression" dxfId="8706" priority="125">
      <formula>#REF! = "produs"</formula>
    </cfRule>
    <cfRule type="expression" dxfId="8705" priority="126">
      <formula>#REF! = "obiectiv"</formula>
    </cfRule>
  </conditionalFormatting>
  <conditionalFormatting sqref="B662">
    <cfRule type="expression" dxfId="8704" priority="123">
      <formula>#REF! = "produs"</formula>
    </cfRule>
    <cfRule type="expression" dxfId="8703" priority="124">
      <formula>#REF! = "obiectiv"</formula>
    </cfRule>
  </conditionalFormatting>
  <conditionalFormatting sqref="B661">
    <cfRule type="expression" dxfId="8702" priority="121">
      <formula>#REF! = "produs"</formula>
    </cfRule>
    <cfRule type="expression" dxfId="8701" priority="122">
      <formula>#REF! = "obiectiv"</formula>
    </cfRule>
  </conditionalFormatting>
  <conditionalFormatting sqref="B660">
    <cfRule type="expression" dxfId="8700" priority="119">
      <formula>#REF! = "produs"</formula>
    </cfRule>
    <cfRule type="expression" dxfId="8699" priority="120">
      <formula>#REF! = "obiectiv"</formula>
    </cfRule>
  </conditionalFormatting>
  <conditionalFormatting sqref="B657">
    <cfRule type="expression" dxfId="8698" priority="117">
      <formula>#REF! = "produs"</formula>
    </cfRule>
    <cfRule type="expression" dxfId="8697" priority="118">
      <formula>#REF! = "obiectiv"</formula>
    </cfRule>
  </conditionalFormatting>
  <conditionalFormatting sqref="B665:B666 B674 B669:B670">
    <cfRule type="expression" dxfId="8696" priority="115">
      <formula>#REF! = "produs"</formula>
    </cfRule>
    <cfRule type="expression" dxfId="8695" priority="116">
      <formula>#REF! = "obiectiv"</formula>
    </cfRule>
  </conditionalFormatting>
  <conditionalFormatting sqref="B673">
    <cfRule type="expression" dxfId="8694" priority="113">
      <formula>#REF! = "produs"</formula>
    </cfRule>
    <cfRule type="expression" dxfId="8693" priority="114">
      <formula>#REF! = "obiectiv"</formula>
    </cfRule>
  </conditionalFormatting>
  <conditionalFormatting sqref="B672">
    <cfRule type="expression" dxfId="8692" priority="111">
      <formula>#REF! = "produs"</formula>
    </cfRule>
    <cfRule type="expression" dxfId="8691" priority="112">
      <formula>#REF! = "obiectiv"</formula>
    </cfRule>
  </conditionalFormatting>
  <conditionalFormatting sqref="B671">
    <cfRule type="expression" dxfId="8690" priority="109">
      <formula>#REF! = "produs"</formula>
    </cfRule>
    <cfRule type="expression" dxfId="8689" priority="110">
      <formula>#REF! = "obiectiv"</formula>
    </cfRule>
  </conditionalFormatting>
  <conditionalFormatting sqref="B668">
    <cfRule type="expression" dxfId="8688" priority="107">
      <formula>#REF! = "produs"</formula>
    </cfRule>
    <cfRule type="expression" dxfId="8687" priority="108">
      <formula>#REF! = "obiectiv"</formula>
    </cfRule>
  </conditionalFormatting>
  <conditionalFormatting sqref="B676:B677 B685 B680:B681">
    <cfRule type="expression" dxfId="8686" priority="105">
      <formula>#REF! = "produs"</formula>
    </cfRule>
    <cfRule type="expression" dxfId="8685" priority="106">
      <formula>#REF! = "obiectiv"</formula>
    </cfRule>
  </conditionalFormatting>
  <conditionalFormatting sqref="B684">
    <cfRule type="expression" dxfId="8684" priority="103">
      <formula>#REF! = "produs"</formula>
    </cfRule>
    <cfRule type="expression" dxfId="8683" priority="104">
      <formula>#REF! = "obiectiv"</formula>
    </cfRule>
  </conditionalFormatting>
  <conditionalFormatting sqref="B683">
    <cfRule type="expression" dxfId="8682" priority="101">
      <formula>#REF! = "produs"</formula>
    </cfRule>
    <cfRule type="expression" dxfId="8681" priority="102">
      <formula>#REF! = "obiectiv"</formula>
    </cfRule>
  </conditionalFormatting>
  <conditionalFormatting sqref="B682">
    <cfRule type="expression" dxfId="8680" priority="99">
      <formula>#REF! = "produs"</formula>
    </cfRule>
    <cfRule type="expression" dxfId="8679" priority="100">
      <formula>#REF! = "obiectiv"</formula>
    </cfRule>
  </conditionalFormatting>
  <conditionalFormatting sqref="B679">
    <cfRule type="expression" dxfId="8678" priority="97">
      <formula>#REF! = "produs"</formula>
    </cfRule>
    <cfRule type="expression" dxfId="8677" priority="98">
      <formula>#REF! = "obiectiv"</formula>
    </cfRule>
  </conditionalFormatting>
  <conditionalFormatting sqref="B687:B688 B696 B691:B692">
    <cfRule type="expression" dxfId="8676" priority="95">
      <formula>#REF! = "produs"</formula>
    </cfRule>
    <cfRule type="expression" dxfId="8675" priority="96">
      <formula>#REF! = "obiectiv"</formula>
    </cfRule>
  </conditionalFormatting>
  <conditionalFormatting sqref="B695">
    <cfRule type="expression" dxfId="8674" priority="93">
      <formula>#REF! = "produs"</formula>
    </cfRule>
    <cfRule type="expression" dxfId="8673" priority="94">
      <formula>#REF! = "obiectiv"</formula>
    </cfRule>
  </conditionalFormatting>
  <conditionalFormatting sqref="B694">
    <cfRule type="expression" dxfId="8672" priority="91">
      <formula>#REF! = "produs"</formula>
    </cfRule>
    <cfRule type="expression" dxfId="8671" priority="92">
      <formula>#REF! = "obiectiv"</formula>
    </cfRule>
  </conditionalFormatting>
  <conditionalFormatting sqref="B693">
    <cfRule type="expression" dxfId="8670" priority="89">
      <formula>#REF! = "produs"</formula>
    </cfRule>
    <cfRule type="expression" dxfId="8669" priority="90">
      <formula>#REF! = "obiectiv"</formula>
    </cfRule>
  </conditionalFormatting>
  <conditionalFormatting sqref="B690">
    <cfRule type="expression" dxfId="8668" priority="87">
      <formula>#REF! = "produs"</formula>
    </cfRule>
    <cfRule type="expression" dxfId="8667" priority="88">
      <formula>#REF! = "obiectiv"</formula>
    </cfRule>
  </conditionalFormatting>
  <conditionalFormatting sqref="B698:B699 B707 B702:B703">
    <cfRule type="expression" dxfId="8666" priority="85">
      <formula>#REF! = "produs"</formula>
    </cfRule>
    <cfRule type="expression" dxfId="8665" priority="86">
      <formula>#REF! = "obiectiv"</formula>
    </cfRule>
  </conditionalFormatting>
  <conditionalFormatting sqref="B706">
    <cfRule type="expression" dxfId="8664" priority="83">
      <formula>#REF! = "produs"</formula>
    </cfRule>
    <cfRule type="expression" dxfId="8663" priority="84">
      <formula>#REF! = "obiectiv"</formula>
    </cfRule>
  </conditionalFormatting>
  <conditionalFormatting sqref="B705">
    <cfRule type="expression" dxfId="8662" priority="81">
      <formula>#REF! = "produs"</formula>
    </cfRule>
    <cfRule type="expression" dxfId="8661" priority="82">
      <formula>#REF! = "obiectiv"</formula>
    </cfRule>
  </conditionalFormatting>
  <conditionalFormatting sqref="B704">
    <cfRule type="expression" dxfId="8660" priority="79">
      <formula>#REF! = "produs"</formula>
    </cfRule>
    <cfRule type="expression" dxfId="8659" priority="80">
      <formula>#REF! = "obiectiv"</formula>
    </cfRule>
  </conditionalFormatting>
  <conditionalFormatting sqref="B701">
    <cfRule type="expression" dxfId="8658" priority="77">
      <formula>#REF! = "produs"</formula>
    </cfRule>
    <cfRule type="expression" dxfId="8657" priority="78">
      <formula>#REF! = "obiectiv"</formula>
    </cfRule>
  </conditionalFormatting>
  <conditionalFormatting sqref="B709:B710 B718 B713:B714">
    <cfRule type="expression" dxfId="8656" priority="75">
      <formula>#REF! = "produs"</formula>
    </cfRule>
    <cfRule type="expression" dxfId="8655" priority="76">
      <formula>#REF! = "obiectiv"</formula>
    </cfRule>
  </conditionalFormatting>
  <conditionalFormatting sqref="B717">
    <cfRule type="expression" dxfId="8654" priority="73">
      <formula>#REF! = "produs"</formula>
    </cfRule>
    <cfRule type="expression" dxfId="8653" priority="74">
      <formula>#REF! = "obiectiv"</formula>
    </cfRule>
  </conditionalFormatting>
  <conditionalFormatting sqref="B716">
    <cfRule type="expression" dxfId="8652" priority="71">
      <formula>#REF! = "produs"</formula>
    </cfRule>
    <cfRule type="expression" dxfId="8651" priority="72">
      <formula>#REF! = "obiectiv"</formula>
    </cfRule>
  </conditionalFormatting>
  <conditionalFormatting sqref="B715">
    <cfRule type="expression" dxfId="8650" priority="69">
      <formula>#REF! = "produs"</formula>
    </cfRule>
    <cfRule type="expression" dxfId="8649" priority="70">
      <formula>#REF! = "obiectiv"</formula>
    </cfRule>
  </conditionalFormatting>
  <conditionalFormatting sqref="B712">
    <cfRule type="expression" dxfId="8648" priority="67">
      <formula>#REF! = "produs"</formula>
    </cfRule>
    <cfRule type="expression" dxfId="8647" priority="68">
      <formula>#REF! = "obiectiv"</formula>
    </cfRule>
  </conditionalFormatting>
  <conditionalFormatting sqref="B720:B721 B729 B724:B725">
    <cfRule type="expression" dxfId="8646" priority="65">
      <formula>#REF! = "produs"</formula>
    </cfRule>
    <cfRule type="expression" dxfId="8645" priority="66">
      <formula>#REF! = "obiectiv"</formula>
    </cfRule>
  </conditionalFormatting>
  <conditionalFormatting sqref="B728">
    <cfRule type="expression" dxfId="8644" priority="63">
      <formula>#REF! = "produs"</formula>
    </cfRule>
    <cfRule type="expression" dxfId="8643" priority="64">
      <formula>#REF! = "obiectiv"</formula>
    </cfRule>
  </conditionalFormatting>
  <conditionalFormatting sqref="B727">
    <cfRule type="expression" dxfId="8642" priority="61">
      <formula>#REF! = "produs"</formula>
    </cfRule>
    <cfRule type="expression" dxfId="8641" priority="62">
      <formula>#REF! = "obiectiv"</formula>
    </cfRule>
  </conditionalFormatting>
  <conditionalFormatting sqref="B726">
    <cfRule type="expression" dxfId="8640" priority="59">
      <formula>#REF! = "produs"</formula>
    </cfRule>
    <cfRule type="expression" dxfId="8639" priority="60">
      <formula>#REF! = "obiectiv"</formula>
    </cfRule>
  </conditionalFormatting>
  <conditionalFormatting sqref="B723">
    <cfRule type="expression" dxfId="8638" priority="57">
      <formula>#REF! = "produs"</formula>
    </cfRule>
    <cfRule type="expression" dxfId="8637" priority="58">
      <formula>#REF! = "obiectiv"</formula>
    </cfRule>
  </conditionalFormatting>
  <conditionalFormatting sqref="B731:B732 B740 B735:B736">
    <cfRule type="expression" dxfId="8636" priority="55">
      <formula>#REF! = "produs"</formula>
    </cfRule>
    <cfRule type="expression" dxfId="8635" priority="56">
      <formula>#REF! = "obiectiv"</formula>
    </cfRule>
  </conditionalFormatting>
  <conditionalFormatting sqref="B739">
    <cfRule type="expression" dxfId="8634" priority="53">
      <formula>#REF! = "produs"</formula>
    </cfRule>
    <cfRule type="expression" dxfId="8633" priority="54">
      <formula>#REF! = "obiectiv"</formula>
    </cfRule>
  </conditionalFormatting>
  <conditionalFormatting sqref="B738">
    <cfRule type="expression" dxfId="8632" priority="51">
      <formula>#REF! = "produs"</formula>
    </cfRule>
    <cfRule type="expression" dxfId="8631" priority="52">
      <formula>#REF! = "obiectiv"</formula>
    </cfRule>
  </conditionalFormatting>
  <conditionalFormatting sqref="B737">
    <cfRule type="expression" dxfId="8630" priority="49">
      <formula>#REF! = "produs"</formula>
    </cfRule>
    <cfRule type="expression" dxfId="8629" priority="50">
      <formula>#REF! = "obiectiv"</formula>
    </cfRule>
  </conditionalFormatting>
  <conditionalFormatting sqref="B734">
    <cfRule type="expression" dxfId="8628" priority="47">
      <formula>#REF! = "produs"</formula>
    </cfRule>
    <cfRule type="expression" dxfId="8627" priority="48">
      <formula>#REF! = "obiectiv"</formula>
    </cfRule>
  </conditionalFormatting>
  <conditionalFormatting sqref="B742:B743 B751 B746:B747">
    <cfRule type="expression" dxfId="8626" priority="45">
      <formula>#REF! = "produs"</formula>
    </cfRule>
    <cfRule type="expression" dxfId="8625" priority="46">
      <formula>#REF! = "obiectiv"</formula>
    </cfRule>
  </conditionalFormatting>
  <conditionalFormatting sqref="B750">
    <cfRule type="expression" dxfId="8624" priority="43">
      <formula>#REF! = "produs"</formula>
    </cfRule>
    <cfRule type="expression" dxfId="8623" priority="44">
      <formula>#REF! = "obiectiv"</formula>
    </cfRule>
  </conditionalFormatting>
  <conditionalFormatting sqref="B749">
    <cfRule type="expression" dxfId="8622" priority="41">
      <formula>#REF! = "produs"</formula>
    </cfRule>
    <cfRule type="expression" dxfId="8621" priority="42">
      <formula>#REF! = "obiectiv"</formula>
    </cfRule>
  </conditionalFormatting>
  <conditionalFormatting sqref="B748">
    <cfRule type="expression" dxfId="8620" priority="39">
      <formula>#REF! = "produs"</formula>
    </cfRule>
    <cfRule type="expression" dxfId="8619" priority="40">
      <formula>#REF! = "obiectiv"</formula>
    </cfRule>
  </conditionalFormatting>
  <conditionalFormatting sqref="B745">
    <cfRule type="expression" dxfId="8618" priority="37">
      <formula>#REF! = "produs"</formula>
    </cfRule>
    <cfRule type="expression" dxfId="8617" priority="38">
      <formula>#REF! = "obiectiv"</formula>
    </cfRule>
  </conditionalFormatting>
  <conditionalFormatting sqref="B5:B7 B14 B9:B10">
    <cfRule type="expression" dxfId="8616" priority="35">
      <formula>#REF! = "produs"</formula>
    </cfRule>
    <cfRule type="expression" dxfId="8615" priority="36">
      <formula>#REF! = "obiectiv"</formula>
    </cfRule>
  </conditionalFormatting>
  <conditionalFormatting sqref="B13">
    <cfRule type="expression" dxfId="8614" priority="33">
      <formula>#REF! = "produs"</formula>
    </cfRule>
    <cfRule type="expression" dxfId="8613" priority="34">
      <formula>#REF! = "obiectiv"</formula>
    </cfRule>
  </conditionalFormatting>
  <conditionalFormatting sqref="B12">
    <cfRule type="expression" dxfId="8612" priority="31">
      <formula>#REF! = "produs"</formula>
    </cfRule>
    <cfRule type="expression" dxfId="8611" priority="32">
      <formula>#REF! = "obiectiv"</formula>
    </cfRule>
  </conditionalFormatting>
  <conditionalFormatting sqref="B11">
    <cfRule type="expression" dxfId="8610" priority="29">
      <formula>#REF! = "produs"</formula>
    </cfRule>
    <cfRule type="expression" dxfId="8609" priority="30">
      <formula>#REF! = "obiectiv"</formula>
    </cfRule>
  </conditionalFormatting>
  <conditionalFormatting sqref="B8">
    <cfRule type="expression" dxfId="8608" priority="27">
      <formula>#REF! = "produs"</formula>
    </cfRule>
    <cfRule type="expression" dxfId="8607" priority="28">
      <formula>#REF! = "obiectiv"</formula>
    </cfRule>
  </conditionalFormatting>
  <conditionalFormatting sqref="B744 B733 B722 B711 B700 B689 B678 B667 B656 B645 B634 B623 B612 B601 B590 B579 B568 B557 B546 B535 B524 B513 B502 B491 B480 B469 B458 B447 B436 B425 B414 B403 B392 B381 B370 B359 B348 B337 B326 B315 B304 B293 B282 B271 B238 B227 B216 B205 B194 B183 B172 B161 B150 B139 B128 B117 B106 B95 B84 B73 B62 B51 B40 B29 B18">
    <cfRule type="expression" dxfId="8606" priority="25">
      <formula>#REF! = "produs"</formula>
    </cfRule>
    <cfRule type="expression" dxfId="8605" priority="26">
      <formula>#REF! = "obiectiv"</formula>
    </cfRule>
  </conditionalFormatting>
  <conditionalFormatting sqref="B247:B248 B256 B251:B252">
    <cfRule type="expression" dxfId="8604" priority="23">
      <formula>#REF! = "produs"</formula>
    </cfRule>
    <cfRule type="expression" dxfId="8603" priority="24">
      <formula>#REF! = "obiectiv"</formula>
    </cfRule>
  </conditionalFormatting>
  <conditionalFormatting sqref="B255">
    <cfRule type="expression" dxfId="8602" priority="21">
      <formula>#REF! = "produs"</formula>
    </cfRule>
    <cfRule type="expression" dxfId="8601" priority="22">
      <formula>#REF! = "obiectiv"</formula>
    </cfRule>
  </conditionalFormatting>
  <conditionalFormatting sqref="B254">
    <cfRule type="expression" dxfId="8600" priority="19">
      <formula>#REF! = "produs"</formula>
    </cfRule>
    <cfRule type="expression" dxfId="8599" priority="20">
      <formula>#REF! = "obiectiv"</formula>
    </cfRule>
  </conditionalFormatting>
  <conditionalFormatting sqref="B253">
    <cfRule type="expression" dxfId="8598" priority="17">
      <formula>#REF! = "produs"</formula>
    </cfRule>
    <cfRule type="expression" dxfId="8597" priority="18">
      <formula>#REF! = "obiectiv"</formula>
    </cfRule>
  </conditionalFormatting>
  <conditionalFormatting sqref="B250">
    <cfRule type="expression" dxfId="8596" priority="15">
      <formula>#REF! = "produs"</formula>
    </cfRule>
    <cfRule type="expression" dxfId="8595" priority="16">
      <formula>#REF! = "obiectiv"</formula>
    </cfRule>
  </conditionalFormatting>
  <conditionalFormatting sqref="B249">
    <cfRule type="expression" dxfId="8594" priority="13">
      <formula>#REF! = "produs"</formula>
    </cfRule>
    <cfRule type="expression" dxfId="8593" priority="14">
      <formula>#REF! = "obiectiv"</formula>
    </cfRule>
  </conditionalFormatting>
  <conditionalFormatting sqref="B260">
    <cfRule type="expression" dxfId="8592" priority="1">
      <formula>#REF! = "produs"</formula>
    </cfRule>
    <cfRule type="expression" dxfId="8591" priority="2">
      <formula>#REF! = "obiectiv"</formula>
    </cfRule>
  </conditionalFormatting>
  <conditionalFormatting sqref="B258:B259 B267 B262:B263">
    <cfRule type="expression" dxfId="8590" priority="11">
      <formula>#REF! = "produs"</formula>
    </cfRule>
    <cfRule type="expression" dxfId="8589" priority="12">
      <formula>#REF! = "obiectiv"</formula>
    </cfRule>
  </conditionalFormatting>
  <conditionalFormatting sqref="B266">
    <cfRule type="expression" dxfId="8588" priority="9">
      <formula>#REF! = "produs"</formula>
    </cfRule>
    <cfRule type="expression" dxfId="8587" priority="10">
      <formula>#REF! = "obiectiv"</formula>
    </cfRule>
  </conditionalFormatting>
  <conditionalFormatting sqref="B265">
    <cfRule type="expression" dxfId="8586" priority="7">
      <formula>#REF! = "produs"</formula>
    </cfRule>
    <cfRule type="expression" dxfId="8585" priority="8">
      <formula>#REF! = "obiectiv"</formula>
    </cfRule>
  </conditionalFormatting>
  <conditionalFormatting sqref="B264">
    <cfRule type="expression" dxfId="8584" priority="5">
      <formula>#REF! = "produs"</formula>
    </cfRule>
    <cfRule type="expression" dxfId="8583" priority="6">
      <formula>#REF! = "obiectiv"</formula>
    </cfRule>
  </conditionalFormatting>
  <conditionalFormatting sqref="B261">
    <cfRule type="expression" dxfId="8582" priority="3">
      <formula>#REF! = "produs"</formula>
    </cfRule>
    <cfRule type="expression" dxfId="8581" priority="4">
      <formula>#REF! = "obiectiv"</formula>
    </cfRule>
  </conditionalFormatting>
  <pageMargins left="0.7" right="0.7" top="0.75" bottom="0.75" header="0.3" footer="0.3"/>
  <pageSetup paperSize="9" scale="3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3303"/>
  <sheetViews>
    <sheetView tabSelected="1" zoomScale="125" zoomScaleNormal="100" workbookViewId="0">
      <pane xSplit="7" ySplit="1" topLeftCell="H2281" activePane="bottomRight" state="frozen"/>
      <selection pane="topRight" activeCell="D1" sqref="D1"/>
      <selection pane="bottomLeft" activeCell="A33" sqref="A33"/>
      <selection pane="bottomRight" activeCell="G2072" sqref="G2072:G2081"/>
    </sheetView>
  </sheetViews>
  <sheetFormatPr defaultColWidth="8.7109375" defaultRowHeight="12.75"/>
  <cols>
    <col min="1" max="5" width="4" style="76" customWidth="1"/>
    <col min="6" max="6" width="7" style="858" customWidth="1"/>
    <col min="7" max="7" width="19.42578125" style="859" customWidth="1"/>
    <col min="8" max="8" width="14.140625" style="859" customWidth="1"/>
    <col min="9" max="9" width="24.42578125" style="859" customWidth="1"/>
    <col min="10" max="10" width="17.7109375" style="2" customWidth="1"/>
    <col min="11" max="11" width="9.42578125" style="953" customWidth="1"/>
    <col min="12" max="12" width="9.7109375" style="954" customWidth="1"/>
    <col min="13" max="13" width="11.42578125" style="954" customWidth="1"/>
    <col min="14" max="15" width="12.28515625" style="954" customWidth="1"/>
    <col min="16" max="16" width="9.7109375" style="954" customWidth="1"/>
    <col min="17" max="21" width="15.7109375" style="1544" customWidth="1"/>
    <col min="22" max="22" width="15.7109375" style="1545" customWidth="1"/>
    <col min="23" max="16384" width="8.7109375" style="1"/>
  </cols>
  <sheetData>
    <row r="1" spans="1:22" s="30" customFormat="1" ht="24" customHeight="1">
      <c r="A1" s="30">
        <v>1</v>
      </c>
      <c r="B1" s="30">
        <v>2</v>
      </c>
      <c r="C1" s="30">
        <v>3</v>
      </c>
      <c r="D1" s="30">
        <v>4</v>
      </c>
      <c r="E1" s="79" t="s">
        <v>10</v>
      </c>
      <c r="F1" s="27" t="s">
        <v>99</v>
      </c>
      <c r="G1" s="85" t="s">
        <v>100</v>
      </c>
      <c r="H1" s="27" t="s">
        <v>98</v>
      </c>
      <c r="I1" s="27" t="s">
        <v>92</v>
      </c>
      <c r="J1" s="27" t="s">
        <v>78</v>
      </c>
      <c r="K1" s="28" t="s">
        <v>0</v>
      </c>
      <c r="L1" s="29">
        <v>2021</v>
      </c>
      <c r="M1" s="29">
        <v>2022</v>
      </c>
      <c r="N1" s="29">
        <v>2023</v>
      </c>
      <c r="O1" s="29">
        <v>2024</v>
      </c>
      <c r="P1" s="29">
        <v>2025</v>
      </c>
      <c r="Q1" s="1469" t="s">
        <v>102</v>
      </c>
      <c r="R1" s="1469" t="s">
        <v>103</v>
      </c>
      <c r="S1" s="1469" t="s">
        <v>104</v>
      </c>
      <c r="T1" s="1469" t="s">
        <v>105</v>
      </c>
      <c r="U1" s="1469" t="s">
        <v>106</v>
      </c>
      <c r="V1" s="1470" t="s">
        <v>101</v>
      </c>
    </row>
    <row r="2" spans="1:22" s="33" customFormat="1" ht="34.35" customHeight="1" thickBot="1">
      <c r="A2" s="74">
        <v>1</v>
      </c>
      <c r="B2" s="74"/>
      <c r="C2" s="74"/>
      <c r="D2" s="74"/>
      <c r="E2" s="78" t="s">
        <v>11</v>
      </c>
      <c r="F2" s="851" t="str">
        <f>CONCATENATE(A2,".")</f>
        <v>1.</v>
      </c>
      <c r="G2" s="1967" t="s">
        <v>304</v>
      </c>
      <c r="H2" s="1968"/>
      <c r="I2" s="1968"/>
      <c r="J2" s="31"/>
      <c r="K2" s="32"/>
      <c r="L2" s="362"/>
      <c r="M2" s="362"/>
      <c r="N2" s="362"/>
      <c r="O2" s="362"/>
      <c r="P2" s="362"/>
      <c r="Q2" s="1471">
        <f>Q3+Q219+Q395</f>
        <v>42435517.280000001</v>
      </c>
      <c r="R2" s="1471">
        <f>R3+R219+R395</f>
        <v>47680399.608000003</v>
      </c>
      <c r="S2" s="1471">
        <f>S3+S219+S395</f>
        <v>53394573.695999995</v>
      </c>
      <c r="T2" s="1471">
        <f>T3+T219+T395</f>
        <v>25476063.7236</v>
      </c>
      <c r="U2" s="1471">
        <f>U3+U219+U395</f>
        <v>32046359.099999998</v>
      </c>
      <c r="V2" s="1471">
        <f>SUM(Q2:U2)</f>
        <v>201032913.40759999</v>
      </c>
    </row>
    <row r="3" spans="1:22" s="34" customFormat="1" ht="36" customHeight="1" thickBot="1">
      <c r="A3" s="74">
        <v>1</v>
      </c>
      <c r="B3" s="74">
        <v>1</v>
      </c>
      <c r="C3" s="74"/>
      <c r="D3" s="74"/>
      <c r="E3" s="74" t="s">
        <v>12</v>
      </c>
      <c r="F3" s="852" t="str">
        <f>CONCATENATE(A3,".",B3)</f>
        <v>1.1</v>
      </c>
      <c r="G3" s="1969" t="s">
        <v>76</v>
      </c>
      <c r="H3" s="1970"/>
      <c r="I3" s="1970"/>
      <c r="J3" s="860"/>
      <c r="K3" s="861"/>
      <c r="L3" s="862"/>
      <c r="M3" s="862"/>
      <c r="N3" s="862"/>
      <c r="O3" s="862"/>
      <c r="P3" s="862"/>
      <c r="Q3" s="1472">
        <f>Q4+Q45+Q86+Q157+Q188</f>
        <v>35545280.18</v>
      </c>
      <c r="R3" s="1472">
        <f>R4+R45+R86+R157+R188</f>
        <v>40737098.408</v>
      </c>
      <c r="S3" s="1472">
        <f>S4+S45+S86+S157+S188</f>
        <v>45830231.795999996</v>
      </c>
      <c r="T3" s="1472">
        <f>T4+T45+T86+T157+T188</f>
        <v>19274037.073600002</v>
      </c>
      <c r="U3" s="1472">
        <f>U4+U45+U86+U157+U188</f>
        <v>25124909.259999998</v>
      </c>
      <c r="V3" s="1472">
        <f>SUM(Q3:U3)</f>
        <v>166511556.71759999</v>
      </c>
    </row>
    <row r="4" spans="1:22" s="35" customFormat="1" ht="24" customHeight="1">
      <c r="A4" s="74">
        <v>1</v>
      </c>
      <c r="B4" s="74">
        <v>1</v>
      </c>
      <c r="C4" s="74">
        <v>1</v>
      </c>
      <c r="D4" s="74"/>
      <c r="E4" s="74" t="s">
        <v>13</v>
      </c>
      <c r="F4" s="853" t="str">
        <f>CONCATENATE(A4,".",B4,".",C4,)</f>
        <v>1.1.1</v>
      </c>
      <c r="G4" s="1689" t="s">
        <v>45</v>
      </c>
      <c r="H4" s="1690"/>
      <c r="I4" s="1690"/>
      <c r="J4" s="1691"/>
      <c r="K4" s="863">
        <v>0.255</v>
      </c>
      <c r="L4" s="864">
        <v>0.3</v>
      </c>
      <c r="M4" s="864">
        <v>0.35</v>
      </c>
      <c r="N4" s="864">
        <v>0.4</v>
      </c>
      <c r="O4" s="864">
        <v>0.55000000000000004</v>
      </c>
      <c r="P4" s="864">
        <v>0.7</v>
      </c>
      <c r="Q4" s="1473">
        <f>Q6+Q16+Q26+Q36</f>
        <v>5349090</v>
      </c>
      <c r="R4" s="1473">
        <f t="shared" ref="R4:U4" si="0">R6+R16+R26+R36</f>
        <v>6243547.5</v>
      </c>
      <c r="S4" s="1473">
        <f t="shared" si="0"/>
        <v>7138005</v>
      </c>
      <c r="T4" s="1473">
        <f t="shared" si="0"/>
        <v>3494625.0000000005</v>
      </c>
      <c r="U4" s="1473">
        <f t="shared" si="0"/>
        <v>5006655</v>
      </c>
      <c r="V4" s="1474">
        <f t="shared" ref="V4:V75" si="1">SUM(Q4:U4)</f>
        <v>27231922.5</v>
      </c>
    </row>
    <row r="5" spans="1:22" s="39" customFormat="1" ht="24" customHeight="1">
      <c r="A5" s="1860">
        <v>1</v>
      </c>
      <c r="B5" s="1860">
        <v>1</v>
      </c>
      <c r="C5" s="1860">
        <v>1</v>
      </c>
      <c r="D5" s="1860">
        <v>1</v>
      </c>
      <c r="E5" s="1839" t="s">
        <v>14</v>
      </c>
      <c r="F5" s="1841" t="str">
        <f>CONCATENATE(A5,".",B5,".",C5,".",D5,)</f>
        <v>1.1.1.1</v>
      </c>
      <c r="G5" s="1727" t="s">
        <v>43</v>
      </c>
      <c r="H5" s="1601" t="s">
        <v>86</v>
      </c>
      <c r="I5" s="1746" t="s">
        <v>85</v>
      </c>
      <c r="J5" s="36" t="s">
        <v>79</v>
      </c>
      <c r="K5" s="865">
        <v>17100</v>
      </c>
      <c r="L5" s="363">
        <f>17100*L4</f>
        <v>5130</v>
      </c>
      <c r="M5" s="363">
        <f>17100*M4</f>
        <v>5985</v>
      </c>
      <c r="N5" s="363">
        <f>17100*N4</f>
        <v>6840</v>
      </c>
      <c r="O5" s="363">
        <f>17100*O4</f>
        <v>9405</v>
      </c>
      <c r="P5" s="363">
        <f>17100*P4</f>
        <v>11970</v>
      </c>
      <c r="Q5" s="1475">
        <f>L5*$H$10</f>
        <v>5260815</v>
      </c>
      <c r="R5" s="1475">
        <f>M5*$H$10</f>
        <v>6137617.5</v>
      </c>
      <c r="S5" s="1475">
        <f>N5*$H$10</f>
        <v>7014420</v>
      </c>
      <c r="T5" s="1475">
        <f>O5*$H$10</f>
        <v>9644827.5</v>
      </c>
      <c r="U5" s="1475">
        <f>P5*$H$10</f>
        <v>12275235</v>
      </c>
      <c r="V5" s="1476">
        <f t="shared" si="1"/>
        <v>40332915</v>
      </c>
    </row>
    <row r="6" spans="1:22" s="39" customFormat="1" ht="24" customHeight="1">
      <c r="A6" s="1860"/>
      <c r="B6" s="1860"/>
      <c r="C6" s="1860"/>
      <c r="D6" s="1860"/>
      <c r="E6" s="1839"/>
      <c r="F6" s="1841"/>
      <c r="G6" s="1728"/>
      <c r="H6" s="1601"/>
      <c r="I6" s="1747"/>
      <c r="J6" s="40" t="s">
        <v>80</v>
      </c>
      <c r="K6" s="37">
        <v>4376</v>
      </c>
      <c r="L6" s="364">
        <f t="shared" ref="L6:U6" si="2">SUM(L7:L13)</f>
        <v>5130</v>
      </c>
      <c r="M6" s="364">
        <f t="shared" si="2"/>
        <v>5985</v>
      </c>
      <c r="N6" s="364">
        <f t="shared" si="2"/>
        <v>6840</v>
      </c>
      <c r="O6" s="364">
        <f t="shared" si="2"/>
        <v>3270.0000000000005</v>
      </c>
      <c r="P6" s="364">
        <f t="shared" si="2"/>
        <v>4710</v>
      </c>
      <c r="Q6" s="1475">
        <f>SUM(Q7:Q13)</f>
        <v>5260815</v>
      </c>
      <c r="R6" s="1475">
        <f t="shared" si="2"/>
        <v>6137617.5</v>
      </c>
      <c r="S6" s="1475">
        <f t="shared" si="2"/>
        <v>7014420</v>
      </c>
      <c r="T6" s="1475">
        <f t="shared" si="2"/>
        <v>3353385.0000000005</v>
      </c>
      <c r="U6" s="1475">
        <f t="shared" si="2"/>
        <v>4830105</v>
      </c>
      <c r="V6" s="1476">
        <f t="shared" si="1"/>
        <v>26596342.5</v>
      </c>
    </row>
    <row r="7" spans="1:22" s="39" customFormat="1" ht="24" customHeight="1">
      <c r="A7" s="1860"/>
      <c r="B7" s="1860"/>
      <c r="C7" s="1860"/>
      <c r="D7" s="1860"/>
      <c r="E7" s="1839"/>
      <c r="F7" s="1841"/>
      <c r="G7" s="1728"/>
      <c r="H7" s="1601"/>
      <c r="I7" s="1747"/>
      <c r="J7" s="40" t="s">
        <v>429</v>
      </c>
      <c r="K7" s="42"/>
      <c r="L7" s="364">
        <v>0</v>
      </c>
      <c r="M7" s="364">
        <v>0</v>
      </c>
      <c r="N7" s="364">
        <v>0</v>
      </c>
      <c r="O7" s="365">
        <v>0</v>
      </c>
      <c r="P7" s="364">
        <v>0</v>
      </c>
      <c r="Q7" s="1475">
        <f t="shared" ref="Q7" si="3">L7*$H$10</f>
        <v>0</v>
      </c>
      <c r="R7" s="1475">
        <f t="shared" ref="R7" si="4">M7*$H$10</f>
        <v>0</v>
      </c>
      <c r="S7" s="1475">
        <f t="shared" ref="S7" si="5">N7*$H$10</f>
        <v>0</v>
      </c>
      <c r="T7" s="1475">
        <f t="shared" ref="T7" si="6">O7*$H$10</f>
        <v>0</v>
      </c>
      <c r="U7" s="1475">
        <f t="shared" ref="U7" si="7">P7*$H$10</f>
        <v>0</v>
      </c>
      <c r="V7" s="1476">
        <f t="shared" si="1"/>
        <v>0</v>
      </c>
    </row>
    <row r="8" spans="1:22" s="39" customFormat="1" ht="24" customHeight="1">
      <c r="A8" s="1860"/>
      <c r="B8" s="1860"/>
      <c r="C8" s="1860"/>
      <c r="D8" s="1860"/>
      <c r="E8" s="1839"/>
      <c r="F8" s="1841"/>
      <c r="G8" s="1728"/>
      <c r="H8" s="1601"/>
      <c r="I8" s="1747"/>
      <c r="J8" s="40" t="s">
        <v>133</v>
      </c>
      <c r="K8" s="42"/>
      <c r="L8" s="364">
        <v>0</v>
      </c>
      <c r="M8" s="364">
        <v>0</v>
      </c>
      <c r="N8" s="364">
        <v>0</v>
      </c>
      <c r="O8" s="364">
        <f>4100*10%</f>
        <v>410</v>
      </c>
      <c r="P8" s="364">
        <f>4100*15%</f>
        <v>615</v>
      </c>
      <c r="Q8" s="1475">
        <f t="shared" ref="Q8:Q13" si="8">L8*$H$10</f>
        <v>0</v>
      </c>
      <c r="R8" s="1475">
        <f t="shared" ref="R8:R13" si="9">M8*$H$10</f>
        <v>0</v>
      </c>
      <c r="S8" s="1475">
        <f t="shared" ref="S8:S13" si="10">N8*$H$10</f>
        <v>0</v>
      </c>
      <c r="T8" s="1475">
        <f t="shared" ref="T8:T13" si="11">O8*$H$10</f>
        <v>420455</v>
      </c>
      <c r="U8" s="1475">
        <f t="shared" ref="U8:U13" si="12">P8*$H$10</f>
        <v>630682.5</v>
      </c>
      <c r="V8" s="1476">
        <f t="shared" si="1"/>
        <v>1051137.5</v>
      </c>
    </row>
    <row r="9" spans="1:22" s="39" customFormat="1" ht="24" customHeight="1">
      <c r="A9" s="1860"/>
      <c r="B9" s="1860"/>
      <c r="C9" s="1860"/>
      <c r="D9" s="1860"/>
      <c r="E9" s="1839"/>
      <c r="F9" s="1841"/>
      <c r="G9" s="1728"/>
      <c r="H9" s="1601"/>
      <c r="I9" s="1747"/>
      <c r="J9" s="40" t="s">
        <v>81</v>
      </c>
      <c r="K9" s="42"/>
      <c r="L9" s="364">
        <v>0</v>
      </c>
      <c r="M9" s="364">
        <v>0</v>
      </c>
      <c r="N9" s="364">
        <v>0</v>
      </c>
      <c r="O9" s="364">
        <v>0</v>
      </c>
      <c r="P9" s="364">
        <v>0</v>
      </c>
      <c r="Q9" s="1475">
        <f t="shared" si="8"/>
        <v>0</v>
      </c>
      <c r="R9" s="1475">
        <f t="shared" si="9"/>
        <v>0</v>
      </c>
      <c r="S9" s="1475">
        <f t="shared" si="10"/>
        <v>0</v>
      </c>
      <c r="T9" s="1475">
        <f t="shared" si="11"/>
        <v>0</v>
      </c>
      <c r="U9" s="1475">
        <f t="shared" si="12"/>
        <v>0</v>
      </c>
      <c r="V9" s="1476">
        <f t="shared" si="1"/>
        <v>0</v>
      </c>
    </row>
    <row r="10" spans="1:22" s="39" customFormat="1" ht="24" customHeight="1">
      <c r="A10" s="1860"/>
      <c r="B10" s="1860"/>
      <c r="C10" s="1860"/>
      <c r="D10" s="1860"/>
      <c r="E10" s="1839"/>
      <c r="F10" s="1841"/>
      <c r="G10" s="1728"/>
      <c r="H10" s="1918">
        <f>1025.5</f>
        <v>1025.5</v>
      </c>
      <c r="I10" s="1747"/>
      <c r="J10" s="40" t="s">
        <v>134</v>
      </c>
      <c r="K10" s="42"/>
      <c r="L10" s="364">
        <f>(17100-4100)*L4*25%</f>
        <v>975</v>
      </c>
      <c r="M10" s="364">
        <f>(17100-4100)*M4*30%</f>
        <v>1365</v>
      </c>
      <c r="N10" s="364">
        <f>(17100-4100)*N4*35%</f>
        <v>1819.9999999999998</v>
      </c>
      <c r="O10" s="364">
        <f>(17100-4100)*O4*40%</f>
        <v>2860.0000000000005</v>
      </c>
      <c r="P10" s="364">
        <f>(17100-4100)*P4*45%</f>
        <v>4095</v>
      </c>
      <c r="Q10" s="1475">
        <f t="shared" si="8"/>
        <v>999862.5</v>
      </c>
      <c r="R10" s="1475">
        <f t="shared" si="9"/>
        <v>1399807.5</v>
      </c>
      <c r="S10" s="1475">
        <f t="shared" si="10"/>
        <v>1866409.9999999998</v>
      </c>
      <c r="T10" s="1475">
        <f t="shared" si="11"/>
        <v>2932930.0000000005</v>
      </c>
      <c r="U10" s="1475">
        <f t="shared" si="12"/>
        <v>4199422.5</v>
      </c>
      <c r="V10" s="1476">
        <f t="shared" si="1"/>
        <v>11398432.5</v>
      </c>
    </row>
    <row r="11" spans="1:22" s="39" customFormat="1" ht="24" customHeight="1">
      <c r="A11" s="1860"/>
      <c r="B11" s="1860"/>
      <c r="C11" s="1860"/>
      <c r="D11" s="1860"/>
      <c r="E11" s="1839"/>
      <c r="F11" s="1841"/>
      <c r="G11" s="1728"/>
      <c r="H11" s="1918"/>
      <c r="I11" s="1747"/>
      <c r="J11" s="40" t="s">
        <v>82</v>
      </c>
      <c r="K11" s="42"/>
      <c r="L11" s="364">
        <f>(17100-4100)*L4*75%</f>
        <v>2925</v>
      </c>
      <c r="M11" s="364">
        <f>(17100-4100)*M4*70%</f>
        <v>3185</v>
      </c>
      <c r="N11" s="364">
        <f>(17100-4100)*N4*65%</f>
        <v>3380</v>
      </c>
      <c r="O11" s="366">
        <v>0</v>
      </c>
      <c r="P11" s="366">
        <v>0</v>
      </c>
      <c r="Q11" s="1475">
        <f>L11*$H$10</f>
        <v>2999587.5</v>
      </c>
      <c r="R11" s="1475">
        <f t="shared" si="9"/>
        <v>3266217.5</v>
      </c>
      <c r="S11" s="1475">
        <f t="shared" si="10"/>
        <v>3466190</v>
      </c>
      <c r="T11" s="1475">
        <f t="shared" si="11"/>
        <v>0</v>
      </c>
      <c r="U11" s="1475">
        <f t="shared" si="12"/>
        <v>0</v>
      </c>
      <c r="V11" s="1476">
        <f t="shared" si="1"/>
        <v>9731995</v>
      </c>
    </row>
    <row r="12" spans="1:22" s="39" customFormat="1" ht="24" customHeight="1">
      <c r="A12" s="1860"/>
      <c r="B12" s="1860"/>
      <c r="C12" s="1860"/>
      <c r="D12" s="1860"/>
      <c r="E12" s="1839"/>
      <c r="F12" s="1841"/>
      <c r="G12" s="1728"/>
      <c r="H12" s="1918"/>
      <c r="I12" s="1747"/>
      <c r="J12" s="40" t="s">
        <v>90</v>
      </c>
      <c r="K12" s="866"/>
      <c r="L12" s="364">
        <f>4100*L4</f>
        <v>1230</v>
      </c>
      <c r="M12" s="364">
        <f>4100*M4</f>
        <v>1435</v>
      </c>
      <c r="N12" s="364">
        <f>4100*N4</f>
        <v>1640</v>
      </c>
      <c r="O12" s="364">
        <v>0</v>
      </c>
      <c r="P12" s="364">
        <v>0</v>
      </c>
      <c r="Q12" s="1475">
        <f t="shared" si="8"/>
        <v>1261365</v>
      </c>
      <c r="R12" s="1475">
        <f t="shared" si="9"/>
        <v>1471592.5</v>
      </c>
      <c r="S12" s="1475">
        <f t="shared" si="10"/>
        <v>1681820</v>
      </c>
      <c r="T12" s="1475">
        <f t="shared" si="11"/>
        <v>0</v>
      </c>
      <c r="U12" s="1475">
        <f t="shared" si="12"/>
        <v>0</v>
      </c>
      <c r="V12" s="1476">
        <f>SUM(Q12:U12)</f>
        <v>4414777.5</v>
      </c>
    </row>
    <row r="13" spans="1:22" s="39" customFormat="1" ht="24" customHeight="1">
      <c r="A13" s="1860"/>
      <c r="B13" s="1860"/>
      <c r="C13" s="1860"/>
      <c r="D13" s="1860"/>
      <c r="E13" s="1839"/>
      <c r="F13" s="1841"/>
      <c r="G13" s="1728"/>
      <c r="H13" s="1918"/>
      <c r="I13" s="1747"/>
      <c r="J13" s="40" t="s">
        <v>83</v>
      </c>
      <c r="K13" s="42"/>
      <c r="L13" s="364">
        <v>0</v>
      </c>
      <c r="M13" s="364">
        <v>0</v>
      </c>
      <c r="N13" s="364">
        <v>0</v>
      </c>
      <c r="O13" s="364">
        <v>0</v>
      </c>
      <c r="P13" s="364">
        <v>0</v>
      </c>
      <c r="Q13" s="1475">
        <f t="shared" si="8"/>
        <v>0</v>
      </c>
      <c r="R13" s="1475">
        <f t="shared" si="9"/>
        <v>0</v>
      </c>
      <c r="S13" s="1475">
        <f t="shared" si="10"/>
        <v>0</v>
      </c>
      <c r="T13" s="1475">
        <f t="shared" si="11"/>
        <v>0</v>
      </c>
      <c r="U13" s="1475">
        <f t="shared" si="12"/>
        <v>0</v>
      </c>
      <c r="V13" s="1476">
        <f t="shared" si="1"/>
        <v>0</v>
      </c>
    </row>
    <row r="14" spans="1:22" s="39" customFormat="1" ht="24" customHeight="1">
      <c r="A14" s="1860"/>
      <c r="B14" s="1860"/>
      <c r="C14" s="1860"/>
      <c r="D14" s="1860"/>
      <c r="E14" s="1839"/>
      <c r="F14" s="1841"/>
      <c r="G14" s="1729"/>
      <c r="H14" s="1918"/>
      <c r="I14" s="1748"/>
      <c r="J14" s="40" t="s">
        <v>84</v>
      </c>
      <c r="K14" s="42"/>
      <c r="L14" s="364">
        <f t="shared" ref="L14:U14" si="13">L5-L6</f>
        <v>0</v>
      </c>
      <c r="M14" s="364">
        <f t="shared" si="13"/>
        <v>0</v>
      </c>
      <c r="N14" s="364">
        <f t="shared" si="13"/>
        <v>0</v>
      </c>
      <c r="O14" s="364">
        <f t="shared" si="13"/>
        <v>6135</v>
      </c>
      <c r="P14" s="364">
        <f t="shared" si="13"/>
        <v>7260</v>
      </c>
      <c r="Q14" s="1475">
        <f t="shared" si="13"/>
        <v>0</v>
      </c>
      <c r="R14" s="1475">
        <f t="shared" si="13"/>
        <v>0</v>
      </c>
      <c r="S14" s="1475">
        <f t="shared" si="13"/>
        <v>0</v>
      </c>
      <c r="T14" s="1475">
        <f t="shared" si="13"/>
        <v>6291442.5</v>
      </c>
      <c r="U14" s="1475">
        <f t="shared" si="13"/>
        <v>7445130</v>
      </c>
      <c r="V14" s="1476">
        <f t="shared" si="1"/>
        <v>13736572.5</v>
      </c>
    </row>
    <row r="15" spans="1:22" s="39" customFormat="1" ht="24" customHeight="1">
      <c r="A15" s="1860">
        <v>1</v>
      </c>
      <c r="B15" s="1860">
        <v>1</v>
      </c>
      <c r="C15" s="1860">
        <v>1</v>
      </c>
      <c r="D15" s="1860">
        <v>2</v>
      </c>
      <c r="E15" s="1839" t="s">
        <v>14</v>
      </c>
      <c r="F15" s="1841" t="str">
        <f>CONCATENATE(A15,".",B15,".",C15,".",D15,)</f>
        <v>1.1.1.2</v>
      </c>
      <c r="G15" s="1940" t="s">
        <v>44</v>
      </c>
      <c r="H15" s="1601" t="s">
        <v>86</v>
      </c>
      <c r="I15" s="1743" t="s">
        <v>87</v>
      </c>
      <c r="J15" s="36" t="s">
        <v>79</v>
      </c>
      <c r="K15" s="43"/>
      <c r="L15" s="363">
        <f>L5*30%</f>
        <v>1539</v>
      </c>
      <c r="M15" s="363">
        <f>M5*30%</f>
        <v>1795.5</v>
      </c>
      <c r="N15" s="363">
        <f>N5*30%</f>
        <v>2052</v>
      </c>
      <c r="O15" s="363">
        <f>O5*30%</f>
        <v>2821.5</v>
      </c>
      <c r="P15" s="363">
        <f>P5*30%</f>
        <v>3591</v>
      </c>
      <c r="Q15" s="1475">
        <f>L15*$H$20</f>
        <v>1138860</v>
      </c>
      <c r="R15" s="1475">
        <f>M15*$H$20</f>
        <v>1328670</v>
      </c>
      <c r="S15" s="1475">
        <f>N15*$H$20</f>
        <v>1518480</v>
      </c>
      <c r="T15" s="1475">
        <f>O15*$H$20</f>
        <v>2087910</v>
      </c>
      <c r="U15" s="1475">
        <f>P15*$H$20</f>
        <v>2657340</v>
      </c>
      <c r="V15" s="1476">
        <f t="shared" si="1"/>
        <v>8731260</v>
      </c>
    </row>
    <row r="16" spans="1:22" s="39" customFormat="1" ht="24" customHeight="1">
      <c r="A16" s="1860">
        <v>1</v>
      </c>
      <c r="B16" s="1860"/>
      <c r="C16" s="1860"/>
      <c r="D16" s="1860"/>
      <c r="E16" s="1839"/>
      <c r="F16" s="1841"/>
      <c r="G16" s="1941"/>
      <c r="H16" s="1601"/>
      <c r="I16" s="1744"/>
      <c r="J16" s="40" t="s">
        <v>80</v>
      </c>
      <c r="K16" s="88"/>
      <c r="L16" s="364">
        <f t="shared" ref="L16:U16" si="14">SUM(L17:L23)</f>
        <v>0</v>
      </c>
      <c r="M16" s="364">
        <f t="shared" si="14"/>
        <v>0</v>
      </c>
      <c r="N16" s="364">
        <f t="shared" si="14"/>
        <v>0</v>
      </c>
      <c r="O16" s="364">
        <f t="shared" si="14"/>
        <v>0</v>
      </c>
      <c r="P16" s="364">
        <f t="shared" si="14"/>
        <v>0</v>
      </c>
      <c r="Q16" s="1475">
        <f t="shared" si="14"/>
        <v>0</v>
      </c>
      <c r="R16" s="1475">
        <f t="shared" si="14"/>
        <v>0</v>
      </c>
      <c r="S16" s="1475">
        <f t="shared" si="14"/>
        <v>0</v>
      </c>
      <c r="T16" s="1475">
        <f t="shared" si="14"/>
        <v>0</v>
      </c>
      <c r="U16" s="1475">
        <f t="shared" si="14"/>
        <v>0</v>
      </c>
      <c r="V16" s="1476">
        <f t="shared" si="1"/>
        <v>0</v>
      </c>
    </row>
    <row r="17" spans="1:22" s="39" customFormat="1" ht="24" customHeight="1">
      <c r="A17" s="1860">
        <v>1</v>
      </c>
      <c r="B17" s="1860"/>
      <c r="C17" s="1860"/>
      <c r="D17" s="1860"/>
      <c r="E17" s="1839"/>
      <c r="F17" s="1841"/>
      <c r="G17" s="1941"/>
      <c r="H17" s="1601"/>
      <c r="I17" s="1744"/>
      <c r="J17" s="40" t="s">
        <v>429</v>
      </c>
      <c r="K17" s="42"/>
      <c r="L17" s="364">
        <v>0</v>
      </c>
      <c r="M17" s="364">
        <v>0</v>
      </c>
      <c r="N17" s="364">
        <v>0</v>
      </c>
      <c r="O17" s="364">
        <v>0</v>
      </c>
      <c r="P17" s="364">
        <v>0</v>
      </c>
      <c r="Q17" s="1475">
        <f>L17*$H$20</f>
        <v>0</v>
      </c>
      <c r="R17" s="1475">
        <f t="shared" ref="R17:U17" si="15">M17*$H$20</f>
        <v>0</v>
      </c>
      <c r="S17" s="1475">
        <f t="shared" si="15"/>
        <v>0</v>
      </c>
      <c r="T17" s="1475">
        <f t="shared" si="15"/>
        <v>0</v>
      </c>
      <c r="U17" s="1475">
        <f t="shared" si="15"/>
        <v>0</v>
      </c>
      <c r="V17" s="1476">
        <f t="shared" si="1"/>
        <v>0</v>
      </c>
    </row>
    <row r="18" spans="1:22" s="39" customFormat="1" ht="24" customHeight="1">
      <c r="A18" s="1860">
        <v>1</v>
      </c>
      <c r="B18" s="1860"/>
      <c r="C18" s="1860"/>
      <c r="D18" s="1860"/>
      <c r="E18" s="1839"/>
      <c r="F18" s="1841"/>
      <c r="G18" s="1941"/>
      <c r="H18" s="1601"/>
      <c r="I18" s="1744"/>
      <c r="J18" s="40" t="s">
        <v>133</v>
      </c>
      <c r="K18" s="42"/>
      <c r="L18" s="364">
        <v>0</v>
      </c>
      <c r="M18" s="364">
        <v>0</v>
      </c>
      <c r="N18" s="364">
        <v>0</v>
      </c>
      <c r="O18" s="364">
        <v>0</v>
      </c>
      <c r="P18" s="364">
        <v>0</v>
      </c>
      <c r="Q18" s="1475">
        <f t="shared" ref="Q18:Q23" si="16">L18*$H$20</f>
        <v>0</v>
      </c>
      <c r="R18" s="1475">
        <f t="shared" ref="R18:R23" si="17">M18*$H$20</f>
        <v>0</v>
      </c>
      <c r="S18" s="1475">
        <f t="shared" ref="S18:S23" si="18">N18*$H$20</f>
        <v>0</v>
      </c>
      <c r="T18" s="1475">
        <f t="shared" ref="T18:T23" si="19">O18*$H$20</f>
        <v>0</v>
      </c>
      <c r="U18" s="1475">
        <f t="shared" ref="U18:U23" si="20">P18*$H$20</f>
        <v>0</v>
      </c>
      <c r="V18" s="1476">
        <f>SUM(Q18:U18)</f>
        <v>0</v>
      </c>
    </row>
    <row r="19" spans="1:22" s="39" customFormat="1" ht="24" customHeight="1">
      <c r="A19" s="1860">
        <v>1</v>
      </c>
      <c r="B19" s="1860"/>
      <c r="C19" s="1860"/>
      <c r="D19" s="1860"/>
      <c r="E19" s="1839"/>
      <c r="F19" s="1841"/>
      <c r="G19" s="1941"/>
      <c r="H19" s="1601"/>
      <c r="I19" s="1744"/>
      <c r="J19" s="40" t="s">
        <v>81</v>
      </c>
      <c r="K19" s="42"/>
      <c r="L19" s="364">
        <v>0</v>
      </c>
      <c r="M19" s="364">
        <v>0</v>
      </c>
      <c r="N19" s="364">
        <v>0</v>
      </c>
      <c r="O19" s="364">
        <v>0</v>
      </c>
      <c r="P19" s="364">
        <v>0</v>
      </c>
      <c r="Q19" s="1475">
        <f t="shared" si="16"/>
        <v>0</v>
      </c>
      <c r="R19" s="1475">
        <f t="shared" si="17"/>
        <v>0</v>
      </c>
      <c r="S19" s="1475">
        <f t="shared" si="18"/>
        <v>0</v>
      </c>
      <c r="T19" s="1475">
        <f t="shared" si="19"/>
        <v>0</v>
      </c>
      <c r="U19" s="1475">
        <f t="shared" si="20"/>
        <v>0</v>
      </c>
      <c r="V19" s="1476">
        <f t="shared" si="1"/>
        <v>0</v>
      </c>
    </row>
    <row r="20" spans="1:22" s="39" customFormat="1" ht="24" customHeight="1">
      <c r="A20" s="1860">
        <v>1</v>
      </c>
      <c r="B20" s="1860"/>
      <c r="C20" s="1860"/>
      <c r="D20" s="1860"/>
      <c r="E20" s="1839"/>
      <c r="F20" s="1841"/>
      <c r="G20" s="1941"/>
      <c r="H20" s="1918">
        <f>740</f>
        <v>740</v>
      </c>
      <c r="I20" s="1744"/>
      <c r="J20" s="40" t="s">
        <v>134</v>
      </c>
      <c r="K20" s="42"/>
      <c r="L20" s="364">
        <v>0</v>
      </c>
      <c r="M20" s="364">
        <v>0</v>
      </c>
      <c r="N20" s="364">
        <v>0</v>
      </c>
      <c r="O20" s="364">
        <v>0</v>
      </c>
      <c r="P20" s="364">
        <v>0</v>
      </c>
      <c r="Q20" s="1475">
        <f t="shared" si="16"/>
        <v>0</v>
      </c>
      <c r="R20" s="1475">
        <f t="shared" si="17"/>
        <v>0</v>
      </c>
      <c r="S20" s="1475">
        <f t="shared" si="18"/>
        <v>0</v>
      </c>
      <c r="T20" s="1475">
        <f t="shared" si="19"/>
        <v>0</v>
      </c>
      <c r="U20" s="1475">
        <f t="shared" si="20"/>
        <v>0</v>
      </c>
      <c r="V20" s="1476">
        <f t="shared" si="1"/>
        <v>0</v>
      </c>
    </row>
    <row r="21" spans="1:22" s="39" customFormat="1" ht="24" customHeight="1">
      <c r="A21" s="1860">
        <v>1</v>
      </c>
      <c r="B21" s="1860"/>
      <c r="C21" s="1860"/>
      <c r="D21" s="1860"/>
      <c r="E21" s="1839"/>
      <c r="F21" s="1841"/>
      <c r="G21" s="1941"/>
      <c r="H21" s="1918"/>
      <c r="I21" s="1744"/>
      <c r="J21" s="40" t="s">
        <v>82</v>
      </c>
      <c r="K21" s="42"/>
      <c r="L21" s="364">
        <v>0</v>
      </c>
      <c r="M21" s="364">
        <v>0</v>
      </c>
      <c r="N21" s="364">
        <v>0</v>
      </c>
      <c r="O21" s="364">
        <v>0</v>
      </c>
      <c r="P21" s="364">
        <v>0</v>
      </c>
      <c r="Q21" s="1475">
        <f t="shared" si="16"/>
        <v>0</v>
      </c>
      <c r="R21" s="1475">
        <f t="shared" si="17"/>
        <v>0</v>
      </c>
      <c r="S21" s="1475">
        <f t="shared" si="18"/>
        <v>0</v>
      </c>
      <c r="T21" s="1475">
        <f t="shared" si="19"/>
        <v>0</v>
      </c>
      <c r="U21" s="1475">
        <f t="shared" si="20"/>
        <v>0</v>
      </c>
      <c r="V21" s="1476">
        <f t="shared" si="1"/>
        <v>0</v>
      </c>
    </row>
    <row r="22" spans="1:22" s="39" customFormat="1" ht="24" customHeight="1">
      <c r="A22" s="1860">
        <v>1</v>
      </c>
      <c r="B22" s="1860"/>
      <c r="C22" s="1860"/>
      <c r="D22" s="1860"/>
      <c r="E22" s="1839"/>
      <c r="F22" s="1841"/>
      <c r="G22" s="1941"/>
      <c r="H22" s="1918"/>
      <c r="I22" s="1744"/>
      <c r="J22" s="40" t="s">
        <v>90</v>
      </c>
      <c r="K22" s="42"/>
      <c r="L22" s="364">
        <v>0</v>
      </c>
      <c r="M22" s="364">
        <v>0</v>
      </c>
      <c r="N22" s="364">
        <v>0</v>
      </c>
      <c r="O22" s="364">
        <v>0</v>
      </c>
      <c r="P22" s="364">
        <v>0</v>
      </c>
      <c r="Q22" s="1475">
        <f t="shared" si="16"/>
        <v>0</v>
      </c>
      <c r="R22" s="1475">
        <f t="shared" si="17"/>
        <v>0</v>
      </c>
      <c r="S22" s="1475">
        <f t="shared" si="18"/>
        <v>0</v>
      </c>
      <c r="T22" s="1475">
        <f t="shared" si="19"/>
        <v>0</v>
      </c>
      <c r="U22" s="1475">
        <f t="shared" si="20"/>
        <v>0</v>
      </c>
      <c r="V22" s="1476">
        <f t="shared" si="1"/>
        <v>0</v>
      </c>
    </row>
    <row r="23" spans="1:22" s="39" customFormat="1" ht="24" customHeight="1">
      <c r="A23" s="1860">
        <v>1</v>
      </c>
      <c r="B23" s="1860"/>
      <c r="C23" s="1860"/>
      <c r="D23" s="1860"/>
      <c r="E23" s="1839"/>
      <c r="F23" s="1841"/>
      <c r="G23" s="1941"/>
      <c r="H23" s="1918"/>
      <c r="I23" s="1744"/>
      <c r="J23" s="40" t="s">
        <v>83</v>
      </c>
      <c r="K23" s="42"/>
      <c r="L23" s="364">
        <v>0</v>
      </c>
      <c r="M23" s="364">
        <v>0</v>
      </c>
      <c r="N23" s="364">
        <v>0</v>
      </c>
      <c r="O23" s="364">
        <v>0</v>
      </c>
      <c r="P23" s="364">
        <v>0</v>
      </c>
      <c r="Q23" s="1475">
        <f t="shared" si="16"/>
        <v>0</v>
      </c>
      <c r="R23" s="1475">
        <f t="shared" si="17"/>
        <v>0</v>
      </c>
      <c r="S23" s="1475">
        <f t="shared" si="18"/>
        <v>0</v>
      </c>
      <c r="T23" s="1475">
        <f t="shared" si="19"/>
        <v>0</v>
      </c>
      <c r="U23" s="1475">
        <f t="shared" si="20"/>
        <v>0</v>
      </c>
      <c r="V23" s="1476">
        <f t="shared" si="1"/>
        <v>0</v>
      </c>
    </row>
    <row r="24" spans="1:22" s="39" customFormat="1" ht="24" customHeight="1" thickBot="1">
      <c r="A24" s="1860">
        <v>1</v>
      </c>
      <c r="B24" s="1860"/>
      <c r="C24" s="1860"/>
      <c r="D24" s="1860"/>
      <c r="E24" s="1839"/>
      <c r="F24" s="1841"/>
      <c r="G24" s="1942"/>
      <c r="H24" s="1918"/>
      <c r="I24" s="1745"/>
      <c r="J24" s="40" t="s">
        <v>84</v>
      </c>
      <c r="K24" s="42"/>
      <c r="L24" s="365">
        <f>L15-L16</f>
        <v>1539</v>
      </c>
      <c r="M24" s="365">
        <f t="shared" ref="M24:U24" si="21">M15-M16</f>
        <v>1795.5</v>
      </c>
      <c r="N24" s="365">
        <f t="shared" si="21"/>
        <v>2052</v>
      </c>
      <c r="O24" s="365">
        <f t="shared" si="21"/>
        <v>2821.5</v>
      </c>
      <c r="P24" s="365">
        <f t="shared" si="21"/>
        <v>3591</v>
      </c>
      <c r="Q24" s="1475">
        <f t="shared" si="21"/>
        <v>1138860</v>
      </c>
      <c r="R24" s="1475">
        <f t="shared" si="21"/>
        <v>1328670</v>
      </c>
      <c r="S24" s="1475">
        <f t="shared" si="21"/>
        <v>1518480</v>
      </c>
      <c r="T24" s="1475">
        <f t="shared" si="21"/>
        <v>2087910</v>
      </c>
      <c r="U24" s="1475">
        <f t="shared" si="21"/>
        <v>2657340</v>
      </c>
      <c r="V24" s="1476">
        <f t="shared" si="1"/>
        <v>8731260</v>
      </c>
    </row>
    <row r="25" spans="1:22" s="57" customFormat="1" ht="24" customHeight="1">
      <c r="A25" s="1860">
        <v>1</v>
      </c>
      <c r="B25" s="1860">
        <v>1</v>
      </c>
      <c r="C25" s="1860">
        <v>1</v>
      </c>
      <c r="D25" s="1860">
        <v>3</v>
      </c>
      <c r="E25" s="1839" t="s">
        <v>49</v>
      </c>
      <c r="F25" s="1841" t="str">
        <f>CONCATENATE(A25,".",B25,".",C25,".",D25,)</f>
        <v>1.1.1.3</v>
      </c>
      <c r="G25" s="1642" t="s">
        <v>16</v>
      </c>
      <c r="H25" s="1601" t="s">
        <v>86</v>
      </c>
      <c r="I25" s="1717" t="s">
        <v>731</v>
      </c>
      <c r="J25" s="36" t="s">
        <v>79</v>
      </c>
      <c r="K25" s="817"/>
      <c r="L25" s="376">
        <v>50</v>
      </c>
      <c r="M25" s="376">
        <v>60</v>
      </c>
      <c r="N25" s="376">
        <v>70</v>
      </c>
      <c r="O25" s="376">
        <v>80</v>
      </c>
      <c r="P25" s="376">
        <v>100</v>
      </c>
      <c r="Q25" s="1475">
        <f>L25*H30</f>
        <v>88275</v>
      </c>
      <c r="R25" s="1475">
        <f>M25*H30</f>
        <v>105930</v>
      </c>
      <c r="S25" s="1475">
        <f>N25*H30</f>
        <v>123585</v>
      </c>
      <c r="T25" s="1475">
        <f>O25*H30</f>
        <v>141240</v>
      </c>
      <c r="U25" s="1475">
        <f>P25*H30</f>
        <v>176550</v>
      </c>
      <c r="V25" s="1476">
        <f t="shared" ref="V25:V34" si="22">SUM(Q25:U25)</f>
        <v>635580</v>
      </c>
    </row>
    <row r="26" spans="1:22" s="39" customFormat="1" ht="24" customHeight="1">
      <c r="A26" s="1860">
        <v>1</v>
      </c>
      <c r="B26" s="1860"/>
      <c r="C26" s="1860"/>
      <c r="D26" s="1860"/>
      <c r="E26" s="1839"/>
      <c r="F26" s="1841"/>
      <c r="G26" s="1643"/>
      <c r="H26" s="1601"/>
      <c r="I26" s="1718"/>
      <c r="J26" s="40" t="s">
        <v>80</v>
      </c>
      <c r="K26" s="91"/>
      <c r="L26" s="384">
        <f t="shared" ref="L26:P26" si="23">SUM(L27:L33)</f>
        <v>50</v>
      </c>
      <c r="M26" s="384">
        <f t="shared" si="23"/>
        <v>60</v>
      </c>
      <c r="N26" s="384">
        <f t="shared" si="23"/>
        <v>70</v>
      </c>
      <c r="O26" s="384">
        <f t="shared" si="23"/>
        <v>80</v>
      </c>
      <c r="P26" s="384">
        <f t="shared" si="23"/>
        <v>100</v>
      </c>
      <c r="Q26" s="1475">
        <f t="shared" ref="Q26:U26" si="24">SUM(Q27:Q33)</f>
        <v>88275</v>
      </c>
      <c r="R26" s="1475">
        <f t="shared" si="24"/>
        <v>105930</v>
      </c>
      <c r="S26" s="1475">
        <f t="shared" si="24"/>
        <v>123585</v>
      </c>
      <c r="T26" s="1475">
        <f t="shared" si="24"/>
        <v>141240</v>
      </c>
      <c r="U26" s="1475">
        <f t="shared" si="24"/>
        <v>176550</v>
      </c>
      <c r="V26" s="1476">
        <f t="shared" si="22"/>
        <v>635580</v>
      </c>
    </row>
    <row r="27" spans="1:22" s="39" customFormat="1" ht="24" customHeight="1">
      <c r="A27" s="1860">
        <v>1</v>
      </c>
      <c r="B27" s="1860"/>
      <c r="C27" s="1860"/>
      <c r="D27" s="1860"/>
      <c r="E27" s="1839"/>
      <c r="F27" s="1841"/>
      <c r="G27" s="1643"/>
      <c r="H27" s="1601"/>
      <c r="I27" s="1718"/>
      <c r="J27" s="40" t="s">
        <v>429</v>
      </c>
      <c r="K27" s="42"/>
      <c r="L27" s="384">
        <v>0</v>
      </c>
      <c r="M27" s="384">
        <v>0</v>
      </c>
      <c r="N27" s="384">
        <v>0</v>
      </c>
      <c r="O27" s="384">
        <v>0</v>
      </c>
      <c r="P27" s="384">
        <v>0</v>
      </c>
      <c r="Q27" s="1475">
        <f>L27*$H30</f>
        <v>0</v>
      </c>
      <c r="R27" s="1475">
        <f>M27*$H30</f>
        <v>0</v>
      </c>
      <c r="S27" s="1475">
        <f>N27*$H30</f>
        <v>0</v>
      </c>
      <c r="T27" s="1475">
        <f>O27*$H30</f>
        <v>0</v>
      </c>
      <c r="U27" s="1475">
        <f>P27*$H30</f>
        <v>0</v>
      </c>
      <c r="V27" s="1476">
        <f t="shared" si="22"/>
        <v>0</v>
      </c>
    </row>
    <row r="28" spans="1:22" s="39" customFormat="1" ht="24" customHeight="1">
      <c r="A28" s="1860">
        <v>1</v>
      </c>
      <c r="B28" s="1860"/>
      <c r="C28" s="1860"/>
      <c r="D28" s="1860"/>
      <c r="E28" s="1839"/>
      <c r="F28" s="1841"/>
      <c r="G28" s="1643"/>
      <c r="H28" s="1601"/>
      <c r="I28" s="1718"/>
      <c r="J28" s="40" t="s">
        <v>133</v>
      </c>
      <c r="K28" s="42"/>
      <c r="L28" s="384">
        <v>0</v>
      </c>
      <c r="M28" s="384">
        <v>0</v>
      </c>
      <c r="N28" s="384">
        <v>0</v>
      </c>
      <c r="O28" s="384">
        <v>0</v>
      </c>
      <c r="P28" s="384">
        <v>0</v>
      </c>
      <c r="Q28" s="1475">
        <f>L28*$H30</f>
        <v>0</v>
      </c>
      <c r="R28" s="1475">
        <f>M28*$H30</f>
        <v>0</v>
      </c>
      <c r="S28" s="1475">
        <f>N28*$H30</f>
        <v>0</v>
      </c>
      <c r="T28" s="1475">
        <f>O28*$H30</f>
        <v>0</v>
      </c>
      <c r="U28" s="1475">
        <f>P28*$H30</f>
        <v>0</v>
      </c>
      <c r="V28" s="1476">
        <f t="shared" si="22"/>
        <v>0</v>
      </c>
    </row>
    <row r="29" spans="1:22" s="39" customFormat="1" ht="24" customHeight="1">
      <c r="A29" s="1860">
        <v>1</v>
      </c>
      <c r="B29" s="1860"/>
      <c r="C29" s="1860"/>
      <c r="D29" s="1860"/>
      <c r="E29" s="1839"/>
      <c r="F29" s="1841"/>
      <c r="G29" s="1643"/>
      <c r="H29" s="1601"/>
      <c r="I29" s="1718"/>
      <c r="J29" s="40" t="s">
        <v>81</v>
      </c>
      <c r="K29" s="42"/>
      <c r="L29" s="384">
        <v>0</v>
      </c>
      <c r="M29" s="384">
        <v>0</v>
      </c>
      <c r="N29" s="384">
        <v>0</v>
      </c>
      <c r="O29" s="384">
        <v>0</v>
      </c>
      <c r="P29" s="384">
        <v>0</v>
      </c>
      <c r="Q29" s="1475">
        <f>L29*$H30</f>
        <v>0</v>
      </c>
      <c r="R29" s="1475">
        <f>M29*$H30</f>
        <v>0</v>
      </c>
      <c r="S29" s="1475">
        <f>N29*$H30</f>
        <v>0</v>
      </c>
      <c r="T29" s="1475">
        <f>O29*$H30</f>
        <v>0</v>
      </c>
      <c r="U29" s="1475">
        <f>P29*$H30</f>
        <v>0</v>
      </c>
      <c r="V29" s="1476">
        <f t="shared" si="22"/>
        <v>0</v>
      </c>
    </row>
    <row r="30" spans="1:22" s="39" customFormat="1" ht="24" customHeight="1">
      <c r="A30" s="1860">
        <v>1</v>
      </c>
      <c r="B30" s="1860"/>
      <c r="C30" s="1860"/>
      <c r="D30" s="1860"/>
      <c r="E30" s="1839"/>
      <c r="F30" s="1841"/>
      <c r="G30" s="1643"/>
      <c r="H30" s="1602">
        <f>H20+H10</f>
        <v>1765.5</v>
      </c>
      <c r="I30" s="1718"/>
      <c r="J30" s="40" t="s">
        <v>134</v>
      </c>
      <c r="K30" s="42"/>
      <c r="L30" s="384">
        <f>L21*30%</f>
        <v>0</v>
      </c>
      <c r="M30" s="384">
        <f>M21*30%</f>
        <v>0</v>
      </c>
      <c r="N30" s="384">
        <f>N21*30%</f>
        <v>0</v>
      </c>
      <c r="O30" s="384">
        <v>80</v>
      </c>
      <c r="P30" s="384">
        <v>100</v>
      </c>
      <c r="Q30" s="1475">
        <f>L30*$H30</f>
        <v>0</v>
      </c>
      <c r="R30" s="1475">
        <f>M30*$H30</f>
        <v>0</v>
      </c>
      <c r="S30" s="1475">
        <f>N30*$H30</f>
        <v>0</v>
      </c>
      <c r="T30" s="1475">
        <f>O30*$H30</f>
        <v>141240</v>
      </c>
      <c r="U30" s="1475">
        <f>P30*$H30</f>
        <v>176550</v>
      </c>
      <c r="V30" s="1476">
        <f t="shared" si="22"/>
        <v>317790</v>
      </c>
    </row>
    <row r="31" spans="1:22" s="39" customFormat="1" ht="24" customHeight="1">
      <c r="A31" s="1860">
        <v>1</v>
      </c>
      <c r="B31" s="1860"/>
      <c r="C31" s="1860"/>
      <c r="D31" s="1860"/>
      <c r="E31" s="1839"/>
      <c r="F31" s="1841"/>
      <c r="G31" s="1643"/>
      <c r="H31" s="1603"/>
      <c r="I31" s="1718"/>
      <c r="J31" s="40" t="s">
        <v>82</v>
      </c>
      <c r="K31" s="42"/>
      <c r="L31" s="384">
        <v>50</v>
      </c>
      <c r="M31" s="384">
        <v>60</v>
      </c>
      <c r="N31" s="384">
        <v>70</v>
      </c>
      <c r="O31" s="384">
        <v>0</v>
      </c>
      <c r="P31" s="384">
        <v>0</v>
      </c>
      <c r="Q31" s="1475">
        <f>L31*$H30</f>
        <v>88275</v>
      </c>
      <c r="R31" s="1475">
        <f>M31*$H30</f>
        <v>105930</v>
      </c>
      <c r="S31" s="1475">
        <f>N31*$H30</f>
        <v>123585</v>
      </c>
      <c r="T31" s="1475">
        <f>O31*$H30</f>
        <v>0</v>
      </c>
      <c r="U31" s="1475">
        <f>P31*$H30</f>
        <v>0</v>
      </c>
      <c r="V31" s="1476">
        <f t="shared" si="22"/>
        <v>317790</v>
      </c>
    </row>
    <row r="32" spans="1:22" s="39" customFormat="1" ht="24" customHeight="1">
      <c r="A32" s="1860">
        <v>1</v>
      </c>
      <c r="B32" s="1860"/>
      <c r="C32" s="1860"/>
      <c r="D32" s="1860"/>
      <c r="E32" s="1839"/>
      <c r="F32" s="1841"/>
      <c r="G32" s="1643"/>
      <c r="H32" s="1603"/>
      <c r="I32" s="1718"/>
      <c r="J32" s="40" t="s">
        <v>90</v>
      </c>
      <c r="K32" s="42"/>
      <c r="L32" s="384">
        <v>0</v>
      </c>
      <c r="M32" s="384">
        <v>0</v>
      </c>
      <c r="N32" s="384">
        <v>0</v>
      </c>
      <c r="O32" s="384">
        <v>0</v>
      </c>
      <c r="P32" s="384">
        <v>0</v>
      </c>
      <c r="Q32" s="1475">
        <f>L32*$H30</f>
        <v>0</v>
      </c>
      <c r="R32" s="1475">
        <f>M32*$H30</f>
        <v>0</v>
      </c>
      <c r="S32" s="1475">
        <f>N32*$H30</f>
        <v>0</v>
      </c>
      <c r="T32" s="1475">
        <f>O32*$H30</f>
        <v>0</v>
      </c>
      <c r="U32" s="1475">
        <f>P32*$H30</f>
        <v>0</v>
      </c>
      <c r="V32" s="1476">
        <f t="shared" si="22"/>
        <v>0</v>
      </c>
    </row>
    <row r="33" spans="1:22" s="39" customFormat="1" ht="24" customHeight="1">
      <c r="A33" s="1860">
        <v>1</v>
      </c>
      <c r="B33" s="1860"/>
      <c r="C33" s="1860"/>
      <c r="D33" s="1860"/>
      <c r="E33" s="1839"/>
      <c r="F33" s="1841"/>
      <c r="G33" s="1643"/>
      <c r="H33" s="1603"/>
      <c r="I33" s="1718"/>
      <c r="J33" s="40" t="s">
        <v>83</v>
      </c>
      <c r="K33" s="42"/>
      <c r="L33" s="384">
        <v>0</v>
      </c>
      <c r="M33" s="384">
        <v>0</v>
      </c>
      <c r="N33" s="384">
        <v>0</v>
      </c>
      <c r="O33" s="384">
        <v>0</v>
      </c>
      <c r="P33" s="384">
        <v>0</v>
      </c>
      <c r="Q33" s="1475">
        <f>L33*$H30</f>
        <v>0</v>
      </c>
      <c r="R33" s="1475">
        <f>M33*$H30</f>
        <v>0</v>
      </c>
      <c r="S33" s="1475">
        <f>N33*$H30</f>
        <v>0</v>
      </c>
      <c r="T33" s="1475">
        <f>O33*$H30</f>
        <v>0</v>
      </c>
      <c r="U33" s="1475">
        <f>P33*$H30</f>
        <v>0</v>
      </c>
      <c r="V33" s="1476">
        <f t="shared" si="22"/>
        <v>0</v>
      </c>
    </row>
    <row r="34" spans="1:22" s="39" customFormat="1" ht="24" customHeight="1">
      <c r="A34" s="1860">
        <v>1</v>
      </c>
      <c r="B34" s="1860"/>
      <c r="C34" s="1860"/>
      <c r="D34" s="1860"/>
      <c r="E34" s="1839"/>
      <c r="F34" s="1841"/>
      <c r="G34" s="1644"/>
      <c r="H34" s="1949"/>
      <c r="I34" s="1855"/>
      <c r="J34" s="40" t="s">
        <v>84</v>
      </c>
      <c r="K34" s="42"/>
      <c r="L34" s="867">
        <f t="shared" ref="L34:P34" si="25">L25-L26</f>
        <v>0</v>
      </c>
      <c r="M34" s="867">
        <f t="shared" si="25"/>
        <v>0</v>
      </c>
      <c r="N34" s="867">
        <f t="shared" si="25"/>
        <v>0</v>
      </c>
      <c r="O34" s="867">
        <f t="shared" si="25"/>
        <v>0</v>
      </c>
      <c r="P34" s="867">
        <f t="shared" si="25"/>
        <v>0</v>
      </c>
      <c r="Q34" s="1475">
        <f t="shared" ref="Q34:U34" si="26">Q25-Q26</f>
        <v>0</v>
      </c>
      <c r="R34" s="1475">
        <f t="shared" si="26"/>
        <v>0</v>
      </c>
      <c r="S34" s="1475">
        <f t="shared" si="26"/>
        <v>0</v>
      </c>
      <c r="T34" s="1475">
        <f t="shared" si="26"/>
        <v>0</v>
      </c>
      <c r="U34" s="1475">
        <f t="shared" si="26"/>
        <v>0</v>
      </c>
      <c r="V34" s="1476">
        <f t="shared" si="22"/>
        <v>0</v>
      </c>
    </row>
    <row r="35" spans="1:22" s="346" customFormat="1" ht="24" customHeight="1">
      <c r="A35" s="1860">
        <v>1</v>
      </c>
      <c r="B35" s="1860">
        <v>1</v>
      </c>
      <c r="C35" s="1860">
        <v>1</v>
      </c>
      <c r="D35" s="1860">
        <v>4</v>
      </c>
      <c r="E35" s="1839" t="s">
        <v>49</v>
      </c>
      <c r="F35" s="1841" t="str">
        <f>CONCATENATE(A35,".",B35,".",C35,".",D35,)</f>
        <v>1.1.1.4</v>
      </c>
      <c r="G35" s="1639" t="s">
        <v>1126</v>
      </c>
      <c r="H35" s="1629" t="s">
        <v>539</v>
      </c>
      <c r="I35" s="1717" t="s">
        <v>1039</v>
      </c>
      <c r="J35" s="36" t="s">
        <v>79</v>
      </c>
      <c r="K35" s="817"/>
      <c r="L35" s="363">
        <f>K5*0.04</f>
        <v>684</v>
      </c>
      <c r="M35" s="363">
        <f>M5-L5</f>
        <v>855</v>
      </c>
      <c r="N35" s="363">
        <f>N5-M5</f>
        <v>855</v>
      </c>
      <c r="O35" s="363">
        <f>O5-N5</f>
        <v>2565</v>
      </c>
      <c r="P35" s="363">
        <f>P5-O5</f>
        <v>2565</v>
      </c>
      <c r="Q35" s="1475">
        <f>L35*H40</f>
        <v>123120</v>
      </c>
      <c r="R35" s="1475">
        <f>M35*H40</f>
        <v>153900</v>
      </c>
      <c r="S35" s="1475">
        <f>N35*H40</f>
        <v>153900</v>
      </c>
      <c r="T35" s="1475">
        <f>O35*H40</f>
        <v>461700</v>
      </c>
      <c r="U35" s="1475">
        <f>P35*H40</f>
        <v>461700</v>
      </c>
      <c r="V35" s="1476">
        <f t="shared" ref="V35:V44" si="27">SUM(Q35:U35)</f>
        <v>1354320</v>
      </c>
    </row>
    <row r="36" spans="1:22" s="99" customFormat="1" ht="24" customHeight="1">
      <c r="A36" s="1860">
        <v>1</v>
      </c>
      <c r="B36" s="1860"/>
      <c r="C36" s="1860"/>
      <c r="D36" s="1860"/>
      <c r="E36" s="1839"/>
      <c r="F36" s="1841"/>
      <c r="G36" s="1640"/>
      <c r="H36" s="1629"/>
      <c r="I36" s="1718"/>
      <c r="J36" s="40" t="s">
        <v>80</v>
      </c>
      <c r="K36" s="91"/>
      <c r="L36" s="364">
        <f t="shared" ref="L36:U36" si="28">SUM(L37:L43)</f>
        <v>0</v>
      </c>
      <c r="M36" s="364">
        <f t="shared" si="28"/>
        <v>0</v>
      </c>
      <c r="N36" s="364">
        <f t="shared" si="28"/>
        <v>0</v>
      </c>
      <c r="O36" s="364">
        <v>2565</v>
      </c>
      <c r="P36" s="364">
        <v>2565</v>
      </c>
      <c r="Q36" s="1475">
        <f t="shared" si="28"/>
        <v>0</v>
      </c>
      <c r="R36" s="1475">
        <f t="shared" si="28"/>
        <v>0</v>
      </c>
      <c r="S36" s="1475">
        <f t="shared" si="28"/>
        <v>0</v>
      </c>
      <c r="T36" s="1475">
        <f t="shared" si="28"/>
        <v>0</v>
      </c>
      <c r="U36" s="1475">
        <f t="shared" si="28"/>
        <v>0</v>
      </c>
      <c r="V36" s="1476">
        <f t="shared" si="27"/>
        <v>0</v>
      </c>
    </row>
    <row r="37" spans="1:22" s="99" customFormat="1" ht="24" customHeight="1">
      <c r="A37" s="1860">
        <v>1</v>
      </c>
      <c r="B37" s="1860"/>
      <c r="C37" s="1860"/>
      <c r="D37" s="1860"/>
      <c r="E37" s="1839"/>
      <c r="F37" s="1841"/>
      <c r="G37" s="1640"/>
      <c r="H37" s="1629"/>
      <c r="I37" s="1718"/>
      <c r="J37" s="40" t="s">
        <v>429</v>
      </c>
      <c r="K37" s="42"/>
      <c r="L37" s="364">
        <v>0</v>
      </c>
      <c r="M37" s="364">
        <v>0</v>
      </c>
      <c r="N37" s="364">
        <v>0</v>
      </c>
      <c r="O37" s="364">
        <v>0</v>
      </c>
      <c r="P37" s="364">
        <v>0</v>
      </c>
      <c r="Q37" s="1475">
        <f>L37*$H40</f>
        <v>0</v>
      </c>
      <c r="R37" s="1475">
        <f>M37*$H40</f>
        <v>0</v>
      </c>
      <c r="S37" s="1475">
        <f>N37*$H40</f>
        <v>0</v>
      </c>
      <c r="T37" s="1475">
        <f>O37*$H40</f>
        <v>0</v>
      </c>
      <c r="U37" s="1475">
        <f>P37*$H40</f>
        <v>0</v>
      </c>
      <c r="V37" s="1476">
        <f t="shared" si="27"/>
        <v>0</v>
      </c>
    </row>
    <row r="38" spans="1:22" s="99" customFormat="1" ht="24" customHeight="1">
      <c r="A38" s="1860">
        <v>1</v>
      </c>
      <c r="B38" s="1860"/>
      <c r="C38" s="1860"/>
      <c r="D38" s="1860"/>
      <c r="E38" s="1839"/>
      <c r="F38" s="1841"/>
      <c r="G38" s="1640"/>
      <c r="H38" s="1629"/>
      <c r="I38" s="1718"/>
      <c r="J38" s="40" t="s">
        <v>133</v>
      </c>
      <c r="K38" s="42"/>
      <c r="L38" s="364">
        <v>0</v>
      </c>
      <c r="M38" s="364">
        <v>0</v>
      </c>
      <c r="N38" s="364">
        <v>0</v>
      </c>
      <c r="O38" s="364">
        <v>0</v>
      </c>
      <c r="P38" s="364">
        <v>0</v>
      </c>
      <c r="Q38" s="1475">
        <f>L38*$H40</f>
        <v>0</v>
      </c>
      <c r="R38" s="1475">
        <f>M38*$H40</f>
        <v>0</v>
      </c>
      <c r="S38" s="1475">
        <f>N38*$H40</f>
        <v>0</v>
      </c>
      <c r="T38" s="1475">
        <f>O38*$H40</f>
        <v>0</v>
      </c>
      <c r="U38" s="1475">
        <f>P38*$H40</f>
        <v>0</v>
      </c>
      <c r="V38" s="1476">
        <f t="shared" si="27"/>
        <v>0</v>
      </c>
    </row>
    <row r="39" spans="1:22" s="99" customFormat="1" ht="24" customHeight="1">
      <c r="A39" s="1860">
        <v>1</v>
      </c>
      <c r="B39" s="1860"/>
      <c r="C39" s="1860"/>
      <c r="D39" s="1860"/>
      <c r="E39" s="1839"/>
      <c r="F39" s="1841"/>
      <c r="G39" s="1640"/>
      <c r="H39" s="1629"/>
      <c r="I39" s="1718"/>
      <c r="J39" s="40" t="s">
        <v>81</v>
      </c>
      <c r="K39" s="42"/>
      <c r="L39" s="364">
        <v>0</v>
      </c>
      <c r="M39" s="364">
        <v>0</v>
      </c>
      <c r="N39" s="364">
        <v>0</v>
      </c>
      <c r="O39" s="364">
        <v>0</v>
      </c>
      <c r="P39" s="364">
        <v>0</v>
      </c>
      <c r="Q39" s="1475">
        <f>L39*$H40</f>
        <v>0</v>
      </c>
      <c r="R39" s="1475">
        <f>M39*$H40</f>
        <v>0</v>
      </c>
      <c r="S39" s="1475">
        <f>N39*$H40</f>
        <v>0</v>
      </c>
      <c r="T39" s="1475">
        <f>O39*$H40</f>
        <v>0</v>
      </c>
      <c r="U39" s="1475">
        <f>P39*$H40</f>
        <v>0</v>
      </c>
      <c r="V39" s="1476">
        <f t="shared" si="27"/>
        <v>0</v>
      </c>
    </row>
    <row r="40" spans="1:22" s="99" customFormat="1" ht="24" customHeight="1">
      <c r="A40" s="1860">
        <v>1</v>
      </c>
      <c r="B40" s="1860"/>
      <c r="C40" s="1860"/>
      <c r="D40" s="1860"/>
      <c r="E40" s="1839"/>
      <c r="F40" s="1841"/>
      <c r="G40" s="1640"/>
      <c r="H40" s="1602">
        <v>180</v>
      </c>
      <c r="I40" s="1718"/>
      <c r="J40" s="40" t="s">
        <v>134</v>
      </c>
      <c r="K40" s="42"/>
      <c r="L40" s="364">
        <v>0</v>
      </c>
      <c r="M40" s="364">
        <v>0</v>
      </c>
      <c r="N40" s="364">
        <v>0</v>
      </c>
      <c r="O40" s="364">
        <f>O31*30%</f>
        <v>0</v>
      </c>
      <c r="P40" s="364">
        <f>P31*30%</f>
        <v>0</v>
      </c>
      <c r="Q40" s="1475">
        <f>L40*$H40</f>
        <v>0</v>
      </c>
      <c r="R40" s="1475">
        <f>M40*$H40</f>
        <v>0</v>
      </c>
      <c r="S40" s="1475">
        <f>N40*$H40</f>
        <v>0</v>
      </c>
      <c r="T40" s="1475">
        <f>O40*$H40</f>
        <v>0</v>
      </c>
      <c r="U40" s="1475">
        <f>P40*$H40</f>
        <v>0</v>
      </c>
      <c r="V40" s="1476">
        <f t="shared" si="27"/>
        <v>0</v>
      </c>
    </row>
    <row r="41" spans="1:22" s="99" customFormat="1" ht="24" customHeight="1">
      <c r="A41" s="1860">
        <v>1</v>
      </c>
      <c r="B41" s="1860"/>
      <c r="C41" s="1860"/>
      <c r="D41" s="1860"/>
      <c r="E41" s="1839"/>
      <c r="F41" s="1841"/>
      <c r="G41" s="1640"/>
      <c r="H41" s="1603"/>
      <c r="I41" s="1718"/>
      <c r="J41" s="40" t="s">
        <v>82</v>
      </c>
      <c r="K41" s="42"/>
      <c r="L41" s="364">
        <v>0</v>
      </c>
      <c r="M41" s="364">
        <v>0</v>
      </c>
      <c r="N41" s="364">
        <v>0</v>
      </c>
      <c r="O41" s="364">
        <f>O32*30%</f>
        <v>0</v>
      </c>
      <c r="P41" s="364">
        <f>P32*30%</f>
        <v>0</v>
      </c>
      <c r="Q41" s="1475">
        <f>L41*$H40</f>
        <v>0</v>
      </c>
      <c r="R41" s="1475">
        <f>M41*$H40</f>
        <v>0</v>
      </c>
      <c r="S41" s="1475">
        <f>N41*$H40</f>
        <v>0</v>
      </c>
      <c r="T41" s="1475">
        <f>O41*$H40</f>
        <v>0</v>
      </c>
      <c r="U41" s="1475">
        <f>P41*$H40</f>
        <v>0</v>
      </c>
      <c r="V41" s="1476">
        <f t="shared" si="27"/>
        <v>0</v>
      </c>
    </row>
    <row r="42" spans="1:22" s="99" customFormat="1" ht="24" customHeight="1">
      <c r="A42" s="1860">
        <v>1</v>
      </c>
      <c r="B42" s="1860"/>
      <c r="C42" s="1860"/>
      <c r="D42" s="1860"/>
      <c r="E42" s="1839"/>
      <c r="F42" s="1841"/>
      <c r="G42" s="1640"/>
      <c r="H42" s="1603"/>
      <c r="I42" s="1718"/>
      <c r="J42" s="40" t="s">
        <v>90</v>
      </c>
      <c r="K42" s="42"/>
      <c r="L42" s="364">
        <v>0</v>
      </c>
      <c r="M42" s="364">
        <v>0</v>
      </c>
      <c r="N42" s="364">
        <v>0</v>
      </c>
      <c r="O42" s="364">
        <v>0</v>
      </c>
      <c r="P42" s="364">
        <v>0</v>
      </c>
      <c r="Q42" s="1475">
        <f>L42*$H40</f>
        <v>0</v>
      </c>
      <c r="R42" s="1475">
        <f>M42*$H40</f>
        <v>0</v>
      </c>
      <c r="S42" s="1475">
        <f>N42*$H40</f>
        <v>0</v>
      </c>
      <c r="T42" s="1475">
        <f>O42*$H40</f>
        <v>0</v>
      </c>
      <c r="U42" s="1475">
        <f>P42*$H40</f>
        <v>0</v>
      </c>
      <c r="V42" s="1476">
        <f t="shared" si="27"/>
        <v>0</v>
      </c>
    </row>
    <row r="43" spans="1:22" s="99" customFormat="1" ht="24" customHeight="1">
      <c r="A43" s="1860">
        <v>1</v>
      </c>
      <c r="B43" s="1860"/>
      <c r="C43" s="1860"/>
      <c r="D43" s="1860"/>
      <c r="E43" s="1839"/>
      <c r="F43" s="1841"/>
      <c r="G43" s="1640"/>
      <c r="H43" s="1603"/>
      <c r="I43" s="1718"/>
      <c r="J43" s="40" t="s">
        <v>83</v>
      </c>
      <c r="K43" s="42"/>
      <c r="L43" s="364">
        <v>0</v>
      </c>
      <c r="M43" s="364">
        <v>0</v>
      </c>
      <c r="N43" s="364">
        <v>0</v>
      </c>
      <c r="O43" s="364">
        <v>0</v>
      </c>
      <c r="P43" s="364">
        <v>0</v>
      </c>
      <c r="Q43" s="1475">
        <f>L43*$H40</f>
        <v>0</v>
      </c>
      <c r="R43" s="1475">
        <f>M43*$H40</f>
        <v>0</v>
      </c>
      <c r="S43" s="1475">
        <f>N43*$H40</f>
        <v>0</v>
      </c>
      <c r="T43" s="1475">
        <f>O43*$H40</f>
        <v>0</v>
      </c>
      <c r="U43" s="1475">
        <f>P43*$H40</f>
        <v>0</v>
      </c>
      <c r="V43" s="1476">
        <f t="shared" si="27"/>
        <v>0</v>
      </c>
    </row>
    <row r="44" spans="1:22" s="99" customFormat="1" ht="24" customHeight="1" thickBot="1">
      <c r="A44" s="1860">
        <v>1</v>
      </c>
      <c r="B44" s="1860"/>
      <c r="C44" s="1860"/>
      <c r="D44" s="1860"/>
      <c r="E44" s="1839"/>
      <c r="F44" s="1841"/>
      <c r="G44" s="1950"/>
      <c r="H44" s="1949"/>
      <c r="I44" s="1855"/>
      <c r="J44" s="40" t="s">
        <v>84</v>
      </c>
      <c r="K44" s="42"/>
      <c r="L44" s="365">
        <v>684</v>
      </c>
      <c r="M44" s="365">
        <v>855</v>
      </c>
      <c r="N44" s="365">
        <v>855</v>
      </c>
      <c r="O44" s="365">
        <v>2565</v>
      </c>
      <c r="P44" s="365">
        <v>2565</v>
      </c>
      <c r="Q44" s="1475">
        <f t="shared" ref="Q44:U44" si="29">Q35-Q36</f>
        <v>123120</v>
      </c>
      <c r="R44" s="1475">
        <f t="shared" si="29"/>
        <v>153900</v>
      </c>
      <c r="S44" s="1475">
        <f t="shared" si="29"/>
        <v>153900</v>
      </c>
      <c r="T44" s="1475">
        <f t="shared" si="29"/>
        <v>461700</v>
      </c>
      <c r="U44" s="1475">
        <f t="shared" si="29"/>
        <v>461700</v>
      </c>
      <c r="V44" s="1476">
        <f t="shared" si="27"/>
        <v>1354320</v>
      </c>
    </row>
    <row r="45" spans="1:22" s="35" customFormat="1" ht="24" customHeight="1">
      <c r="A45" s="74">
        <v>1</v>
      </c>
      <c r="B45" s="74">
        <v>1</v>
      </c>
      <c r="C45" s="74">
        <v>2</v>
      </c>
      <c r="D45" s="74"/>
      <c r="E45" s="74" t="s">
        <v>13</v>
      </c>
      <c r="F45" s="854" t="str">
        <f>CONCATENATE(A45,".",B45,".",C45,)</f>
        <v>1.1.2</v>
      </c>
      <c r="G45" s="1692" t="s">
        <v>46</v>
      </c>
      <c r="H45" s="1693"/>
      <c r="I45" s="1693"/>
      <c r="J45" s="1694"/>
      <c r="K45" s="868" t="s">
        <v>89</v>
      </c>
      <c r="L45" s="864">
        <v>0.5</v>
      </c>
      <c r="M45" s="864">
        <v>0.55000000000000004</v>
      </c>
      <c r="N45" s="864">
        <v>0.6</v>
      </c>
      <c r="O45" s="864">
        <v>0.67</v>
      </c>
      <c r="P45" s="864">
        <v>0.75</v>
      </c>
      <c r="Q45" s="1477">
        <f>Q47+Q57+Q67+Q77</f>
        <v>16687521.879999999</v>
      </c>
      <c r="R45" s="1477">
        <f t="shared" ref="R45:U45" si="30">R47+R57+R67+R77</f>
        <v>18346859.368000001</v>
      </c>
      <c r="S45" s="1477">
        <f t="shared" si="30"/>
        <v>20006196.855999999</v>
      </c>
      <c r="T45" s="1477">
        <f t="shared" si="30"/>
        <v>6373502.8096000003</v>
      </c>
      <c r="U45" s="1477">
        <f t="shared" si="30"/>
        <v>8006312.6799999997</v>
      </c>
      <c r="V45" s="1478">
        <f t="shared" si="1"/>
        <v>69420393.593600005</v>
      </c>
    </row>
    <row r="46" spans="1:22" s="39" customFormat="1" ht="24" customHeight="1">
      <c r="A46" s="1860">
        <v>1</v>
      </c>
      <c r="B46" s="1860">
        <v>1</v>
      </c>
      <c r="C46" s="1860">
        <v>2</v>
      </c>
      <c r="D46" s="1860">
        <v>1</v>
      </c>
      <c r="E46" s="1839" t="s">
        <v>15</v>
      </c>
      <c r="F46" s="1841" t="str">
        <f>CONCATENATE(A46,".",B46,".",C46,".",D46,)</f>
        <v>1.1.2.1</v>
      </c>
      <c r="G46" s="2006" t="s">
        <v>1058</v>
      </c>
      <c r="H46" s="1601" t="s">
        <v>86</v>
      </c>
      <c r="I46" s="1943" t="s">
        <v>88</v>
      </c>
      <c r="J46" s="869" t="s">
        <v>79</v>
      </c>
      <c r="K46" s="347">
        <f>36900-2772</f>
        <v>34128</v>
      </c>
      <c r="L46" s="347">
        <f>$K46*L45</f>
        <v>17064</v>
      </c>
      <c r="M46" s="347">
        <f>$K46*M45</f>
        <v>18770.400000000001</v>
      </c>
      <c r="N46" s="347">
        <f>$K46*N45</f>
        <v>20476.8</v>
      </c>
      <c r="O46" s="347">
        <f>$K46*O45</f>
        <v>22865.760000000002</v>
      </c>
      <c r="P46" s="347">
        <f>$K46*P45</f>
        <v>25596</v>
      </c>
      <c r="Q46" s="1475">
        <f>L46*$H$51</f>
        <v>16593374.879999999</v>
      </c>
      <c r="R46" s="1475">
        <f t="shared" ref="R46:U55" si="31">M46*$H$51</f>
        <v>18252712.368000001</v>
      </c>
      <c r="S46" s="1475">
        <f t="shared" si="31"/>
        <v>19912049.855999999</v>
      </c>
      <c r="T46" s="1475">
        <f t="shared" si="31"/>
        <v>22235122.339200001</v>
      </c>
      <c r="U46" s="1475">
        <f t="shared" si="31"/>
        <v>24890062.32</v>
      </c>
      <c r="V46" s="1476">
        <f t="shared" si="1"/>
        <v>101883321.76319999</v>
      </c>
    </row>
    <row r="47" spans="1:22" s="39" customFormat="1" ht="24" customHeight="1">
      <c r="A47" s="1860">
        <v>1</v>
      </c>
      <c r="B47" s="1860"/>
      <c r="C47" s="1860"/>
      <c r="D47" s="1860"/>
      <c r="E47" s="1839"/>
      <c r="F47" s="1841"/>
      <c r="G47" s="2007"/>
      <c r="H47" s="1601"/>
      <c r="I47" s="1944"/>
      <c r="J47" s="40" t="s">
        <v>80</v>
      </c>
      <c r="K47" s="88"/>
      <c r="L47" s="364">
        <f t="shared" ref="L47:P47" si="32">SUM(L48:L54)</f>
        <v>17064</v>
      </c>
      <c r="M47" s="364">
        <f t="shared" si="32"/>
        <v>18770.400000000001</v>
      </c>
      <c r="N47" s="364">
        <f t="shared" si="32"/>
        <v>20476.8</v>
      </c>
      <c r="O47" s="364">
        <f t="shared" si="32"/>
        <v>6474.880000000001</v>
      </c>
      <c r="P47" s="364">
        <f t="shared" si="32"/>
        <v>8154</v>
      </c>
      <c r="Q47" s="1475">
        <f t="shared" ref="Q47:Q55" si="33">L47*$H$51</f>
        <v>16593374.879999999</v>
      </c>
      <c r="R47" s="1475">
        <f t="shared" si="31"/>
        <v>18252712.368000001</v>
      </c>
      <c r="S47" s="1475">
        <f t="shared" si="31"/>
        <v>19912049.855999999</v>
      </c>
      <c r="T47" s="1475">
        <f t="shared" si="31"/>
        <v>6296302.8096000003</v>
      </c>
      <c r="U47" s="1475">
        <f t="shared" si="31"/>
        <v>7929112.6799999997</v>
      </c>
      <c r="V47" s="1476">
        <f t="shared" si="1"/>
        <v>68983552.593600005</v>
      </c>
    </row>
    <row r="48" spans="1:22" s="39" customFormat="1" ht="24" customHeight="1">
      <c r="A48" s="1860">
        <v>1</v>
      </c>
      <c r="B48" s="1860"/>
      <c r="C48" s="1860"/>
      <c r="D48" s="1860"/>
      <c r="E48" s="1839"/>
      <c r="F48" s="1841"/>
      <c r="G48" s="2007"/>
      <c r="H48" s="1601"/>
      <c r="I48" s="1944"/>
      <c r="J48" s="40" t="s">
        <v>429</v>
      </c>
      <c r="K48" s="42"/>
      <c r="L48" s="364">
        <v>0</v>
      </c>
      <c r="M48" s="364">
        <v>0</v>
      </c>
      <c r="N48" s="364">
        <v>0</v>
      </c>
      <c r="O48" s="364">
        <v>0</v>
      </c>
      <c r="P48" s="364">
        <v>0</v>
      </c>
      <c r="Q48" s="1475">
        <f t="shared" si="33"/>
        <v>0</v>
      </c>
      <c r="R48" s="1475">
        <f t="shared" si="31"/>
        <v>0</v>
      </c>
      <c r="S48" s="1475">
        <f t="shared" si="31"/>
        <v>0</v>
      </c>
      <c r="T48" s="1475">
        <f t="shared" si="31"/>
        <v>0</v>
      </c>
      <c r="U48" s="1475">
        <f t="shared" si="31"/>
        <v>0</v>
      </c>
      <c r="V48" s="1476">
        <f t="shared" si="1"/>
        <v>0</v>
      </c>
    </row>
    <row r="49" spans="1:22" s="39" customFormat="1" ht="24" customHeight="1">
      <c r="A49" s="1860">
        <v>1</v>
      </c>
      <c r="B49" s="1860"/>
      <c r="C49" s="1860"/>
      <c r="D49" s="1860"/>
      <c r="E49" s="1839"/>
      <c r="F49" s="1841"/>
      <c r="G49" s="2007"/>
      <c r="H49" s="1601"/>
      <c r="I49" s="1944"/>
      <c r="J49" s="40" t="s">
        <v>133</v>
      </c>
      <c r="K49" s="42"/>
      <c r="L49" s="364">
        <v>0</v>
      </c>
      <c r="M49" s="364">
        <v>0</v>
      </c>
      <c r="N49" s="364">
        <v>0</v>
      </c>
      <c r="O49" s="364">
        <v>0</v>
      </c>
      <c r="P49" s="364">
        <v>0</v>
      </c>
      <c r="Q49" s="1475">
        <f t="shared" si="33"/>
        <v>0</v>
      </c>
      <c r="R49" s="1475">
        <f t="shared" si="31"/>
        <v>0</v>
      </c>
      <c r="S49" s="1475">
        <f t="shared" si="31"/>
        <v>0</v>
      </c>
      <c r="T49" s="1475">
        <f t="shared" si="31"/>
        <v>0</v>
      </c>
      <c r="U49" s="1475">
        <f t="shared" si="31"/>
        <v>0</v>
      </c>
      <c r="V49" s="1476">
        <f>SUM(Q49:U49)</f>
        <v>0</v>
      </c>
    </row>
    <row r="50" spans="1:22" s="39" customFormat="1" ht="24" customHeight="1">
      <c r="A50" s="1860">
        <v>1</v>
      </c>
      <c r="B50" s="1860"/>
      <c r="C50" s="1860"/>
      <c r="D50" s="1860"/>
      <c r="E50" s="1839"/>
      <c r="F50" s="1841"/>
      <c r="G50" s="2007"/>
      <c r="H50" s="1601"/>
      <c r="I50" s="1944"/>
      <c r="J50" s="40" t="s">
        <v>81</v>
      </c>
      <c r="K50" s="42"/>
      <c r="L50" s="364">
        <v>0</v>
      </c>
      <c r="M50" s="364">
        <v>0</v>
      </c>
      <c r="N50" s="364">
        <v>0</v>
      </c>
      <c r="O50" s="364">
        <v>0</v>
      </c>
      <c r="P50" s="364">
        <v>0</v>
      </c>
      <c r="Q50" s="1475">
        <f t="shared" si="33"/>
        <v>0</v>
      </c>
      <c r="R50" s="1475">
        <f t="shared" si="31"/>
        <v>0</v>
      </c>
      <c r="S50" s="1475">
        <f t="shared" si="31"/>
        <v>0</v>
      </c>
      <c r="T50" s="1475">
        <f t="shared" si="31"/>
        <v>0</v>
      </c>
      <c r="U50" s="1475">
        <f t="shared" si="31"/>
        <v>0</v>
      </c>
      <c r="V50" s="1476">
        <f t="shared" si="1"/>
        <v>0</v>
      </c>
    </row>
    <row r="51" spans="1:22" s="39" customFormat="1" ht="24" customHeight="1">
      <c r="A51" s="1860">
        <v>1</v>
      </c>
      <c r="B51" s="1860"/>
      <c r="C51" s="1860"/>
      <c r="D51" s="1860"/>
      <c r="E51" s="1839"/>
      <c r="F51" s="1841"/>
      <c r="G51" s="2007"/>
      <c r="H51" s="1711">
        <v>972.42</v>
      </c>
      <c r="I51" s="1944"/>
      <c r="J51" s="40" t="s">
        <v>134</v>
      </c>
      <c r="K51" s="42"/>
      <c r="L51" s="364">
        <f>(K46-K53)*L45*0.25</f>
        <v>3020</v>
      </c>
      <c r="M51" s="364">
        <f>(K46-K53)*0.3*M45</f>
        <v>3986.4000000000005</v>
      </c>
      <c r="N51" s="364">
        <f>(K46-K53)*N45*0.35</f>
        <v>5073.5999999999995</v>
      </c>
      <c r="O51" s="364">
        <f>(K46-K53)*O45*0.4</f>
        <v>6474.880000000001</v>
      </c>
      <c r="P51" s="364">
        <f>(K46-K53)*P45*0.45</f>
        <v>8154</v>
      </c>
      <c r="Q51" s="1475">
        <f t="shared" si="33"/>
        <v>2936708.4</v>
      </c>
      <c r="R51" s="1475">
        <f t="shared" si="31"/>
        <v>3876455.0880000005</v>
      </c>
      <c r="S51" s="1475">
        <f t="shared" si="31"/>
        <v>4933670.1119999988</v>
      </c>
      <c r="T51" s="1475">
        <f t="shared" si="31"/>
        <v>6296302.8096000003</v>
      </c>
      <c r="U51" s="1475">
        <f t="shared" si="31"/>
        <v>7929112.6799999997</v>
      </c>
      <c r="V51" s="1476">
        <f t="shared" si="1"/>
        <v>25972249.089599997</v>
      </c>
    </row>
    <row r="52" spans="1:22" s="39" customFormat="1" ht="24" customHeight="1">
      <c r="A52" s="1860">
        <v>1</v>
      </c>
      <c r="B52" s="1860"/>
      <c r="C52" s="1860"/>
      <c r="D52" s="1860"/>
      <c r="E52" s="1839"/>
      <c r="F52" s="1841"/>
      <c r="G52" s="2007"/>
      <c r="H52" s="1712"/>
      <c r="I52" s="1944"/>
      <c r="J52" s="40" t="s">
        <v>82</v>
      </c>
      <c r="K52" s="42"/>
      <c r="L52" s="364">
        <f>(K46-K53)*L45*0.75</f>
        <v>9060</v>
      </c>
      <c r="M52" s="364">
        <f>(K46-K53)*M45*0.7</f>
        <v>9301.6</v>
      </c>
      <c r="N52" s="364">
        <f>(K46-K53)*N45*0.65</f>
        <v>9422.4</v>
      </c>
      <c r="O52" s="364">
        <v>0</v>
      </c>
      <c r="P52" s="364">
        <v>0</v>
      </c>
      <c r="Q52" s="1475">
        <f>L52*$H$51-(2047*236)</f>
        <v>8327033.1999999993</v>
      </c>
      <c r="R52" s="1475">
        <f>M52*$H$51-(2289*236)</f>
        <v>8504857.8719999995</v>
      </c>
      <c r="S52" s="1475">
        <f>N52*$H$51-(2531*236)</f>
        <v>8565214.2079999987</v>
      </c>
      <c r="T52" s="1475">
        <f t="shared" si="31"/>
        <v>0</v>
      </c>
      <c r="U52" s="1475">
        <f t="shared" si="31"/>
        <v>0</v>
      </c>
      <c r="V52" s="1476">
        <f t="shared" si="1"/>
        <v>25397105.279999994</v>
      </c>
    </row>
    <row r="53" spans="1:22" s="39" customFormat="1" ht="24" customHeight="1">
      <c r="A53" s="1860">
        <v>1</v>
      </c>
      <c r="B53" s="1860"/>
      <c r="C53" s="1860"/>
      <c r="D53" s="1860"/>
      <c r="E53" s="1839"/>
      <c r="F53" s="1841"/>
      <c r="G53" s="2007"/>
      <c r="H53" s="1712"/>
      <c r="I53" s="1944"/>
      <c r="J53" s="40" t="s">
        <v>90</v>
      </c>
      <c r="K53" s="347">
        <f>10800-832</f>
        <v>9968</v>
      </c>
      <c r="L53" s="364">
        <f>K53*L45</f>
        <v>4984</v>
      </c>
      <c r="M53" s="364">
        <f>K53*M45</f>
        <v>5482.4000000000005</v>
      </c>
      <c r="N53" s="364">
        <f>K53*N45</f>
        <v>5980.8</v>
      </c>
      <c r="O53" s="364">
        <v>0</v>
      </c>
      <c r="P53" s="364">
        <v>0</v>
      </c>
      <c r="Q53" s="1475">
        <f>L53*$H$51-(1023*236)</f>
        <v>4605113.28</v>
      </c>
      <c r="R53" s="1475">
        <f>M53*$H$51-(1144*236)</f>
        <v>5061211.4080000008</v>
      </c>
      <c r="S53" s="1475">
        <f>N53*$H$51-(1266*236)</f>
        <v>5517073.5360000003</v>
      </c>
      <c r="T53" s="1475">
        <f t="shared" si="31"/>
        <v>0</v>
      </c>
      <c r="U53" s="1475">
        <f t="shared" si="31"/>
        <v>0</v>
      </c>
      <c r="V53" s="1476">
        <f t="shared" si="1"/>
        <v>15183398.224000001</v>
      </c>
    </row>
    <row r="54" spans="1:22" s="39" customFormat="1" ht="24" customHeight="1">
      <c r="A54" s="1860">
        <v>1</v>
      </c>
      <c r="B54" s="1860"/>
      <c r="C54" s="1860"/>
      <c r="D54" s="1860"/>
      <c r="E54" s="1839"/>
      <c r="F54" s="1841"/>
      <c r="G54" s="2007"/>
      <c r="H54" s="1712"/>
      <c r="I54" s="1944"/>
      <c r="J54" s="40" t="s">
        <v>83</v>
      </c>
      <c r="K54" s="42"/>
      <c r="L54" s="364">
        <v>0</v>
      </c>
      <c r="M54" s="364">
        <v>0</v>
      </c>
      <c r="N54" s="364">
        <v>0</v>
      </c>
      <c r="O54" s="364">
        <v>0</v>
      </c>
      <c r="P54" s="364">
        <v>0</v>
      </c>
      <c r="Q54" s="1475">
        <f t="shared" si="33"/>
        <v>0</v>
      </c>
      <c r="R54" s="1475">
        <f t="shared" si="31"/>
        <v>0</v>
      </c>
      <c r="S54" s="1475">
        <f t="shared" si="31"/>
        <v>0</v>
      </c>
      <c r="T54" s="1475">
        <f t="shared" si="31"/>
        <v>0</v>
      </c>
      <c r="U54" s="1475">
        <f t="shared" si="31"/>
        <v>0</v>
      </c>
      <c r="V54" s="1476">
        <f t="shared" si="1"/>
        <v>0</v>
      </c>
    </row>
    <row r="55" spans="1:22" s="39" customFormat="1" ht="24" customHeight="1">
      <c r="A55" s="1860">
        <v>1</v>
      </c>
      <c r="B55" s="1860"/>
      <c r="C55" s="1860"/>
      <c r="D55" s="1860"/>
      <c r="E55" s="1839"/>
      <c r="F55" s="1841"/>
      <c r="G55" s="2008"/>
      <c r="H55" s="1778"/>
      <c r="I55" s="1945"/>
      <c r="J55" s="40" t="s">
        <v>84</v>
      </c>
      <c r="K55" s="42"/>
      <c r="L55" s="364">
        <f t="shared" ref="L55:P55" si="34">L46-L47</f>
        <v>0</v>
      </c>
      <c r="M55" s="364">
        <f t="shared" si="34"/>
        <v>0</v>
      </c>
      <c r="N55" s="364">
        <f t="shared" si="34"/>
        <v>0</v>
      </c>
      <c r="O55" s="364">
        <f t="shared" si="34"/>
        <v>16390.88</v>
      </c>
      <c r="P55" s="364">
        <f t="shared" si="34"/>
        <v>17442</v>
      </c>
      <c r="Q55" s="1475">
        <f t="shared" si="33"/>
        <v>0</v>
      </c>
      <c r="R55" s="1475">
        <f t="shared" si="31"/>
        <v>0</v>
      </c>
      <c r="S55" s="1475">
        <f t="shared" si="31"/>
        <v>0</v>
      </c>
      <c r="T55" s="1475">
        <f t="shared" si="31"/>
        <v>15938819.5296</v>
      </c>
      <c r="U55" s="1475">
        <f t="shared" si="31"/>
        <v>16960949.640000001</v>
      </c>
      <c r="V55" s="1476">
        <f t="shared" si="1"/>
        <v>32899769.169600002</v>
      </c>
    </row>
    <row r="56" spans="1:22" s="39" customFormat="1" ht="24" customHeight="1">
      <c r="A56" s="1860">
        <v>1</v>
      </c>
      <c r="B56" s="1860">
        <v>1</v>
      </c>
      <c r="C56" s="1860">
        <v>2</v>
      </c>
      <c r="D56" s="1860">
        <v>2</v>
      </c>
      <c r="E56" s="1839" t="s">
        <v>15</v>
      </c>
      <c r="F56" s="1841" t="str">
        <f>CONCATENATE(A56,".",B56,".",C56,".",D56,)</f>
        <v>1.1.2.2</v>
      </c>
      <c r="G56" s="1734" t="s">
        <v>4</v>
      </c>
      <c r="H56" s="1601" t="s">
        <v>86</v>
      </c>
      <c r="I56" s="1946" t="s">
        <v>91</v>
      </c>
      <c r="J56" s="869" t="s">
        <v>79</v>
      </c>
      <c r="K56" s="44"/>
      <c r="L56" s="364">
        <f>$L$52*30%</f>
        <v>2718</v>
      </c>
      <c r="M56" s="364">
        <f>$M$52*30%</f>
        <v>2790.48</v>
      </c>
      <c r="N56" s="364">
        <f>$N$52*30%</f>
        <v>2826.72</v>
      </c>
      <c r="O56" s="363">
        <f>O47*30%</f>
        <v>1942.4640000000002</v>
      </c>
      <c r="P56" s="363">
        <f>P47*30%</f>
        <v>2446.1999999999998</v>
      </c>
      <c r="Q56" s="1479">
        <f>L56*$H$61</f>
        <v>2201580</v>
      </c>
      <c r="R56" s="1479">
        <f>M56*$H$61</f>
        <v>2260288.7999999998</v>
      </c>
      <c r="S56" s="1479">
        <f>N56*$H$61</f>
        <v>2289643.1999999997</v>
      </c>
      <c r="T56" s="1479">
        <f>O56*$H$61</f>
        <v>1573395.84</v>
      </c>
      <c r="U56" s="1479">
        <f>P56*$H$61</f>
        <v>1981421.9999999998</v>
      </c>
      <c r="V56" s="1480">
        <f t="shared" si="1"/>
        <v>10306329.84</v>
      </c>
    </row>
    <row r="57" spans="1:22" s="39" customFormat="1" ht="24" customHeight="1">
      <c r="A57" s="1860">
        <v>1</v>
      </c>
      <c r="B57" s="1860"/>
      <c r="C57" s="1860"/>
      <c r="D57" s="1860"/>
      <c r="E57" s="1839"/>
      <c r="F57" s="1841"/>
      <c r="G57" s="1735"/>
      <c r="H57" s="1601"/>
      <c r="I57" s="1947"/>
      <c r="J57" s="40" t="s">
        <v>80</v>
      </c>
      <c r="K57" s="44"/>
      <c r="L57" s="364">
        <f t="shared" ref="L57:P57" si="35">SUM(L58:L64)</f>
        <v>0</v>
      </c>
      <c r="M57" s="364">
        <f t="shared" si="35"/>
        <v>0</v>
      </c>
      <c r="N57" s="364">
        <f t="shared" si="35"/>
        <v>0</v>
      </c>
      <c r="O57" s="364">
        <f t="shared" si="35"/>
        <v>0</v>
      </c>
      <c r="P57" s="364">
        <f t="shared" si="35"/>
        <v>0</v>
      </c>
      <c r="Q57" s="1475">
        <f t="shared" ref="Q57:U57" si="36">SUM(Q58:Q64)</f>
        <v>0</v>
      </c>
      <c r="R57" s="1475">
        <f t="shared" si="36"/>
        <v>0</v>
      </c>
      <c r="S57" s="1475">
        <f t="shared" si="36"/>
        <v>0</v>
      </c>
      <c r="T57" s="1475">
        <f t="shared" si="36"/>
        <v>0</v>
      </c>
      <c r="U57" s="1475">
        <f t="shared" si="36"/>
        <v>0</v>
      </c>
      <c r="V57" s="1476">
        <f t="shared" si="1"/>
        <v>0</v>
      </c>
    </row>
    <row r="58" spans="1:22" s="39" customFormat="1" ht="24" customHeight="1">
      <c r="A58" s="1860">
        <v>1</v>
      </c>
      <c r="B58" s="1860"/>
      <c r="C58" s="1860"/>
      <c r="D58" s="1860"/>
      <c r="E58" s="1839"/>
      <c r="F58" s="1841"/>
      <c r="G58" s="1735"/>
      <c r="H58" s="1601"/>
      <c r="I58" s="1947"/>
      <c r="J58" s="40" t="s">
        <v>429</v>
      </c>
      <c r="K58" s="42"/>
      <c r="L58" s="364">
        <v>0</v>
      </c>
      <c r="M58" s="364">
        <v>0</v>
      </c>
      <c r="N58" s="364">
        <v>0</v>
      </c>
      <c r="O58" s="364">
        <v>0</v>
      </c>
      <c r="P58" s="364">
        <v>0</v>
      </c>
      <c r="Q58" s="1475">
        <f t="shared" ref="Q58:U64" si="37">L58*$H$61</f>
        <v>0</v>
      </c>
      <c r="R58" s="1475">
        <f t="shared" si="37"/>
        <v>0</v>
      </c>
      <c r="S58" s="1475">
        <f t="shared" si="37"/>
        <v>0</v>
      </c>
      <c r="T58" s="1475">
        <f t="shared" si="37"/>
        <v>0</v>
      </c>
      <c r="U58" s="1475">
        <f t="shared" si="37"/>
        <v>0</v>
      </c>
      <c r="V58" s="1476">
        <f t="shared" si="1"/>
        <v>0</v>
      </c>
    </row>
    <row r="59" spans="1:22" s="39" customFormat="1" ht="24" customHeight="1">
      <c r="A59" s="1860">
        <v>1</v>
      </c>
      <c r="B59" s="1860"/>
      <c r="C59" s="1860"/>
      <c r="D59" s="1860"/>
      <c r="E59" s="1839"/>
      <c r="F59" s="1841"/>
      <c r="G59" s="1735"/>
      <c r="H59" s="1601"/>
      <c r="I59" s="1947"/>
      <c r="J59" s="40" t="s">
        <v>133</v>
      </c>
      <c r="K59" s="42"/>
      <c r="L59" s="364">
        <v>0</v>
      </c>
      <c r="M59" s="364">
        <v>0</v>
      </c>
      <c r="N59" s="364">
        <v>0</v>
      </c>
      <c r="O59" s="364">
        <v>0</v>
      </c>
      <c r="P59" s="364">
        <v>0</v>
      </c>
      <c r="Q59" s="1475">
        <f t="shared" si="37"/>
        <v>0</v>
      </c>
      <c r="R59" s="1475">
        <f t="shared" si="37"/>
        <v>0</v>
      </c>
      <c r="S59" s="1475">
        <f t="shared" si="37"/>
        <v>0</v>
      </c>
      <c r="T59" s="1475">
        <f t="shared" si="37"/>
        <v>0</v>
      </c>
      <c r="U59" s="1475">
        <f t="shared" si="37"/>
        <v>0</v>
      </c>
      <c r="V59" s="1476">
        <f t="shared" si="1"/>
        <v>0</v>
      </c>
    </row>
    <row r="60" spans="1:22" s="39" customFormat="1" ht="24" customHeight="1">
      <c r="A60" s="1860">
        <v>1</v>
      </c>
      <c r="B60" s="1860"/>
      <c r="C60" s="1860"/>
      <c r="D60" s="1860"/>
      <c r="E60" s="1839"/>
      <c r="F60" s="1841"/>
      <c r="G60" s="1735"/>
      <c r="H60" s="1601"/>
      <c r="I60" s="1947"/>
      <c r="J60" s="40" t="s">
        <v>81</v>
      </c>
      <c r="K60" s="42"/>
      <c r="L60" s="364">
        <v>0</v>
      </c>
      <c r="M60" s="364">
        <v>0</v>
      </c>
      <c r="N60" s="364">
        <v>0</v>
      </c>
      <c r="O60" s="364">
        <v>0</v>
      </c>
      <c r="P60" s="364">
        <v>0</v>
      </c>
      <c r="Q60" s="1475">
        <f t="shared" si="37"/>
        <v>0</v>
      </c>
      <c r="R60" s="1475">
        <f t="shared" si="37"/>
        <v>0</v>
      </c>
      <c r="S60" s="1475">
        <f t="shared" si="37"/>
        <v>0</v>
      </c>
      <c r="T60" s="1475">
        <f t="shared" si="37"/>
        <v>0</v>
      </c>
      <c r="U60" s="1475">
        <f t="shared" si="37"/>
        <v>0</v>
      </c>
      <c r="V60" s="1476">
        <f t="shared" si="1"/>
        <v>0</v>
      </c>
    </row>
    <row r="61" spans="1:22" s="39" customFormat="1" ht="24" customHeight="1">
      <c r="A61" s="1860">
        <v>1</v>
      </c>
      <c r="B61" s="1860"/>
      <c r="C61" s="1860"/>
      <c r="D61" s="1860"/>
      <c r="E61" s="1839"/>
      <c r="F61" s="1841"/>
      <c r="G61" s="1735"/>
      <c r="H61" s="1711">
        <f>810</f>
        <v>810</v>
      </c>
      <c r="I61" s="1947"/>
      <c r="J61" s="40" t="s">
        <v>134</v>
      </c>
      <c r="K61" s="42"/>
      <c r="L61" s="364">
        <v>0</v>
      </c>
      <c r="M61" s="364">
        <v>0</v>
      </c>
      <c r="N61" s="364">
        <v>0</v>
      </c>
      <c r="O61" s="364">
        <v>0</v>
      </c>
      <c r="P61" s="364">
        <v>0</v>
      </c>
      <c r="Q61" s="1475">
        <f t="shared" si="37"/>
        <v>0</v>
      </c>
      <c r="R61" s="1475">
        <f t="shared" si="37"/>
        <v>0</v>
      </c>
      <c r="S61" s="1475">
        <f t="shared" si="37"/>
        <v>0</v>
      </c>
      <c r="T61" s="1475">
        <f t="shared" si="37"/>
        <v>0</v>
      </c>
      <c r="U61" s="1475">
        <f t="shared" si="37"/>
        <v>0</v>
      </c>
      <c r="V61" s="1476">
        <f t="shared" si="1"/>
        <v>0</v>
      </c>
    </row>
    <row r="62" spans="1:22" s="39" customFormat="1" ht="24" customHeight="1">
      <c r="A62" s="1860">
        <v>1</v>
      </c>
      <c r="B62" s="1860"/>
      <c r="C62" s="1860"/>
      <c r="D62" s="1860"/>
      <c r="E62" s="1839"/>
      <c r="F62" s="1841"/>
      <c r="G62" s="1735"/>
      <c r="H62" s="1712"/>
      <c r="I62" s="1947"/>
      <c r="J62" s="40" t="s">
        <v>82</v>
      </c>
      <c r="K62" s="42"/>
      <c r="L62" s="364">
        <v>0</v>
      </c>
      <c r="M62" s="364">
        <v>0</v>
      </c>
      <c r="N62" s="364">
        <v>0</v>
      </c>
      <c r="O62" s="364">
        <v>0</v>
      </c>
      <c r="P62" s="364">
        <v>0</v>
      </c>
      <c r="Q62" s="1475">
        <f t="shared" si="37"/>
        <v>0</v>
      </c>
      <c r="R62" s="1475">
        <f t="shared" si="37"/>
        <v>0</v>
      </c>
      <c r="S62" s="1475">
        <f t="shared" si="37"/>
        <v>0</v>
      </c>
      <c r="T62" s="1475">
        <f t="shared" si="37"/>
        <v>0</v>
      </c>
      <c r="U62" s="1475">
        <f t="shared" si="37"/>
        <v>0</v>
      </c>
      <c r="V62" s="1476">
        <f t="shared" si="1"/>
        <v>0</v>
      </c>
    </row>
    <row r="63" spans="1:22" s="39" customFormat="1" ht="24" customHeight="1">
      <c r="A63" s="1860">
        <v>1</v>
      </c>
      <c r="B63" s="1860"/>
      <c r="C63" s="1860"/>
      <c r="D63" s="1860"/>
      <c r="E63" s="1839"/>
      <c r="F63" s="1841"/>
      <c r="G63" s="1735"/>
      <c r="H63" s="1712"/>
      <c r="I63" s="1947"/>
      <c r="J63" s="40" t="s">
        <v>90</v>
      </c>
      <c r="K63" s="42"/>
      <c r="L63" s="364">
        <v>0</v>
      </c>
      <c r="M63" s="364">
        <v>0</v>
      </c>
      <c r="N63" s="364">
        <v>0</v>
      </c>
      <c r="O63" s="364">
        <v>0</v>
      </c>
      <c r="P63" s="364">
        <v>0</v>
      </c>
      <c r="Q63" s="1475">
        <f t="shared" si="37"/>
        <v>0</v>
      </c>
      <c r="R63" s="1475">
        <f t="shared" si="37"/>
        <v>0</v>
      </c>
      <c r="S63" s="1475">
        <f t="shared" si="37"/>
        <v>0</v>
      </c>
      <c r="T63" s="1475">
        <f t="shared" si="37"/>
        <v>0</v>
      </c>
      <c r="U63" s="1475">
        <f t="shared" si="37"/>
        <v>0</v>
      </c>
      <c r="V63" s="1476">
        <f t="shared" si="1"/>
        <v>0</v>
      </c>
    </row>
    <row r="64" spans="1:22" s="39" customFormat="1" ht="24" customHeight="1">
      <c r="A64" s="1860">
        <v>1</v>
      </c>
      <c r="B64" s="1860"/>
      <c r="C64" s="1860"/>
      <c r="D64" s="1860"/>
      <c r="E64" s="1839"/>
      <c r="F64" s="1841"/>
      <c r="G64" s="1735"/>
      <c r="H64" s="1712"/>
      <c r="I64" s="1947"/>
      <c r="J64" s="40" t="s">
        <v>83</v>
      </c>
      <c r="K64" s="42"/>
      <c r="L64" s="364">
        <v>0</v>
      </c>
      <c r="M64" s="364">
        <v>0</v>
      </c>
      <c r="N64" s="364">
        <v>0</v>
      </c>
      <c r="O64" s="364">
        <v>0</v>
      </c>
      <c r="P64" s="364">
        <v>0</v>
      </c>
      <c r="Q64" s="1475">
        <f t="shared" si="37"/>
        <v>0</v>
      </c>
      <c r="R64" s="1475">
        <f t="shared" si="37"/>
        <v>0</v>
      </c>
      <c r="S64" s="1475">
        <f t="shared" si="37"/>
        <v>0</v>
      </c>
      <c r="T64" s="1475">
        <f t="shared" si="37"/>
        <v>0</v>
      </c>
      <c r="U64" s="1475">
        <f t="shared" si="37"/>
        <v>0</v>
      </c>
      <c r="V64" s="1476">
        <f t="shared" si="1"/>
        <v>0</v>
      </c>
    </row>
    <row r="65" spans="1:22" s="39" customFormat="1" ht="24" customHeight="1">
      <c r="A65" s="1860">
        <v>1</v>
      </c>
      <c r="B65" s="1860"/>
      <c r="C65" s="1860"/>
      <c r="D65" s="1860"/>
      <c r="E65" s="1839"/>
      <c r="F65" s="1841"/>
      <c r="G65" s="1736"/>
      <c r="H65" s="1778"/>
      <c r="I65" s="1948"/>
      <c r="J65" s="40" t="s">
        <v>84</v>
      </c>
      <c r="K65" s="42"/>
      <c r="L65" s="364">
        <f>L56-L57</f>
        <v>2718</v>
      </c>
      <c r="M65" s="364">
        <f t="shared" ref="M65:P65" si="38">M56-M57</f>
        <v>2790.48</v>
      </c>
      <c r="N65" s="364">
        <f t="shared" si="38"/>
        <v>2826.72</v>
      </c>
      <c r="O65" s="364">
        <f t="shared" si="38"/>
        <v>1942.4640000000002</v>
      </c>
      <c r="P65" s="364">
        <f t="shared" si="38"/>
        <v>2446.1999999999998</v>
      </c>
      <c r="Q65" s="1475">
        <f t="shared" ref="Q65:U65" si="39">Q56-Q57</f>
        <v>2201580</v>
      </c>
      <c r="R65" s="1475">
        <f t="shared" si="39"/>
        <v>2260288.7999999998</v>
      </c>
      <c r="S65" s="1475">
        <f t="shared" si="39"/>
        <v>2289643.1999999997</v>
      </c>
      <c r="T65" s="1475">
        <f t="shared" si="39"/>
        <v>1573395.84</v>
      </c>
      <c r="U65" s="1475">
        <f t="shared" si="39"/>
        <v>1981421.9999999998</v>
      </c>
      <c r="V65" s="1476">
        <f t="shared" si="1"/>
        <v>10306329.84</v>
      </c>
    </row>
    <row r="66" spans="1:22" s="39" customFormat="1" ht="24" customHeight="1">
      <c r="A66" s="1860">
        <v>1</v>
      </c>
      <c r="B66" s="1860">
        <v>1</v>
      </c>
      <c r="C66" s="1860">
        <v>2</v>
      </c>
      <c r="D66" s="1860">
        <v>3</v>
      </c>
      <c r="E66" s="1839" t="s">
        <v>15</v>
      </c>
      <c r="F66" s="1841" t="str">
        <f>CONCATENATE(A66,".",B66,".",C66,".",D66,)</f>
        <v>1.1.2.3</v>
      </c>
      <c r="G66" s="1937" t="s">
        <v>17</v>
      </c>
      <c r="H66" s="1601" t="s">
        <v>431</v>
      </c>
      <c r="I66" s="1614" t="s">
        <v>432</v>
      </c>
      <c r="J66" s="869" t="s">
        <v>79</v>
      </c>
      <c r="K66" s="44"/>
      <c r="L66" s="363">
        <v>1</v>
      </c>
      <c r="M66" s="363">
        <v>1</v>
      </c>
      <c r="N66" s="363">
        <v>1</v>
      </c>
      <c r="O66" s="363">
        <v>1</v>
      </c>
      <c r="P66" s="363">
        <v>1</v>
      </c>
      <c r="Q66" s="1475">
        <f>L66*$H$71</f>
        <v>16947</v>
      </c>
      <c r="R66" s="1475">
        <f>M66*$H$71</f>
        <v>16947</v>
      </c>
      <c r="S66" s="1475">
        <f>N66*$H$71</f>
        <v>16947</v>
      </c>
      <c r="T66" s="1475">
        <f>O66*$H$71</f>
        <v>16947</v>
      </c>
      <c r="U66" s="1475">
        <f>P66*$H$71</f>
        <v>16947</v>
      </c>
      <c r="V66" s="1476">
        <f t="shared" si="1"/>
        <v>84735</v>
      </c>
    </row>
    <row r="67" spans="1:22" s="39" customFormat="1" ht="24" customHeight="1">
      <c r="A67" s="1860">
        <v>1</v>
      </c>
      <c r="B67" s="1860"/>
      <c r="C67" s="1860"/>
      <c r="D67" s="1860"/>
      <c r="E67" s="1839"/>
      <c r="F67" s="1841"/>
      <c r="G67" s="1938"/>
      <c r="H67" s="1601"/>
      <c r="I67" s="1615"/>
      <c r="J67" s="40" t="s">
        <v>80</v>
      </c>
      <c r="K67" s="44"/>
      <c r="L67" s="364">
        <f t="shared" ref="L67:U67" si="40">SUM(L68:L74)</f>
        <v>1</v>
      </c>
      <c r="M67" s="364">
        <f t="shared" si="40"/>
        <v>1</v>
      </c>
      <c r="N67" s="364">
        <f t="shared" si="40"/>
        <v>1</v>
      </c>
      <c r="O67" s="364">
        <f t="shared" si="40"/>
        <v>0</v>
      </c>
      <c r="P67" s="364">
        <f t="shared" si="40"/>
        <v>0</v>
      </c>
      <c r="Q67" s="1475">
        <f t="shared" si="40"/>
        <v>16947</v>
      </c>
      <c r="R67" s="1475">
        <f t="shared" si="40"/>
        <v>16947</v>
      </c>
      <c r="S67" s="1475">
        <f t="shared" si="40"/>
        <v>16947</v>
      </c>
      <c r="T67" s="1475">
        <f t="shared" si="40"/>
        <v>0</v>
      </c>
      <c r="U67" s="1475">
        <f t="shared" si="40"/>
        <v>0</v>
      </c>
      <c r="V67" s="1476">
        <f t="shared" si="1"/>
        <v>50841</v>
      </c>
    </row>
    <row r="68" spans="1:22" s="39" customFormat="1" ht="24" customHeight="1">
      <c r="A68" s="1860">
        <v>1</v>
      </c>
      <c r="B68" s="1860"/>
      <c r="C68" s="1860"/>
      <c r="D68" s="1860"/>
      <c r="E68" s="1839"/>
      <c r="F68" s="1841"/>
      <c r="G68" s="1938"/>
      <c r="H68" s="1601"/>
      <c r="I68" s="1615"/>
      <c r="J68" s="40" t="s">
        <v>429</v>
      </c>
      <c r="K68" s="42"/>
      <c r="L68" s="364">
        <v>0</v>
      </c>
      <c r="M68" s="364">
        <v>0</v>
      </c>
      <c r="N68" s="364">
        <v>0</v>
      </c>
      <c r="O68" s="364">
        <v>0</v>
      </c>
      <c r="P68" s="364">
        <v>0</v>
      </c>
      <c r="Q68" s="1475">
        <f t="shared" ref="Q68:Q74" si="41">L68*$H$71</f>
        <v>0</v>
      </c>
      <c r="R68" s="1475">
        <f t="shared" ref="R68:U69" si="42">M68*$H$71</f>
        <v>0</v>
      </c>
      <c r="S68" s="1475">
        <f t="shared" si="42"/>
        <v>0</v>
      </c>
      <c r="T68" s="1475">
        <f t="shared" si="42"/>
        <v>0</v>
      </c>
      <c r="U68" s="1475">
        <f t="shared" si="42"/>
        <v>0</v>
      </c>
      <c r="V68" s="1476">
        <f t="shared" si="1"/>
        <v>0</v>
      </c>
    </row>
    <row r="69" spans="1:22" s="39" customFormat="1" ht="24" customHeight="1">
      <c r="A69" s="1860">
        <v>1</v>
      </c>
      <c r="B69" s="1860"/>
      <c r="C69" s="1860"/>
      <c r="D69" s="1860"/>
      <c r="E69" s="1839"/>
      <c r="F69" s="1841"/>
      <c r="G69" s="1938"/>
      <c r="H69" s="1601"/>
      <c r="I69" s="1615"/>
      <c r="J69" s="40" t="s">
        <v>133</v>
      </c>
      <c r="K69" s="42"/>
      <c r="L69" s="364">
        <v>0</v>
      </c>
      <c r="M69" s="364">
        <v>0</v>
      </c>
      <c r="N69" s="364">
        <v>0</v>
      </c>
      <c r="O69" s="364">
        <v>0</v>
      </c>
      <c r="P69" s="364">
        <v>0</v>
      </c>
      <c r="Q69" s="1475">
        <f t="shared" si="41"/>
        <v>0</v>
      </c>
      <c r="R69" s="1475">
        <f t="shared" si="42"/>
        <v>0</v>
      </c>
      <c r="S69" s="1475">
        <f t="shared" si="42"/>
        <v>0</v>
      </c>
      <c r="T69" s="1475">
        <f t="shared" si="42"/>
        <v>0</v>
      </c>
      <c r="U69" s="1475">
        <f t="shared" si="42"/>
        <v>0</v>
      </c>
      <c r="V69" s="1476">
        <f>SUM(Q69:U69)</f>
        <v>0</v>
      </c>
    </row>
    <row r="70" spans="1:22" s="39" customFormat="1" ht="24" customHeight="1">
      <c r="A70" s="1860">
        <v>1</v>
      </c>
      <c r="B70" s="1860"/>
      <c r="C70" s="1860"/>
      <c r="D70" s="1860"/>
      <c r="E70" s="1839"/>
      <c r="F70" s="1841"/>
      <c r="G70" s="1938"/>
      <c r="H70" s="1601"/>
      <c r="I70" s="1615"/>
      <c r="J70" s="40" t="s">
        <v>81</v>
      </c>
      <c r="K70" s="42"/>
      <c r="L70" s="364">
        <v>0</v>
      </c>
      <c r="M70" s="364">
        <v>0</v>
      </c>
      <c r="N70" s="364">
        <v>0</v>
      </c>
      <c r="O70" s="364">
        <v>0</v>
      </c>
      <c r="P70" s="364">
        <v>0</v>
      </c>
      <c r="Q70" s="1475">
        <f t="shared" si="41"/>
        <v>0</v>
      </c>
      <c r="R70" s="1475">
        <f t="shared" ref="R70:U74" si="43">M70*$H$71</f>
        <v>0</v>
      </c>
      <c r="S70" s="1475">
        <f t="shared" si="43"/>
        <v>0</v>
      </c>
      <c r="T70" s="1475">
        <f t="shared" si="43"/>
        <v>0</v>
      </c>
      <c r="U70" s="1475">
        <f t="shared" si="43"/>
        <v>0</v>
      </c>
      <c r="V70" s="1476">
        <f t="shared" si="1"/>
        <v>0</v>
      </c>
    </row>
    <row r="71" spans="1:22" s="39" customFormat="1" ht="24" customHeight="1">
      <c r="A71" s="1860">
        <v>1</v>
      </c>
      <c r="B71" s="1860"/>
      <c r="C71" s="1860"/>
      <c r="D71" s="1860"/>
      <c r="E71" s="1839"/>
      <c r="F71" s="1841"/>
      <c r="G71" s="1938"/>
      <c r="H71" s="1711">
        <f>'Budget assumption'!H28</f>
        <v>16947</v>
      </c>
      <c r="I71" s="1615"/>
      <c r="J71" s="40" t="s">
        <v>134</v>
      </c>
      <c r="K71" s="42"/>
      <c r="L71" s="364">
        <v>0</v>
      </c>
      <c r="M71" s="364">
        <v>0</v>
      </c>
      <c r="N71" s="364">
        <v>0</v>
      </c>
      <c r="O71" s="364">
        <v>0</v>
      </c>
      <c r="P71" s="364">
        <v>0</v>
      </c>
      <c r="Q71" s="1475">
        <f t="shared" si="41"/>
        <v>0</v>
      </c>
      <c r="R71" s="1475">
        <f t="shared" si="43"/>
        <v>0</v>
      </c>
      <c r="S71" s="1475">
        <f t="shared" si="43"/>
        <v>0</v>
      </c>
      <c r="T71" s="1475">
        <f t="shared" si="43"/>
        <v>0</v>
      </c>
      <c r="U71" s="1475">
        <f t="shared" si="43"/>
        <v>0</v>
      </c>
      <c r="V71" s="1476">
        <f t="shared" si="1"/>
        <v>0</v>
      </c>
    </row>
    <row r="72" spans="1:22" s="39" customFormat="1" ht="24" customHeight="1">
      <c r="A72" s="1860">
        <v>1</v>
      </c>
      <c r="B72" s="1860"/>
      <c r="C72" s="1860"/>
      <c r="D72" s="1860"/>
      <c r="E72" s="1839"/>
      <c r="F72" s="1841"/>
      <c r="G72" s="1938"/>
      <c r="H72" s="1712"/>
      <c r="I72" s="1615"/>
      <c r="J72" s="40" t="s">
        <v>82</v>
      </c>
      <c r="K72" s="42"/>
      <c r="L72" s="364">
        <v>1</v>
      </c>
      <c r="M72" s="364">
        <v>1</v>
      </c>
      <c r="N72" s="364">
        <v>1</v>
      </c>
      <c r="O72" s="367">
        <v>0</v>
      </c>
      <c r="P72" s="367">
        <v>0</v>
      </c>
      <c r="Q72" s="1475">
        <f t="shared" si="41"/>
        <v>16947</v>
      </c>
      <c r="R72" s="1475">
        <f t="shared" si="43"/>
        <v>16947</v>
      </c>
      <c r="S72" s="1475">
        <f t="shared" si="43"/>
        <v>16947</v>
      </c>
      <c r="T72" s="1475">
        <f t="shared" si="43"/>
        <v>0</v>
      </c>
      <c r="U72" s="1475">
        <f t="shared" si="43"/>
        <v>0</v>
      </c>
      <c r="V72" s="1476">
        <f t="shared" si="1"/>
        <v>50841</v>
      </c>
    </row>
    <row r="73" spans="1:22" s="39" customFormat="1" ht="24" customHeight="1">
      <c r="A73" s="1860">
        <v>1</v>
      </c>
      <c r="B73" s="1860"/>
      <c r="C73" s="1860"/>
      <c r="D73" s="1860"/>
      <c r="E73" s="1839"/>
      <c r="F73" s="1841"/>
      <c r="G73" s="1938"/>
      <c r="H73" s="1712"/>
      <c r="I73" s="1615"/>
      <c r="J73" s="40" t="s">
        <v>90</v>
      </c>
      <c r="K73" s="42"/>
      <c r="L73" s="364">
        <v>0</v>
      </c>
      <c r="M73" s="364">
        <v>0</v>
      </c>
      <c r="N73" s="364">
        <v>0</v>
      </c>
      <c r="O73" s="364">
        <v>0</v>
      </c>
      <c r="P73" s="364">
        <v>0</v>
      </c>
      <c r="Q73" s="1475">
        <f t="shared" si="41"/>
        <v>0</v>
      </c>
      <c r="R73" s="1475">
        <f t="shared" si="43"/>
        <v>0</v>
      </c>
      <c r="S73" s="1475">
        <f t="shared" si="43"/>
        <v>0</v>
      </c>
      <c r="T73" s="1475">
        <f t="shared" si="43"/>
        <v>0</v>
      </c>
      <c r="U73" s="1475">
        <f t="shared" si="43"/>
        <v>0</v>
      </c>
      <c r="V73" s="1476">
        <f t="shared" si="1"/>
        <v>0</v>
      </c>
    </row>
    <row r="74" spans="1:22" s="39" customFormat="1" ht="24" customHeight="1">
      <c r="A74" s="1860">
        <v>1</v>
      </c>
      <c r="B74" s="1860"/>
      <c r="C74" s="1860"/>
      <c r="D74" s="1860"/>
      <c r="E74" s="1839"/>
      <c r="F74" s="1841"/>
      <c r="G74" s="1938"/>
      <c r="H74" s="1712"/>
      <c r="I74" s="1615"/>
      <c r="J74" s="40" t="s">
        <v>83</v>
      </c>
      <c r="K74" s="42"/>
      <c r="L74" s="364">
        <v>0</v>
      </c>
      <c r="M74" s="364">
        <v>0</v>
      </c>
      <c r="N74" s="364">
        <v>0</v>
      </c>
      <c r="O74" s="364">
        <v>0</v>
      </c>
      <c r="P74" s="364">
        <v>0</v>
      </c>
      <c r="Q74" s="1475">
        <f t="shared" si="41"/>
        <v>0</v>
      </c>
      <c r="R74" s="1475">
        <f t="shared" si="43"/>
        <v>0</v>
      </c>
      <c r="S74" s="1475">
        <f t="shared" si="43"/>
        <v>0</v>
      </c>
      <c r="T74" s="1475">
        <f t="shared" si="43"/>
        <v>0</v>
      </c>
      <c r="U74" s="1475">
        <f t="shared" si="43"/>
        <v>0</v>
      </c>
      <c r="V74" s="1476">
        <f t="shared" si="1"/>
        <v>0</v>
      </c>
    </row>
    <row r="75" spans="1:22" s="39" customFormat="1" ht="24" customHeight="1">
      <c r="A75" s="1860">
        <v>1</v>
      </c>
      <c r="B75" s="1860"/>
      <c r="C75" s="1860"/>
      <c r="D75" s="1860"/>
      <c r="E75" s="1839"/>
      <c r="F75" s="1841"/>
      <c r="G75" s="1939"/>
      <c r="H75" s="1778"/>
      <c r="I75" s="1617"/>
      <c r="J75" s="40" t="s">
        <v>84</v>
      </c>
      <c r="K75" s="42"/>
      <c r="L75" s="364">
        <f>L66-L67</f>
        <v>0</v>
      </c>
      <c r="M75" s="364">
        <f t="shared" ref="M75:U75" si="44">M66-M67</f>
        <v>0</v>
      </c>
      <c r="N75" s="364">
        <f t="shared" si="44"/>
        <v>0</v>
      </c>
      <c r="O75" s="364">
        <f t="shared" si="44"/>
        <v>1</v>
      </c>
      <c r="P75" s="364">
        <f t="shared" si="44"/>
        <v>1</v>
      </c>
      <c r="Q75" s="1475">
        <f t="shared" si="44"/>
        <v>0</v>
      </c>
      <c r="R75" s="1475">
        <f t="shared" si="44"/>
        <v>0</v>
      </c>
      <c r="S75" s="1475">
        <f t="shared" si="44"/>
        <v>0</v>
      </c>
      <c r="T75" s="1475">
        <f t="shared" si="44"/>
        <v>16947</v>
      </c>
      <c r="U75" s="1475">
        <f t="shared" si="44"/>
        <v>16947</v>
      </c>
      <c r="V75" s="1476">
        <f t="shared" si="1"/>
        <v>33894</v>
      </c>
    </row>
    <row r="76" spans="1:22" s="45" customFormat="1" ht="24" customHeight="1">
      <c r="A76" s="1860">
        <v>1</v>
      </c>
      <c r="B76" s="1860">
        <v>1</v>
      </c>
      <c r="C76" s="1860">
        <v>2</v>
      </c>
      <c r="D76" s="1860">
        <v>4</v>
      </c>
      <c r="E76" s="1839" t="s">
        <v>49</v>
      </c>
      <c r="F76" s="1841" t="str">
        <f>CONCATENATE(A76,".",B76,".",C76,".",D76,)</f>
        <v>1.1.2.4</v>
      </c>
      <c r="G76" s="1937" t="s">
        <v>152</v>
      </c>
      <c r="H76" s="1601" t="s">
        <v>93</v>
      </c>
      <c r="I76" s="1717" t="s">
        <v>9</v>
      </c>
      <c r="J76" s="869" t="s">
        <v>79</v>
      </c>
      <c r="K76" s="355">
        <v>0.2</v>
      </c>
      <c r="L76" s="368">
        <f>19300*20%</f>
        <v>3860</v>
      </c>
      <c r="M76" s="368">
        <f>19300*20%</f>
        <v>3860</v>
      </c>
      <c r="N76" s="368">
        <f>19300*20%</f>
        <v>3860</v>
      </c>
      <c r="O76" s="368">
        <f>19300*20%</f>
        <v>3860</v>
      </c>
      <c r="P76" s="368">
        <f>19300*20%</f>
        <v>3860</v>
      </c>
      <c r="Q76" s="1481">
        <f>L76*$H$81</f>
        <v>77200</v>
      </c>
      <c r="R76" s="1481">
        <f>M76*$H$81</f>
        <v>77200</v>
      </c>
      <c r="S76" s="1481">
        <f>N76*$H$81</f>
        <v>77200</v>
      </c>
      <c r="T76" s="1481">
        <f>O76*$H$81</f>
        <v>77200</v>
      </c>
      <c r="U76" s="1481">
        <f>P76*$H$81</f>
        <v>77200</v>
      </c>
      <c r="V76" s="1482">
        <f t="shared" ref="V76:V122" si="45">SUM(Q76:U76)</f>
        <v>386000</v>
      </c>
    </row>
    <row r="77" spans="1:22" s="39" customFormat="1" ht="24" customHeight="1">
      <c r="A77" s="1860">
        <v>1</v>
      </c>
      <c r="B77" s="1860"/>
      <c r="C77" s="1860"/>
      <c r="D77" s="1860"/>
      <c r="E77" s="1839"/>
      <c r="F77" s="1841"/>
      <c r="G77" s="1938"/>
      <c r="H77" s="1601"/>
      <c r="I77" s="1718"/>
      <c r="J77" s="40" t="s">
        <v>80</v>
      </c>
      <c r="K77" s="356">
        <v>12600</v>
      </c>
      <c r="L77" s="369">
        <f t="shared" ref="L77:P77" si="46">SUM(L78:L84)</f>
        <v>3860</v>
      </c>
      <c r="M77" s="369">
        <f t="shared" si="46"/>
        <v>3860</v>
      </c>
      <c r="N77" s="369">
        <f t="shared" si="46"/>
        <v>3860</v>
      </c>
      <c r="O77" s="369">
        <f t="shared" si="46"/>
        <v>3860</v>
      </c>
      <c r="P77" s="369">
        <f t="shared" si="46"/>
        <v>3860</v>
      </c>
      <c r="Q77" s="1475">
        <f t="shared" ref="Q77:U77" si="47">SUM(Q78:Q84)</f>
        <v>77200</v>
      </c>
      <c r="R77" s="1475">
        <f t="shared" si="47"/>
        <v>77200</v>
      </c>
      <c r="S77" s="1475">
        <f t="shared" si="47"/>
        <v>77200</v>
      </c>
      <c r="T77" s="1475">
        <f t="shared" si="47"/>
        <v>77200</v>
      </c>
      <c r="U77" s="1475">
        <f t="shared" si="47"/>
        <v>77200</v>
      </c>
      <c r="V77" s="1476">
        <f t="shared" si="45"/>
        <v>386000</v>
      </c>
    </row>
    <row r="78" spans="1:22" s="39" customFormat="1" ht="24" customHeight="1">
      <c r="A78" s="1860">
        <v>1</v>
      </c>
      <c r="B78" s="1860"/>
      <c r="C78" s="1860"/>
      <c r="D78" s="1860"/>
      <c r="E78" s="1839"/>
      <c r="F78" s="1841"/>
      <c r="G78" s="1938"/>
      <c r="H78" s="1601"/>
      <c r="I78" s="1718"/>
      <c r="J78" s="40" t="s">
        <v>429</v>
      </c>
      <c r="K78" s="42"/>
      <c r="L78" s="364">
        <f>K77*0.2</f>
        <v>2520</v>
      </c>
      <c r="M78" s="364">
        <f>$K$77*0.2</f>
        <v>2520</v>
      </c>
      <c r="N78" s="364">
        <f>K77*0.2</f>
        <v>2520</v>
      </c>
      <c r="O78" s="364">
        <f t="shared" ref="O78" si="48">$K$77*0.2</f>
        <v>2520</v>
      </c>
      <c r="P78" s="364">
        <f>K77*0.2</f>
        <v>2520</v>
      </c>
      <c r="Q78" s="1475">
        <f>L78*$H81</f>
        <v>50400</v>
      </c>
      <c r="R78" s="1475">
        <f>M78*$H81</f>
        <v>50400</v>
      </c>
      <c r="S78" s="1475">
        <f>N78*$H81</f>
        <v>50400</v>
      </c>
      <c r="T78" s="1475">
        <f>O78*$H81</f>
        <v>50400</v>
      </c>
      <c r="U78" s="1475">
        <f>P78*$H81</f>
        <v>50400</v>
      </c>
      <c r="V78" s="1476">
        <f t="shared" si="45"/>
        <v>252000</v>
      </c>
    </row>
    <row r="79" spans="1:22" s="39" customFormat="1" ht="24" customHeight="1">
      <c r="A79" s="1860">
        <v>1</v>
      </c>
      <c r="B79" s="1860"/>
      <c r="C79" s="1860"/>
      <c r="D79" s="1860"/>
      <c r="E79" s="1839"/>
      <c r="F79" s="1841"/>
      <c r="G79" s="1938"/>
      <c r="H79" s="1601"/>
      <c r="I79" s="1718"/>
      <c r="J79" s="40" t="s">
        <v>133</v>
      </c>
      <c r="K79" s="42"/>
      <c r="L79" s="364">
        <v>0</v>
      </c>
      <c r="M79" s="364">
        <v>0</v>
      </c>
      <c r="N79" s="364">
        <v>0</v>
      </c>
      <c r="O79" s="364">
        <f>K83*0.2</f>
        <v>1340</v>
      </c>
      <c r="P79" s="364">
        <f>K83*0.2</f>
        <v>1340</v>
      </c>
      <c r="Q79" s="1475">
        <f>L79*$H81</f>
        <v>0</v>
      </c>
      <c r="R79" s="1475">
        <f>M79*$H81</f>
        <v>0</v>
      </c>
      <c r="S79" s="1475">
        <f>N79*$H81</f>
        <v>0</v>
      </c>
      <c r="T79" s="1475">
        <f>O79*$H81</f>
        <v>26800</v>
      </c>
      <c r="U79" s="1475">
        <f>P79*$H81</f>
        <v>26800</v>
      </c>
      <c r="V79" s="1476">
        <f t="shared" si="45"/>
        <v>53600</v>
      </c>
    </row>
    <row r="80" spans="1:22" s="39" customFormat="1" ht="24" customHeight="1">
      <c r="A80" s="1860">
        <v>1</v>
      </c>
      <c r="B80" s="1860"/>
      <c r="C80" s="1860"/>
      <c r="D80" s="1860"/>
      <c r="E80" s="1839"/>
      <c r="F80" s="1841"/>
      <c r="G80" s="1938"/>
      <c r="H80" s="1601"/>
      <c r="I80" s="1718"/>
      <c r="J80" s="40" t="s">
        <v>81</v>
      </c>
      <c r="K80" s="42"/>
      <c r="L80" s="364">
        <v>0</v>
      </c>
      <c r="M80" s="364">
        <v>0</v>
      </c>
      <c r="N80" s="364">
        <v>0</v>
      </c>
      <c r="O80" s="364">
        <v>0</v>
      </c>
      <c r="P80" s="364">
        <v>0</v>
      </c>
      <c r="Q80" s="1475">
        <f>L80*$H81</f>
        <v>0</v>
      </c>
      <c r="R80" s="1475">
        <f>M80*$H81</f>
        <v>0</v>
      </c>
      <c r="S80" s="1475">
        <f>N80*$H81</f>
        <v>0</v>
      </c>
      <c r="T80" s="1475">
        <f>O80*$H81</f>
        <v>0</v>
      </c>
      <c r="U80" s="1475">
        <f>P80*$H81</f>
        <v>0</v>
      </c>
      <c r="V80" s="1476">
        <f t="shared" si="45"/>
        <v>0</v>
      </c>
    </row>
    <row r="81" spans="1:22" s="39" customFormat="1" ht="24" customHeight="1">
      <c r="A81" s="1860">
        <v>1</v>
      </c>
      <c r="B81" s="1860"/>
      <c r="C81" s="1860"/>
      <c r="D81" s="1860"/>
      <c r="E81" s="1839"/>
      <c r="F81" s="1841"/>
      <c r="G81" s="1938"/>
      <c r="H81" s="1711">
        <f>10*2</f>
        <v>20</v>
      </c>
      <c r="I81" s="1718"/>
      <c r="J81" s="40" t="s">
        <v>134</v>
      </c>
      <c r="K81" s="42"/>
      <c r="L81" s="364">
        <v>0</v>
      </c>
      <c r="M81" s="364">
        <v>0</v>
      </c>
      <c r="N81" s="364">
        <v>0</v>
      </c>
      <c r="O81" s="364">
        <v>0</v>
      </c>
      <c r="P81" s="364">
        <v>0</v>
      </c>
      <c r="Q81" s="1475">
        <f>L81*$H84</f>
        <v>0</v>
      </c>
      <c r="R81" s="1475">
        <f>M81*$H84</f>
        <v>0</v>
      </c>
      <c r="S81" s="1475">
        <f>N81*$H84</f>
        <v>0</v>
      </c>
      <c r="T81" s="1475">
        <f>O81*$H84</f>
        <v>0</v>
      </c>
      <c r="U81" s="1475">
        <f>P81*$H84</f>
        <v>0</v>
      </c>
      <c r="V81" s="1476">
        <f t="shared" si="45"/>
        <v>0</v>
      </c>
    </row>
    <row r="82" spans="1:22" s="39" customFormat="1" ht="24" customHeight="1">
      <c r="A82" s="1860">
        <v>1</v>
      </c>
      <c r="B82" s="1860"/>
      <c r="C82" s="1860"/>
      <c r="D82" s="1860"/>
      <c r="E82" s="1839"/>
      <c r="F82" s="1841"/>
      <c r="G82" s="1938"/>
      <c r="H82" s="1712"/>
      <c r="I82" s="1718"/>
      <c r="J82" s="40" t="s">
        <v>82</v>
      </c>
      <c r="K82" s="42"/>
      <c r="L82" s="364">
        <v>0</v>
      </c>
      <c r="M82" s="364">
        <v>0</v>
      </c>
      <c r="N82" s="364">
        <v>0</v>
      </c>
      <c r="O82" s="364">
        <v>0</v>
      </c>
      <c r="P82" s="364">
        <v>0</v>
      </c>
      <c r="Q82" s="1475">
        <f>L82*$H81</f>
        <v>0</v>
      </c>
      <c r="R82" s="1475">
        <f>M82*$H81</f>
        <v>0</v>
      </c>
      <c r="S82" s="1475">
        <f>N82*$H81</f>
        <v>0</v>
      </c>
      <c r="T82" s="1475">
        <f>O82*$H81</f>
        <v>0</v>
      </c>
      <c r="U82" s="1475">
        <f>P82*$H81</f>
        <v>0</v>
      </c>
      <c r="V82" s="1476">
        <f t="shared" si="45"/>
        <v>0</v>
      </c>
    </row>
    <row r="83" spans="1:22" s="39" customFormat="1" ht="24" customHeight="1">
      <c r="A83" s="1860">
        <v>1</v>
      </c>
      <c r="B83" s="1860"/>
      <c r="C83" s="1860"/>
      <c r="D83" s="1860"/>
      <c r="E83" s="1839"/>
      <c r="F83" s="1841"/>
      <c r="G83" s="1938"/>
      <c r="H83" s="1712"/>
      <c r="I83" s="1718"/>
      <c r="J83" s="40" t="s">
        <v>90</v>
      </c>
      <c r="K83" s="175">
        <v>6700</v>
      </c>
      <c r="L83" s="364">
        <f>K83*0.2</f>
        <v>1340</v>
      </c>
      <c r="M83" s="364">
        <f>K83*0.2</f>
        <v>1340</v>
      </c>
      <c r="N83" s="364">
        <f>K83*0.2</f>
        <v>1340</v>
      </c>
      <c r="O83" s="364">
        <v>0</v>
      </c>
      <c r="P83" s="364">
        <v>0</v>
      </c>
      <c r="Q83" s="1475">
        <f>L83*$H81</f>
        <v>26800</v>
      </c>
      <c r="R83" s="1475">
        <f>M83*$H81</f>
        <v>26800</v>
      </c>
      <c r="S83" s="1475">
        <f>N83*$H81</f>
        <v>26800</v>
      </c>
      <c r="T83" s="1475">
        <f>O83*$H81</f>
        <v>0</v>
      </c>
      <c r="U83" s="1475">
        <f>P83*$H81</f>
        <v>0</v>
      </c>
      <c r="V83" s="1476">
        <f t="shared" si="45"/>
        <v>80400</v>
      </c>
    </row>
    <row r="84" spans="1:22" s="39" customFormat="1" ht="24" customHeight="1">
      <c r="A84" s="1860">
        <v>1</v>
      </c>
      <c r="B84" s="1860"/>
      <c r="C84" s="1860"/>
      <c r="D84" s="1860"/>
      <c r="E84" s="1839"/>
      <c r="F84" s="1841"/>
      <c r="G84" s="1938"/>
      <c r="H84" s="1712"/>
      <c r="I84" s="1718"/>
      <c r="J84" s="40" t="s">
        <v>83</v>
      </c>
      <c r="K84" s="42"/>
      <c r="L84" s="364">
        <v>0</v>
      </c>
      <c r="M84" s="364">
        <v>0</v>
      </c>
      <c r="N84" s="364">
        <v>0</v>
      </c>
      <c r="O84" s="364">
        <v>0</v>
      </c>
      <c r="P84" s="364">
        <v>0</v>
      </c>
      <c r="Q84" s="1475">
        <f>L84*$H81</f>
        <v>0</v>
      </c>
      <c r="R84" s="1475">
        <f>M84*$H81</f>
        <v>0</v>
      </c>
      <c r="S84" s="1475">
        <f>N84*$H81</f>
        <v>0</v>
      </c>
      <c r="T84" s="1475">
        <f>O84*$H81</f>
        <v>0</v>
      </c>
      <c r="U84" s="1475">
        <f>P84*$H81</f>
        <v>0</v>
      </c>
      <c r="V84" s="1476">
        <f t="shared" si="45"/>
        <v>0</v>
      </c>
    </row>
    <row r="85" spans="1:22" s="39" customFormat="1" ht="24" customHeight="1" thickBot="1">
      <c r="A85" s="1860">
        <v>1</v>
      </c>
      <c r="B85" s="1860"/>
      <c r="C85" s="1860"/>
      <c r="D85" s="1860"/>
      <c r="E85" s="1839"/>
      <c r="F85" s="1841"/>
      <c r="G85" s="1939"/>
      <c r="H85" s="1778"/>
      <c r="I85" s="1719"/>
      <c r="J85" s="40" t="s">
        <v>84</v>
      </c>
      <c r="K85" s="42"/>
      <c r="L85" s="366">
        <f>L76-L77</f>
        <v>0</v>
      </c>
      <c r="M85" s="366">
        <f t="shared" ref="M85:P85" si="49">M76-M77</f>
        <v>0</v>
      </c>
      <c r="N85" s="366">
        <f t="shared" si="49"/>
        <v>0</v>
      </c>
      <c r="O85" s="366">
        <f t="shared" si="49"/>
        <v>0</v>
      </c>
      <c r="P85" s="366">
        <f t="shared" si="49"/>
        <v>0</v>
      </c>
      <c r="Q85" s="1475">
        <f t="shared" ref="Q85:U85" si="50">Q76-Q77</f>
        <v>0</v>
      </c>
      <c r="R85" s="1475">
        <f t="shared" si="50"/>
        <v>0</v>
      </c>
      <c r="S85" s="1475">
        <f t="shared" si="50"/>
        <v>0</v>
      </c>
      <c r="T85" s="1475">
        <f t="shared" si="50"/>
        <v>0</v>
      </c>
      <c r="U85" s="1475">
        <f t="shared" si="50"/>
        <v>0</v>
      </c>
      <c r="V85" s="1476">
        <f t="shared" si="45"/>
        <v>0</v>
      </c>
    </row>
    <row r="86" spans="1:22" s="35" customFormat="1" ht="34.35" customHeight="1" thickBot="1">
      <c r="A86" s="74">
        <v>1</v>
      </c>
      <c r="B86" s="74">
        <v>1</v>
      </c>
      <c r="C86" s="74">
        <v>3</v>
      </c>
      <c r="D86" s="74"/>
      <c r="E86" s="74" t="s">
        <v>15</v>
      </c>
      <c r="F86" s="855" t="str">
        <f>CONCATENATE(A86,".",B86,".",C86,)</f>
        <v>1.1.3</v>
      </c>
      <c r="G86" s="1695" t="s">
        <v>306</v>
      </c>
      <c r="H86" s="1695"/>
      <c r="I86" s="1695"/>
      <c r="J86" s="1696"/>
      <c r="K86" s="870" t="s">
        <v>8</v>
      </c>
      <c r="L86" s="864">
        <v>3.5000000000000003E-2</v>
      </c>
      <c r="M86" s="864">
        <v>0.05</v>
      </c>
      <c r="N86" s="864">
        <v>7.0000000000000007E-2</v>
      </c>
      <c r="O86" s="864">
        <v>0.08</v>
      </c>
      <c r="P86" s="864">
        <v>0.1</v>
      </c>
      <c r="Q86" s="1483">
        <f>Q88+Q98+Q108+Q118+Q128+Q138+Q148</f>
        <v>1576471.8399999999</v>
      </c>
      <c r="R86" s="1483">
        <f t="shared" ref="R86:U86" si="51">R88+R98+R108+R118+R128+R138+R148</f>
        <v>2677745.08</v>
      </c>
      <c r="S86" s="1483">
        <f t="shared" si="51"/>
        <v>3680333.4800000004</v>
      </c>
      <c r="T86" s="1483">
        <f t="shared" si="51"/>
        <v>3173505.5999999996</v>
      </c>
      <c r="U86" s="1483">
        <f t="shared" si="51"/>
        <v>3966882</v>
      </c>
      <c r="V86" s="1478">
        <f t="shared" ref="V86" si="52">SUM(Q86:U86)</f>
        <v>15074938</v>
      </c>
    </row>
    <row r="87" spans="1:22" s="46" customFormat="1" ht="24" customHeight="1">
      <c r="A87" s="1860">
        <v>1</v>
      </c>
      <c r="B87" s="1860">
        <v>1</v>
      </c>
      <c r="C87" s="1860">
        <f>C86</f>
        <v>3</v>
      </c>
      <c r="D87" s="1860">
        <v>1</v>
      </c>
      <c r="E87" s="1839" t="s">
        <v>49</v>
      </c>
      <c r="F87" s="1933" t="str">
        <f>CONCATENATE(A87,".",B87,".",C87,".",D87,)</f>
        <v>1.1.3.1</v>
      </c>
      <c r="G87" s="1925" t="s">
        <v>1127</v>
      </c>
      <c r="H87" s="1679" t="s">
        <v>144</v>
      </c>
      <c r="I87" s="1717" t="s">
        <v>1117</v>
      </c>
      <c r="J87" s="871" t="s">
        <v>79</v>
      </c>
      <c r="K87" s="872" t="s">
        <v>1</v>
      </c>
      <c r="L87" s="873">
        <v>1</v>
      </c>
      <c r="M87" s="873">
        <v>1</v>
      </c>
      <c r="N87" s="873">
        <v>1</v>
      </c>
      <c r="O87" s="873">
        <v>1</v>
      </c>
      <c r="P87" s="873">
        <v>1</v>
      </c>
      <c r="Q87" s="1484">
        <f>L87*$H$92</f>
        <v>32180</v>
      </c>
      <c r="R87" s="1484">
        <f>M87*$H$92</f>
        <v>32180</v>
      </c>
      <c r="S87" s="1484">
        <f>N87*$H$92</f>
        <v>32180</v>
      </c>
      <c r="T87" s="1484">
        <f>O87*$H$92</f>
        <v>32180</v>
      </c>
      <c r="U87" s="1484">
        <f>P87*$H$92</f>
        <v>32180</v>
      </c>
      <c r="V87" s="1485">
        <f t="shared" si="45"/>
        <v>160900</v>
      </c>
    </row>
    <row r="88" spans="1:22" s="39" customFormat="1" ht="24" customHeight="1">
      <c r="A88" s="1860">
        <v>1</v>
      </c>
      <c r="B88" s="1860"/>
      <c r="C88" s="1860"/>
      <c r="D88" s="1860"/>
      <c r="E88" s="1839"/>
      <c r="F88" s="1934"/>
      <c r="G88" s="1738"/>
      <c r="H88" s="1601"/>
      <c r="I88" s="1718"/>
      <c r="J88" s="40" t="s">
        <v>80</v>
      </c>
      <c r="K88" s="357"/>
      <c r="L88" s="366">
        <f>SUM(L89:L95)</f>
        <v>1</v>
      </c>
      <c r="M88" s="366">
        <f>SUM(M89:M95)</f>
        <v>1</v>
      </c>
      <c r="N88" s="366">
        <f>SUM(N89:N95)</f>
        <v>1</v>
      </c>
      <c r="O88" s="366">
        <f>SUM(O89:O95)</f>
        <v>0</v>
      </c>
      <c r="P88" s="366">
        <f>SUM(P89:P95)</f>
        <v>0</v>
      </c>
      <c r="Q88" s="1475">
        <f>L88*$H92</f>
        <v>32180</v>
      </c>
      <c r="R88" s="1475">
        <f>M88*$H92</f>
        <v>32180</v>
      </c>
      <c r="S88" s="1475">
        <f>N88*$H92</f>
        <v>32180</v>
      </c>
      <c r="T88" s="1475">
        <f>O88*$H92</f>
        <v>0</v>
      </c>
      <c r="U88" s="1475">
        <f>P88*$H92</f>
        <v>0</v>
      </c>
      <c r="V88" s="1486">
        <f t="shared" si="45"/>
        <v>96540</v>
      </c>
    </row>
    <row r="89" spans="1:22" s="39" customFormat="1" ht="24" customHeight="1">
      <c r="A89" s="1860">
        <v>1</v>
      </c>
      <c r="B89" s="1860"/>
      <c r="C89" s="1860"/>
      <c r="D89" s="1860"/>
      <c r="E89" s="1839"/>
      <c r="F89" s="1934"/>
      <c r="G89" s="1738"/>
      <c r="H89" s="1601"/>
      <c r="I89" s="1718"/>
      <c r="J89" s="40" t="s">
        <v>429</v>
      </c>
      <c r="K89" s="357"/>
      <c r="L89" s="366">
        <v>0</v>
      </c>
      <c r="M89" s="366">
        <v>0</v>
      </c>
      <c r="N89" s="366">
        <v>0</v>
      </c>
      <c r="O89" s="366">
        <v>0</v>
      </c>
      <c r="P89" s="366">
        <v>0</v>
      </c>
      <c r="Q89" s="1475">
        <f>L89*$H92</f>
        <v>0</v>
      </c>
      <c r="R89" s="1475">
        <f>M89*$H92</f>
        <v>0</v>
      </c>
      <c r="S89" s="1475">
        <f>N89*$H92</f>
        <v>0</v>
      </c>
      <c r="T89" s="1475">
        <f>O89*$H92</f>
        <v>0</v>
      </c>
      <c r="U89" s="1475">
        <f>P89*$H92</f>
        <v>0</v>
      </c>
      <c r="V89" s="1486">
        <f t="shared" si="45"/>
        <v>0</v>
      </c>
    </row>
    <row r="90" spans="1:22" s="39" customFormat="1" ht="24" customHeight="1">
      <c r="A90" s="1860">
        <v>1</v>
      </c>
      <c r="B90" s="1860"/>
      <c r="C90" s="1860"/>
      <c r="D90" s="1860"/>
      <c r="E90" s="1839"/>
      <c r="F90" s="1934"/>
      <c r="G90" s="1738"/>
      <c r="H90" s="1601"/>
      <c r="I90" s="1718"/>
      <c r="J90" s="40" t="s">
        <v>133</v>
      </c>
      <c r="K90" s="357"/>
      <c r="L90" s="366">
        <v>0</v>
      </c>
      <c r="M90" s="366">
        <v>0</v>
      </c>
      <c r="N90" s="366">
        <v>0</v>
      </c>
      <c r="O90" s="366">
        <v>0</v>
      </c>
      <c r="P90" s="366">
        <v>0</v>
      </c>
      <c r="Q90" s="1475">
        <f>L90*$H92</f>
        <v>0</v>
      </c>
      <c r="R90" s="1475">
        <f>M90*$H92</f>
        <v>0</v>
      </c>
      <c r="S90" s="1475">
        <f>N90*$H92</f>
        <v>0</v>
      </c>
      <c r="T90" s="1475">
        <f>O90*$H92</f>
        <v>0</v>
      </c>
      <c r="U90" s="1475">
        <f>P90*$H92</f>
        <v>0</v>
      </c>
      <c r="V90" s="1486">
        <f>SUM(Q90:U90)</f>
        <v>0</v>
      </c>
    </row>
    <row r="91" spans="1:22" s="39" customFormat="1" ht="24" customHeight="1">
      <c r="A91" s="1860">
        <v>1</v>
      </c>
      <c r="B91" s="1860"/>
      <c r="C91" s="1860"/>
      <c r="D91" s="1860"/>
      <c r="E91" s="1839"/>
      <c r="F91" s="1934"/>
      <c r="G91" s="1738"/>
      <c r="H91" s="1601"/>
      <c r="I91" s="1718"/>
      <c r="J91" s="40" t="s">
        <v>81</v>
      </c>
      <c r="K91" s="357"/>
      <c r="L91" s="366">
        <v>0</v>
      </c>
      <c r="M91" s="366">
        <v>0</v>
      </c>
      <c r="N91" s="366">
        <v>0</v>
      </c>
      <c r="O91" s="366">
        <v>0</v>
      </c>
      <c r="P91" s="366">
        <v>0</v>
      </c>
      <c r="Q91" s="1475">
        <f>L91*$H92</f>
        <v>0</v>
      </c>
      <c r="R91" s="1475">
        <f>M91*$H92</f>
        <v>0</v>
      </c>
      <c r="S91" s="1475">
        <f>N91*$H92</f>
        <v>0</v>
      </c>
      <c r="T91" s="1475">
        <f>O91*$H92</f>
        <v>0</v>
      </c>
      <c r="U91" s="1475">
        <f>P91*$H92</f>
        <v>0</v>
      </c>
      <c r="V91" s="1486">
        <f t="shared" si="45"/>
        <v>0</v>
      </c>
    </row>
    <row r="92" spans="1:22" s="39" customFormat="1" ht="24" customHeight="1">
      <c r="A92" s="1860">
        <v>1</v>
      </c>
      <c r="B92" s="1860"/>
      <c r="C92" s="1860"/>
      <c r="D92" s="1860"/>
      <c r="E92" s="1839"/>
      <c r="F92" s="1934"/>
      <c r="G92" s="1738"/>
      <c r="H92" s="1711">
        <f>2*5*'Budget assumption'!$C$4+'Budget assumption'!G15</f>
        <v>32180</v>
      </c>
      <c r="I92" s="1718"/>
      <c r="J92" s="40" t="s">
        <v>134</v>
      </c>
      <c r="K92" s="357"/>
      <c r="L92" s="366">
        <v>0</v>
      </c>
      <c r="M92" s="366">
        <v>0</v>
      </c>
      <c r="N92" s="366">
        <v>0</v>
      </c>
      <c r="O92" s="366">
        <v>0</v>
      </c>
      <c r="P92" s="366">
        <v>0</v>
      </c>
      <c r="Q92" s="1475">
        <f>L92*$H92</f>
        <v>0</v>
      </c>
      <c r="R92" s="1475">
        <f>M92*$H92</f>
        <v>0</v>
      </c>
      <c r="S92" s="1475">
        <f>N92*$H92</f>
        <v>0</v>
      </c>
      <c r="T92" s="1475">
        <f>O92*$H92</f>
        <v>0</v>
      </c>
      <c r="U92" s="1475">
        <f>P92*$H92</f>
        <v>0</v>
      </c>
      <c r="V92" s="1486">
        <f t="shared" si="45"/>
        <v>0</v>
      </c>
    </row>
    <row r="93" spans="1:22" s="39" customFormat="1" ht="24" customHeight="1">
      <c r="A93" s="1860">
        <v>1</v>
      </c>
      <c r="B93" s="1860"/>
      <c r="C93" s="1860"/>
      <c r="D93" s="1860"/>
      <c r="E93" s="1839"/>
      <c r="F93" s="1934"/>
      <c r="G93" s="1738"/>
      <c r="H93" s="1712"/>
      <c r="I93" s="1718"/>
      <c r="J93" s="40" t="s">
        <v>82</v>
      </c>
      <c r="K93" s="357"/>
      <c r="L93" s="366">
        <v>1</v>
      </c>
      <c r="M93" s="366">
        <v>1</v>
      </c>
      <c r="N93" s="366">
        <v>1</v>
      </c>
      <c r="O93" s="366">
        <v>0</v>
      </c>
      <c r="P93" s="366">
        <v>0</v>
      </c>
      <c r="Q93" s="1475">
        <f>L93*$H92</f>
        <v>32180</v>
      </c>
      <c r="R93" s="1475">
        <f>M93*$H92</f>
        <v>32180</v>
      </c>
      <c r="S93" s="1475">
        <f>N93*$H92</f>
        <v>32180</v>
      </c>
      <c r="T93" s="1475">
        <f>O93*$H92</f>
        <v>0</v>
      </c>
      <c r="U93" s="1475">
        <f>P93*$H92</f>
        <v>0</v>
      </c>
      <c r="V93" s="1486">
        <f t="shared" si="45"/>
        <v>96540</v>
      </c>
    </row>
    <row r="94" spans="1:22" s="39" customFormat="1" ht="24" customHeight="1">
      <c r="A94" s="1860">
        <v>1</v>
      </c>
      <c r="B94" s="1860"/>
      <c r="C94" s="1860"/>
      <c r="D94" s="1860"/>
      <c r="E94" s="1839"/>
      <c r="F94" s="1934"/>
      <c r="G94" s="1738"/>
      <c r="H94" s="1712"/>
      <c r="I94" s="1718"/>
      <c r="J94" s="40" t="s">
        <v>90</v>
      </c>
      <c r="K94" s="357"/>
      <c r="L94" s="366">
        <v>0</v>
      </c>
      <c r="M94" s="366">
        <v>0</v>
      </c>
      <c r="N94" s="366">
        <v>0</v>
      </c>
      <c r="O94" s="366">
        <v>0</v>
      </c>
      <c r="P94" s="366">
        <v>0</v>
      </c>
      <c r="Q94" s="1475">
        <f>L94*$H92</f>
        <v>0</v>
      </c>
      <c r="R94" s="1475">
        <f>M94*$H92</f>
        <v>0</v>
      </c>
      <c r="S94" s="1475">
        <f>N94*$H92</f>
        <v>0</v>
      </c>
      <c r="T94" s="1475">
        <f>O94*$H92</f>
        <v>0</v>
      </c>
      <c r="U94" s="1475">
        <f>P94*$H92</f>
        <v>0</v>
      </c>
      <c r="V94" s="1486">
        <f t="shared" si="45"/>
        <v>0</v>
      </c>
    </row>
    <row r="95" spans="1:22" s="39" customFormat="1" ht="24" customHeight="1">
      <c r="A95" s="1860">
        <v>1</v>
      </c>
      <c r="B95" s="1860"/>
      <c r="C95" s="1860"/>
      <c r="D95" s="1860"/>
      <c r="E95" s="1839"/>
      <c r="F95" s="1934"/>
      <c r="G95" s="1738"/>
      <c r="H95" s="1712"/>
      <c r="I95" s="1718"/>
      <c r="J95" s="40" t="s">
        <v>83</v>
      </c>
      <c r="K95" s="357"/>
      <c r="L95" s="366">
        <v>0</v>
      </c>
      <c r="M95" s="366">
        <v>0</v>
      </c>
      <c r="N95" s="366">
        <v>0</v>
      </c>
      <c r="O95" s="366">
        <v>0</v>
      </c>
      <c r="P95" s="366">
        <v>0</v>
      </c>
      <c r="Q95" s="1475">
        <f>L95*$H92</f>
        <v>0</v>
      </c>
      <c r="R95" s="1475">
        <f>M95*$H92</f>
        <v>0</v>
      </c>
      <c r="S95" s="1475">
        <f>N95*$H92</f>
        <v>0</v>
      </c>
      <c r="T95" s="1475">
        <f>O95*$H92</f>
        <v>0</v>
      </c>
      <c r="U95" s="1475">
        <f>P95*$H92</f>
        <v>0</v>
      </c>
      <c r="V95" s="1486">
        <f t="shared" si="45"/>
        <v>0</v>
      </c>
    </row>
    <row r="96" spans="1:22" s="39" customFormat="1" ht="24" customHeight="1" thickBot="1">
      <c r="A96" s="1860">
        <v>1</v>
      </c>
      <c r="B96" s="1860"/>
      <c r="C96" s="1860"/>
      <c r="D96" s="1860"/>
      <c r="E96" s="1839"/>
      <c r="F96" s="1935"/>
      <c r="G96" s="1926"/>
      <c r="H96" s="1713"/>
      <c r="I96" s="1719"/>
      <c r="J96" s="80" t="s">
        <v>84</v>
      </c>
      <c r="K96" s="358"/>
      <c r="L96" s="370">
        <f>L87-L88</f>
        <v>0</v>
      </c>
      <c r="M96" s="370">
        <f t="shared" ref="M96:P96" si="53">M87-M88</f>
        <v>0</v>
      </c>
      <c r="N96" s="370">
        <f t="shared" si="53"/>
        <v>0</v>
      </c>
      <c r="O96" s="370">
        <f t="shared" si="53"/>
        <v>1</v>
      </c>
      <c r="P96" s="370">
        <f t="shared" si="53"/>
        <v>1</v>
      </c>
      <c r="Q96" s="1487">
        <f t="shared" ref="Q96:U96" si="54">Q87-Q88</f>
        <v>0</v>
      </c>
      <c r="R96" s="1487">
        <f t="shared" si="54"/>
        <v>0</v>
      </c>
      <c r="S96" s="1487">
        <f t="shared" si="54"/>
        <v>0</v>
      </c>
      <c r="T96" s="1487">
        <f t="shared" si="54"/>
        <v>32180</v>
      </c>
      <c r="U96" s="1487">
        <f t="shared" si="54"/>
        <v>32180</v>
      </c>
      <c r="V96" s="1488">
        <f t="shared" si="45"/>
        <v>64360</v>
      </c>
    </row>
    <row r="97" spans="1:22" s="46" customFormat="1" ht="24" customHeight="1">
      <c r="A97" s="1860">
        <v>1</v>
      </c>
      <c r="B97" s="1860">
        <v>1</v>
      </c>
      <c r="C97" s="1860">
        <v>3</v>
      </c>
      <c r="D97" s="1860">
        <v>2</v>
      </c>
      <c r="E97" s="1839" t="s">
        <v>49</v>
      </c>
      <c r="F97" s="1933" t="str">
        <f>CONCATENATE(A97,".",B97,".",C97,".",D97,)</f>
        <v>1.1.3.2</v>
      </c>
      <c r="G97" s="1925" t="s">
        <v>153</v>
      </c>
      <c r="H97" s="1679" t="s">
        <v>195</v>
      </c>
      <c r="I97" s="1717" t="s">
        <v>1040</v>
      </c>
      <c r="J97" s="871" t="s">
        <v>79</v>
      </c>
      <c r="K97" s="872"/>
      <c r="L97" s="873">
        <v>20</v>
      </c>
      <c r="M97" s="873">
        <v>0</v>
      </c>
      <c r="N97" s="873">
        <v>0</v>
      </c>
      <c r="O97" s="873">
        <v>20</v>
      </c>
      <c r="P97" s="873">
        <v>0</v>
      </c>
      <c r="Q97" s="1484">
        <f>L97*$H$102</f>
        <v>40000</v>
      </c>
      <c r="R97" s="1484">
        <f>M97*$H$102</f>
        <v>0</v>
      </c>
      <c r="S97" s="1484">
        <f>N97*$H$102</f>
        <v>0</v>
      </c>
      <c r="T97" s="1484">
        <f>O97*$H$102</f>
        <v>40000</v>
      </c>
      <c r="U97" s="1484">
        <f>P97*$H$102</f>
        <v>0</v>
      </c>
      <c r="V97" s="1485">
        <f t="shared" si="45"/>
        <v>80000</v>
      </c>
    </row>
    <row r="98" spans="1:22" s="39" customFormat="1" ht="24" customHeight="1">
      <c r="A98" s="1860">
        <v>1</v>
      </c>
      <c r="B98" s="1860"/>
      <c r="C98" s="1860"/>
      <c r="D98" s="1860"/>
      <c r="E98" s="1839"/>
      <c r="F98" s="1934"/>
      <c r="G98" s="1738"/>
      <c r="H98" s="1601"/>
      <c r="I98" s="1718"/>
      <c r="J98" s="40" t="s">
        <v>80</v>
      </c>
      <c r="K98" s="91"/>
      <c r="L98" s="364">
        <f t="shared" ref="L98:U98" si="55">SUM(L99:L105)</f>
        <v>20</v>
      </c>
      <c r="M98" s="364">
        <f t="shared" si="55"/>
        <v>0</v>
      </c>
      <c r="N98" s="364">
        <f t="shared" si="55"/>
        <v>0</v>
      </c>
      <c r="O98" s="364">
        <f t="shared" si="55"/>
        <v>0</v>
      </c>
      <c r="P98" s="364">
        <f t="shared" si="55"/>
        <v>0</v>
      </c>
      <c r="Q98" s="1475">
        <f t="shared" si="55"/>
        <v>40000</v>
      </c>
      <c r="R98" s="1475">
        <f t="shared" si="55"/>
        <v>0</v>
      </c>
      <c r="S98" s="1475">
        <f t="shared" si="55"/>
        <v>0</v>
      </c>
      <c r="T98" s="1475">
        <f t="shared" si="55"/>
        <v>0</v>
      </c>
      <c r="U98" s="1475">
        <f t="shared" si="55"/>
        <v>0</v>
      </c>
      <c r="V98" s="1486">
        <f t="shared" si="45"/>
        <v>40000</v>
      </c>
    </row>
    <row r="99" spans="1:22" s="39" customFormat="1" ht="24" customHeight="1">
      <c r="A99" s="1860">
        <v>1</v>
      </c>
      <c r="B99" s="1860"/>
      <c r="C99" s="1860"/>
      <c r="D99" s="1860"/>
      <c r="E99" s="1839"/>
      <c r="F99" s="1934"/>
      <c r="G99" s="1738"/>
      <c r="H99" s="1601"/>
      <c r="I99" s="1718"/>
      <c r="J99" s="40" t="s">
        <v>429</v>
      </c>
      <c r="K99" s="42"/>
      <c r="L99" s="364">
        <v>0</v>
      </c>
      <c r="M99" s="364">
        <v>0</v>
      </c>
      <c r="N99" s="364">
        <v>0</v>
      </c>
      <c r="O99" s="364">
        <v>0</v>
      </c>
      <c r="P99" s="364">
        <v>0</v>
      </c>
      <c r="Q99" s="1475">
        <f>L99*$H102</f>
        <v>0</v>
      </c>
      <c r="R99" s="1475">
        <f>M99*$H102</f>
        <v>0</v>
      </c>
      <c r="S99" s="1475">
        <f>N99*$H102</f>
        <v>0</v>
      </c>
      <c r="T99" s="1475">
        <f>O99*$H102</f>
        <v>0</v>
      </c>
      <c r="U99" s="1475">
        <f>P99*$H102</f>
        <v>0</v>
      </c>
      <c r="V99" s="1486">
        <f t="shared" si="45"/>
        <v>0</v>
      </c>
    </row>
    <row r="100" spans="1:22" s="39" customFormat="1" ht="24" customHeight="1">
      <c r="A100" s="1860">
        <v>1</v>
      </c>
      <c r="B100" s="1860"/>
      <c r="C100" s="1860"/>
      <c r="D100" s="1860"/>
      <c r="E100" s="1839"/>
      <c r="F100" s="1934"/>
      <c r="G100" s="1738"/>
      <c r="H100" s="1601"/>
      <c r="I100" s="1718"/>
      <c r="J100" s="40" t="s">
        <v>133</v>
      </c>
      <c r="K100" s="42"/>
      <c r="L100" s="364">
        <v>0</v>
      </c>
      <c r="M100" s="364">
        <v>0</v>
      </c>
      <c r="N100" s="364">
        <v>0</v>
      </c>
      <c r="O100" s="364">
        <v>0</v>
      </c>
      <c r="P100" s="364">
        <v>0</v>
      </c>
      <c r="Q100" s="1475">
        <f>L100*$H102</f>
        <v>0</v>
      </c>
      <c r="R100" s="1475">
        <f>M100*$H102</f>
        <v>0</v>
      </c>
      <c r="S100" s="1475">
        <f>N100*$H102</f>
        <v>0</v>
      </c>
      <c r="T100" s="1475">
        <f>O100*$H102</f>
        <v>0</v>
      </c>
      <c r="U100" s="1475">
        <f>P100*$H102</f>
        <v>0</v>
      </c>
      <c r="V100" s="1486">
        <f t="shared" si="45"/>
        <v>0</v>
      </c>
    </row>
    <row r="101" spans="1:22" s="39" customFormat="1" ht="24" customHeight="1">
      <c r="A101" s="1860">
        <v>1</v>
      </c>
      <c r="B101" s="1860"/>
      <c r="C101" s="1860"/>
      <c r="D101" s="1860"/>
      <c r="E101" s="1839"/>
      <c r="F101" s="1934"/>
      <c r="G101" s="1738"/>
      <c r="H101" s="1601"/>
      <c r="I101" s="1718"/>
      <c r="J101" s="40" t="s">
        <v>81</v>
      </c>
      <c r="K101" s="42"/>
      <c r="L101" s="364">
        <v>0</v>
      </c>
      <c r="M101" s="364">
        <v>0</v>
      </c>
      <c r="N101" s="364">
        <v>0</v>
      </c>
      <c r="O101" s="364">
        <v>0</v>
      </c>
      <c r="P101" s="364">
        <v>0</v>
      </c>
      <c r="Q101" s="1475">
        <f>L101*$H102</f>
        <v>0</v>
      </c>
      <c r="R101" s="1475">
        <f>M101*$H102</f>
        <v>0</v>
      </c>
      <c r="S101" s="1475">
        <f>N101*$H102</f>
        <v>0</v>
      </c>
      <c r="T101" s="1475">
        <f>O101*$H102</f>
        <v>0</v>
      </c>
      <c r="U101" s="1475">
        <f>P101*$H102</f>
        <v>0</v>
      </c>
      <c r="V101" s="1486">
        <f t="shared" si="45"/>
        <v>0</v>
      </c>
    </row>
    <row r="102" spans="1:22" s="39" customFormat="1" ht="24" customHeight="1">
      <c r="A102" s="1860">
        <v>1</v>
      </c>
      <c r="B102" s="1860"/>
      <c r="C102" s="1860"/>
      <c r="D102" s="1860"/>
      <c r="E102" s="1839"/>
      <c r="F102" s="1934"/>
      <c r="G102" s="1738"/>
      <c r="H102" s="1711">
        <f>'Budget assumption'!$C$4</f>
        <v>2000</v>
      </c>
      <c r="I102" s="1718"/>
      <c r="J102" s="40" t="s">
        <v>134</v>
      </c>
      <c r="K102" s="42"/>
      <c r="L102" s="364">
        <v>0</v>
      </c>
      <c r="M102" s="364">
        <v>0</v>
      </c>
      <c r="N102" s="364">
        <v>0</v>
      </c>
      <c r="O102" s="364">
        <f>O93*30%</f>
        <v>0</v>
      </c>
      <c r="P102" s="364">
        <f>P93*30%</f>
        <v>0</v>
      </c>
      <c r="Q102" s="1475">
        <f>L102*$H102</f>
        <v>0</v>
      </c>
      <c r="R102" s="1475">
        <f>M102*$H102</f>
        <v>0</v>
      </c>
      <c r="S102" s="1475">
        <f>N102*$H102</f>
        <v>0</v>
      </c>
      <c r="T102" s="1475">
        <f>O102*$H102</f>
        <v>0</v>
      </c>
      <c r="U102" s="1475">
        <f>P102*$H102</f>
        <v>0</v>
      </c>
      <c r="V102" s="1486">
        <f t="shared" si="45"/>
        <v>0</v>
      </c>
    </row>
    <row r="103" spans="1:22" s="39" customFormat="1" ht="24" customHeight="1">
      <c r="A103" s="1860">
        <v>1</v>
      </c>
      <c r="B103" s="1860"/>
      <c r="C103" s="1860"/>
      <c r="D103" s="1860"/>
      <c r="E103" s="1839"/>
      <c r="F103" s="1934"/>
      <c r="G103" s="1738"/>
      <c r="H103" s="1712"/>
      <c r="I103" s="1718"/>
      <c r="J103" s="40" t="s">
        <v>82</v>
      </c>
      <c r="K103" s="42"/>
      <c r="L103" s="364">
        <v>20</v>
      </c>
      <c r="M103" s="364">
        <v>0</v>
      </c>
      <c r="N103" s="364">
        <v>0</v>
      </c>
      <c r="O103" s="364">
        <v>0</v>
      </c>
      <c r="P103" s="364">
        <v>0</v>
      </c>
      <c r="Q103" s="1475">
        <f>L103*$H102</f>
        <v>40000</v>
      </c>
      <c r="R103" s="1475">
        <f>M103*$H102</f>
        <v>0</v>
      </c>
      <c r="S103" s="1475">
        <f>N103*$H102</f>
        <v>0</v>
      </c>
      <c r="T103" s="1475">
        <f>O103*$H102</f>
        <v>0</v>
      </c>
      <c r="U103" s="1475">
        <f>P103*$H102</f>
        <v>0</v>
      </c>
      <c r="V103" s="1486">
        <f t="shared" si="45"/>
        <v>40000</v>
      </c>
    </row>
    <row r="104" spans="1:22" s="39" customFormat="1" ht="24" customHeight="1">
      <c r="A104" s="1860">
        <v>1</v>
      </c>
      <c r="B104" s="1860"/>
      <c r="C104" s="1860"/>
      <c r="D104" s="1860"/>
      <c r="E104" s="1839"/>
      <c r="F104" s="1934"/>
      <c r="G104" s="1738"/>
      <c r="H104" s="1712"/>
      <c r="I104" s="1718"/>
      <c r="J104" s="40" t="s">
        <v>90</v>
      </c>
      <c r="K104" s="42"/>
      <c r="L104" s="364">
        <v>0</v>
      </c>
      <c r="M104" s="364">
        <v>0</v>
      </c>
      <c r="N104" s="364">
        <v>0</v>
      </c>
      <c r="O104" s="364">
        <v>0</v>
      </c>
      <c r="P104" s="364">
        <v>0</v>
      </c>
      <c r="Q104" s="1475">
        <f>L104*$H102</f>
        <v>0</v>
      </c>
      <c r="R104" s="1475">
        <f>M104*$H102</f>
        <v>0</v>
      </c>
      <c r="S104" s="1475">
        <f>N104*$H102</f>
        <v>0</v>
      </c>
      <c r="T104" s="1475">
        <f>O104*$H102</f>
        <v>0</v>
      </c>
      <c r="U104" s="1475">
        <f>P104*$H102</f>
        <v>0</v>
      </c>
      <c r="V104" s="1486">
        <f t="shared" si="45"/>
        <v>0</v>
      </c>
    </row>
    <row r="105" spans="1:22" s="39" customFormat="1" ht="24" customHeight="1">
      <c r="A105" s="1860">
        <v>1</v>
      </c>
      <c r="B105" s="1860"/>
      <c r="C105" s="1860"/>
      <c r="D105" s="1860"/>
      <c r="E105" s="1839"/>
      <c r="F105" s="1934"/>
      <c r="G105" s="1738"/>
      <c r="H105" s="1712"/>
      <c r="I105" s="1718"/>
      <c r="J105" s="40" t="s">
        <v>83</v>
      </c>
      <c r="K105" s="42"/>
      <c r="L105" s="364">
        <v>0</v>
      </c>
      <c r="M105" s="364">
        <v>0</v>
      </c>
      <c r="N105" s="364">
        <v>0</v>
      </c>
      <c r="O105" s="364">
        <v>0</v>
      </c>
      <c r="P105" s="364">
        <v>0</v>
      </c>
      <c r="Q105" s="1475">
        <f>L105*$H102</f>
        <v>0</v>
      </c>
      <c r="R105" s="1475">
        <f>M105*$H102</f>
        <v>0</v>
      </c>
      <c r="S105" s="1475">
        <f>N105*$H102</f>
        <v>0</v>
      </c>
      <c r="T105" s="1475">
        <f>O105*$H102</f>
        <v>0</v>
      </c>
      <c r="U105" s="1475">
        <f>P105*$H102</f>
        <v>0</v>
      </c>
      <c r="V105" s="1486">
        <f t="shared" si="45"/>
        <v>0</v>
      </c>
    </row>
    <row r="106" spans="1:22" s="39" customFormat="1" ht="24" customHeight="1" thickBot="1">
      <c r="A106" s="1860">
        <v>1</v>
      </c>
      <c r="B106" s="1860"/>
      <c r="C106" s="1860"/>
      <c r="D106" s="1860"/>
      <c r="E106" s="1839"/>
      <c r="F106" s="1935"/>
      <c r="G106" s="1926"/>
      <c r="H106" s="1713"/>
      <c r="I106" s="1719"/>
      <c r="J106" s="80" t="s">
        <v>84</v>
      </c>
      <c r="K106" s="81"/>
      <c r="L106" s="371">
        <f>L97-L98</f>
        <v>0</v>
      </c>
      <c r="M106" s="371">
        <f t="shared" ref="M106:U106" si="56">M97-M98</f>
        <v>0</v>
      </c>
      <c r="N106" s="371">
        <f t="shared" si="56"/>
        <v>0</v>
      </c>
      <c r="O106" s="371">
        <f t="shared" si="56"/>
        <v>20</v>
      </c>
      <c r="P106" s="371">
        <f t="shared" si="56"/>
        <v>0</v>
      </c>
      <c r="Q106" s="1487">
        <f t="shared" si="56"/>
        <v>0</v>
      </c>
      <c r="R106" s="1487">
        <f t="shared" si="56"/>
        <v>0</v>
      </c>
      <c r="S106" s="1487">
        <f t="shared" si="56"/>
        <v>0</v>
      </c>
      <c r="T106" s="1487">
        <f t="shared" si="56"/>
        <v>40000</v>
      </c>
      <c r="U106" s="1487">
        <f t="shared" si="56"/>
        <v>0</v>
      </c>
      <c r="V106" s="1488">
        <f t="shared" si="45"/>
        <v>40000</v>
      </c>
    </row>
    <row r="107" spans="1:22" s="46" customFormat="1" ht="24" customHeight="1">
      <c r="A107" s="1860">
        <v>1</v>
      </c>
      <c r="B107" s="1860">
        <v>1</v>
      </c>
      <c r="C107" s="1860">
        <v>3</v>
      </c>
      <c r="D107" s="1860">
        <v>3</v>
      </c>
      <c r="E107" s="1839" t="s">
        <v>49</v>
      </c>
      <c r="F107" s="2010" t="str">
        <f>CONCATENATE(A107,".",B107,".",C107,".",D107,)</f>
        <v>1.1.3.3</v>
      </c>
      <c r="G107" s="1721" t="s">
        <v>18</v>
      </c>
      <c r="H107" s="1936" t="s">
        <v>94</v>
      </c>
      <c r="I107" s="1714" t="s">
        <v>1128</v>
      </c>
      <c r="J107" s="874" t="s">
        <v>79</v>
      </c>
      <c r="K107" s="359">
        <v>19300</v>
      </c>
      <c r="L107" s="372">
        <f>'Budget assumption'!E120</f>
        <v>428.4</v>
      </c>
      <c r="M107" s="372">
        <f>'Budget assumption'!F120</f>
        <v>870.5</v>
      </c>
      <c r="N107" s="372">
        <f>'Budget assumption'!G120</f>
        <v>1218.7</v>
      </c>
      <c r="O107" s="372">
        <f>'Budget assumption'!H120</f>
        <v>1392.8</v>
      </c>
      <c r="P107" s="372">
        <f>'Budget assumption'!I120</f>
        <v>1741</v>
      </c>
      <c r="Q107" s="1489">
        <f>L107*$H$112</f>
        <v>750556.79999999993</v>
      </c>
      <c r="R107" s="1489">
        <f>M107*$H$112</f>
        <v>1525116</v>
      </c>
      <c r="S107" s="1489">
        <f>N107*$H$112</f>
        <v>2135162.4</v>
      </c>
      <c r="T107" s="1489">
        <f>O107*$H$112</f>
        <v>2440185.6</v>
      </c>
      <c r="U107" s="1489">
        <f>P107*$H$112</f>
        <v>3050232</v>
      </c>
      <c r="V107" s="1490">
        <f t="shared" si="45"/>
        <v>9901252.7999999989</v>
      </c>
    </row>
    <row r="108" spans="1:22" s="39" customFormat="1" ht="24" customHeight="1">
      <c r="A108" s="1860">
        <v>1</v>
      </c>
      <c r="B108" s="1860"/>
      <c r="C108" s="1860"/>
      <c r="D108" s="1860"/>
      <c r="E108" s="1839"/>
      <c r="F108" s="1841"/>
      <c r="G108" s="1721"/>
      <c r="H108" s="1685"/>
      <c r="I108" s="1715"/>
      <c r="J108" s="40" t="s">
        <v>80</v>
      </c>
      <c r="K108" s="41">
        <v>584</v>
      </c>
      <c r="L108" s="364">
        <f t="shared" ref="L108:P108" si="57">SUM(L109:L115)</f>
        <v>428.4</v>
      </c>
      <c r="M108" s="364">
        <f t="shared" si="57"/>
        <v>870.5</v>
      </c>
      <c r="N108" s="364">
        <f t="shared" si="57"/>
        <v>1218.7</v>
      </c>
      <c r="O108" s="364">
        <f t="shared" si="57"/>
        <v>1392.8</v>
      </c>
      <c r="P108" s="364">
        <f t="shared" si="57"/>
        <v>1741</v>
      </c>
      <c r="Q108" s="1475">
        <f t="shared" ref="Q108:U108" si="58">SUM(Q109:Q115)</f>
        <v>750556.79999999993</v>
      </c>
      <c r="R108" s="1475">
        <f t="shared" si="58"/>
        <v>1525116</v>
      </c>
      <c r="S108" s="1475">
        <f t="shared" si="58"/>
        <v>2135162.4000000004</v>
      </c>
      <c r="T108" s="1475">
        <f t="shared" si="58"/>
        <v>2440185.5999999996</v>
      </c>
      <c r="U108" s="1475">
        <f t="shared" si="58"/>
        <v>3050232</v>
      </c>
      <c r="V108" s="1476">
        <f t="shared" si="45"/>
        <v>9901252.8000000007</v>
      </c>
    </row>
    <row r="109" spans="1:22" s="39" customFormat="1" ht="24" customHeight="1">
      <c r="A109" s="1860">
        <v>1</v>
      </c>
      <c r="B109" s="1860"/>
      <c r="C109" s="1860"/>
      <c r="D109" s="1860"/>
      <c r="E109" s="1839"/>
      <c r="F109" s="1841"/>
      <c r="G109" s="1721"/>
      <c r="H109" s="1685"/>
      <c r="I109" s="1715"/>
      <c r="J109" s="40" t="s">
        <v>429</v>
      </c>
      <c r="K109" s="175">
        <v>12600</v>
      </c>
      <c r="L109" s="364">
        <f>'Budget assumption'!E121</f>
        <v>428.4</v>
      </c>
      <c r="M109" s="364">
        <f>'Budget assumption'!F121</f>
        <v>535.5</v>
      </c>
      <c r="N109" s="364">
        <f>'Budget assumption'!G121</f>
        <v>749.7</v>
      </c>
      <c r="O109" s="364">
        <f>'Budget assumption'!H121</f>
        <v>856.8</v>
      </c>
      <c r="P109" s="364">
        <f>'Budget assumption'!I121</f>
        <v>1071</v>
      </c>
      <c r="Q109" s="1475">
        <f>L109*$H112</f>
        <v>750556.79999999993</v>
      </c>
      <c r="R109" s="1475">
        <f>M109*$H112</f>
        <v>938196</v>
      </c>
      <c r="S109" s="1475">
        <f>N109*$H112</f>
        <v>1313474.4000000001</v>
      </c>
      <c r="T109" s="1475">
        <f>O109*$H112</f>
        <v>1501113.5999999999</v>
      </c>
      <c r="U109" s="1475">
        <f>P109*$H112</f>
        <v>1876392</v>
      </c>
      <c r="V109" s="1476">
        <f t="shared" si="45"/>
        <v>6379732.7999999998</v>
      </c>
    </row>
    <row r="110" spans="1:22" s="39" customFormat="1" ht="24" customHeight="1">
      <c r="A110" s="1860">
        <v>1</v>
      </c>
      <c r="B110" s="1860"/>
      <c r="C110" s="1860"/>
      <c r="D110" s="1860"/>
      <c r="E110" s="1839"/>
      <c r="F110" s="1841"/>
      <c r="G110" s="1721"/>
      <c r="H110" s="1685"/>
      <c r="I110" s="1715"/>
      <c r="J110" s="40" t="s">
        <v>133</v>
      </c>
      <c r="K110" s="42"/>
      <c r="L110" s="364">
        <v>0</v>
      </c>
      <c r="M110" s="364">
        <v>0</v>
      </c>
      <c r="N110" s="364">
        <v>0</v>
      </c>
      <c r="O110" s="364">
        <f>'Budget assumption'!H122</f>
        <v>536</v>
      </c>
      <c r="P110" s="364">
        <f>'Budget assumption'!I122</f>
        <v>670</v>
      </c>
      <c r="Q110" s="1475">
        <f>L110*$H112</f>
        <v>0</v>
      </c>
      <c r="R110" s="1475">
        <f>M110*$H112</f>
        <v>0</v>
      </c>
      <c r="S110" s="1475">
        <f>N110*$H112</f>
        <v>0</v>
      </c>
      <c r="T110" s="1475">
        <f>O110*$H112</f>
        <v>939072</v>
      </c>
      <c r="U110" s="1475">
        <f>P110*$H112</f>
        <v>1173840</v>
      </c>
      <c r="V110" s="1476">
        <f>SUM(Q110:U110)</f>
        <v>2112912</v>
      </c>
    </row>
    <row r="111" spans="1:22" s="39" customFormat="1" ht="24" customHeight="1">
      <c r="A111" s="1860">
        <v>1</v>
      </c>
      <c r="B111" s="1860"/>
      <c r="C111" s="1860"/>
      <c r="D111" s="1860"/>
      <c r="E111" s="1839"/>
      <c r="F111" s="1841"/>
      <c r="G111" s="1721"/>
      <c r="H111" s="1685"/>
      <c r="I111" s="1715"/>
      <c r="J111" s="40" t="s">
        <v>81</v>
      </c>
      <c r="K111" s="42"/>
      <c r="L111" s="364">
        <v>0</v>
      </c>
      <c r="M111" s="364">
        <v>0</v>
      </c>
      <c r="N111" s="364">
        <v>0</v>
      </c>
      <c r="O111" s="364">
        <v>0</v>
      </c>
      <c r="P111" s="364">
        <v>0</v>
      </c>
      <c r="Q111" s="1475">
        <f>L111*$H112</f>
        <v>0</v>
      </c>
      <c r="R111" s="1475">
        <f>M111*$H112</f>
        <v>0</v>
      </c>
      <c r="S111" s="1475">
        <f>N111*$H112</f>
        <v>0</v>
      </c>
      <c r="T111" s="1475">
        <f>O111*$H112</f>
        <v>0</v>
      </c>
      <c r="U111" s="1475">
        <f>P111*$H112</f>
        <v>0</v>
      </c>
      <c r="V111" s="1476">
        <f t="shared" si="45"/>
        <v>0</v>
      </c>
    </row>
    <row r="112" spans="1:22" s="39" customFormat="1" ht="24" customHeight="1">
      <c r="A112" s="1860">
        <v>1</v>
      </c>
      <c r="B112" s="1860"/>
      <c r="C112" s="1860"/>
      <c r="D112" s="1860"/>
      <c r="E112" s="1839"/>
      <c r="F112" s="1841"/>
      <c r="G112" s="1721"/>
      <c r="H112" s="1927">
        <f>'Budget assumption'!H504</f>
        <v>1752</v>
      </c>
      <c r="I112" s="1715"/>
      <c r="J112" s="40" t="s">
        <v>134</v>
      </c>
      <c r="K112" s="42"/>
      <c r="L112" s="364">
        <v>0</v>
      </c>
      <c r="M112" s="364">
        <f>M103*30%</f>
        <v>0</v>
      </c>
      <c r="N112" s="364">
        <v>0</v>
      </c>
      <c r="O112" s="364">
        <f>O103*30%</f>
        <v>0</v>
      </c>
      <c r="P112" s="364">
        <v>0</v>
      </c>
      <c r="Q112" s="1475">
        <f>L112*$H112</f>
        <v>0</v>
      </c>
      <c r="R112" s="1475">
        <f>M112*$H112</f>
        <v>0</v>
      </c>
      <c r="S112" s="1475">
        <f>N112*$H112</f>
        <v>0</v>
      </c>
      <c r="T112" s="1475">
        <f>O112*$H112</f>
        <v>0</v>
      </c>
      <c r="U112" s="1475">
        <f>P112*$H112</f>
        <v>0</v>
      </c>
      <c r="V112" s="1476">
        <f t="shared" si="45"/>
        <v>0</v>
      </c>
    </row>
    <row r="113" spans="1:22" s="39" customFormat="1" ht="24" customHeight="1">
      <c r="A113" s="1860">
        <v>1</v>
      </c>
      <c r="B113" s="1860"/>
      <c r="C113" s="1860"/>
      <c r="D113" s="1860"/>
      <c r="E113" s="1839"/>
      <c r="F113" s="1841"/>
      <c r="G113" s="1721"/>
      <c r="H113" s="1928"/>
      <c r="I113" s="1715"/>
      <c r="J113" s="40" t="s">
        <v>82</v>
      </c>
      <c r="K113" s="42"/>
      <c r="L113" s="364">
        <v>0</v>
      </c>
      <c r="M113" s="364">
        <v>0</v>
      </c>
      <c r="N113" s="364">
        <v>0</v>
      </c>
      <c r="O113" s="364">
        <v>0</v>
      </c>
      <c r="P113" s="364">
        <v>0</v>
      </c>
      <c r="Q113" s="1475">
        <f>L113*$H112</f>
        <v>0</v>
      </c>
      <c r="R113" s="1475">
        <f>M113*$H112</f>
        <v>0</v>
      </c>
      <c r="S113" s="1475">
        <f>N113*$H112</f>
        <v>0</v>
      </c>
      <c r="T113" s="1475">
        <f>O113*$H112</f>
        <v>0</v>
      </c>
      <c r="U113" s="1475">
        <f>P113*$H112</f>
        <v>0</v>
      </c>
      <c r="V113" s="1476">
        <f t="shared" si="45"/>
        <v>0</v>
      </c>
    </row>
    <row r="114" spans="1:22" s="39" customFormat="1" ht="24" customHeight="1">
      <c r="A114" s="1860">
        <v>1</v>
      </c>
      <c r="B114" s="1860"/>
      <c r="C114" s="1860"/>
      <c r="D114" s="1860"/>
      <c r="E114" s="1839"/>
      <c r="F114" s="1841"/>
      <c r="G114" s="1721"/>
      <c r="H114" s="1928"/>
      <c r="I114" s="1715"/>
      <c r="J114" s="40" t="s">
        <v>90</v>
      </c>
      <c r="K114" s="175">
        <v>6700</v>
      </c>
      <c r="L114" s="364">
        <v>0</v>
      </c>
      <c r="M114" s="364">
        <f>K114*0.05</f>
        <v>335</v>
      </c>
      <c r="N114" s="364">
        <f>K114*N86</f>
        <v>469.00000000000006</v>
      </c>
      <c r="O114" s="364">
        <v>0</v>
      </c>
      <c r="P114" s="364">
        <v>0</v>
      </c>
      <c r="Q114" s="1475">
        <f>L114*$H112</f>
        <v>0</v>
      </c>
      <c r="R114" s="1475">
        <f>M114*$H112</f>
        <v>586920</v>
      </c>
      <c r="S114" s="1475">
        <f>N114*$H112</f>
        <v>821688.00000000012</v>
      </c>
      <c r="T114" s="1475">
        <f>O114*$H112</f>
        <v>0</v>
      </c>
      <c r="U114" s="1475">
        <f>P114*$H112</f>
        <v>0</v>
      </c>
      <c r="V114" s="1476">
        <f t="shared" si="45"/>
        <v>1408608</v>
      </c>
    </row>
    <row r="115" spans="1:22" s="39" customFormat="1" ht="24" customHeight="1">
      <c r="A115" s="1860">
        <v>1</v>
      </c>
      <c r="B115" s="1860"/>
      <c r="C115" s="1860"/>
      <c r="D115" s="1860"/>
      <c r="E115" s="1839"/>
      <c r="F115" s="1841"/>
      <c r="G115" s="1721"/>
      <c r="H115" s="1928"/>
      <c r="I115" s="1715"/>
      <c r="J115" s="40" t="s">
        <v>83</v>
      </c>
      <c r="K115" s="42"/>
      <c r="L115" s="364">
        <v>0</v>
      </c>
      <c r="M115" s="364">
        <v>0</v>
      </c>
      <c r="N115" s="364">
        <v>0</v>
      </c>
      <c r="O115" s="364">
        <v>0</v>
      </c>
      <c r="P115" s="364">
        <v>0</v>
      </c>
      <c r="Q115" s="1475">
        <f>L115*$H112</f>
        <v>0</v>
      </c>
      <c r="R115" s="1475">
        <f>M115*$H112</f>
        <v>0</v>
      </c>
      <c r="S115" s="1475">
        <f>N115*$H112</f>
        <v>0</v>
      </c>
      <c r="T115" s="1475">
        <f>O115*$H112</f>
        <v>0</v>
      </c>
      <c r="U115" s="1475">
        <f>P115*$H112</f>
        <v>0</v>
      </c>
      <c r="V115" s="1476">
        <f t="shared" si="45"/>
        <v>0</v>
      </c>
    </row>
    <row r="116" spans="1:22" s="39" customFormat="1" ht="24" customHeight="1" thickBot="1">
      <c r="A116" s="1860">
        <v>1</v>
      </c>
      <c r="B116" s="1860"/>
      <c r="C116" s="1860"/>
      <c r="D116" s="1860"/>
      <c r="E116" s="1839"/>
      <c r="F116" s="1841"/>
      <c r="G116" s="1722"/>
      <c r="H116" s="1929"/>
      <c r="I116" s="1716"/>
      <c r="J116" s="40" t="s">
        <v>84</v>
      </c>
      <c r="K116" s="42"/>
      <c r="L116" s="364">
        <f t="shared" ref="L116:P116" si="59">L107-L108</f>
        <v>0</v>
      </c>
      <c r="M116" s="364">
        <f t="shared" si="59"/>
        <v>0</v>
      </c>
      <c r="N116" s="364">
        <f t="shared" si="59"/>
        <v>0</v>
      </c>
      <c r="O116" s="364">
        <f t="shared" si="59"/>
        <v>0</v>
      </c>
      <c r="P116" s="364">
        <f t="shared" si="59"/>
        <v>0</v>
      </c>
      <c r="Q116" s="1475">
        <f t="shared" ref="Q116:U116" si="60">Q107-Q108</f>
        <v>0</v>
      </c>
      <c r="R116" s="1475">
        <f t="shared" si="60"/>
        <v>0</v>
      </c>
      <c r="S116" s="1475">
        <f t="shared" si="60"/>
        <v>0</v>
      </c>
      <c r="T116" s="1475">
        <f t="shared" si="60"/>
        <v>0</v>
      </c>
      <c r="U116" s="1475">
        <f t="shared" si="60"/>
        <v>0</v>
      </c>
      <c r="V116" s="1476">
        <f t="shared" si="45"/>
        <v>0</v>
      </c>
    </row>
    <row r="117" spans="1:22" s="46" customFormat="1" ht="24" customHeight="1">
      <c r="A117" s="1860">
        <v>1</v>
      </c>
      <c r="B117" s="1860">
        <v>1</v>
      </c>
      <c r="C117" s="1860">
        <v>3</v>
      </c>
      <c r="D117" s="1860">
        <v>4</v>
      </c>
      <c r="E117" s="1839" t="s">
        <v>49</v>
      </c>
      <c r="F117" s="1841" t="str">
        <f>CONCATENATE(A117,".",B117,".",C117,".",D117,)</f>
        <v>1.1.3.4</v>
      </c>
      <c r="G117" s="1737" t="s">
        <v>19</v>
      </c>
      <c r="H117" s="1601" t="s">
        <v>94</v>
      </c>
      <c r="I117" s="1717" t="s">
        <v>1128</v>
      </c>
      <c r="J117" s="869" t="s">
        <v>79</v>
      </c>
      <c r="K117" s="48"/>
      <c r="L117" s="366">
        <f>'Budget assumption'!E124</f>
        <v>75.599999999999994</v>
      </c>
      <c r="M117" s="366">
        <f>'Budget assumption'!F124</f>
        <v>94.5</v>
      </c>
      <c r="N117" s="366">
        <f>'Budget assumption'!G124</f>
        <v>132.30000000000001</v>
      </c>
      <c r="O117" s="366">
        <f>'Budget assumption'!H124</f>
        <v>151.19999999999999</v>
      </c>
      <c r="P117" s="366">
        <f>'Budget assumption'!I124</f>
        <v>189</v>
      </c>
      <c r="Q117" s="1475">
        <f>L117*$H$122</f>
        <v>366660</v>
      </c>
      <c r="R117" s="1475">
        <f>M117*$H$122</f>
        <v>458325</v>
      </c>
      <c r="S117" s="1475">
        <f>N117*$H$122</f>
        <v>641655</v>
      </c>
      <c r="T117" s="1475">
        <f>O117*$H$122</f>
        <v>733320</v>
      </c>
      <c r="U117" s="1475">
        <f>P117*$H$122</f>
        <v>916650</v>
      </c>
      <c r="V117" s="1476">
        <f t="shared" si="45"/>
        <v>3116610</v>
      </c>
    </row>
    <row r="118" spans="1:22" s="39" customFormat="1" ht="24" customHeight="1">
      <c r="A118" s="1860">
        <v>1</v>
      </c>
      <c r="B118" s="1860"/>
      <c r="C118" s="1860"/>
      <c r="D118" s="1860"/>
      <c r="E118" s="1839"/>
      <c r="F118" s="1841"/>
      <c r="G118" s="1738"/>
      <c r="H118" s="1601"/>
      <c r="I118" s="1718"/>
      <c r="J118" s="40" t="s">
        <v>80</v>
      </c>
      <c r="K118" s="357"/>
      <c r="L118" s="366">
        <f t="shared" ref="L118:P118" si="61">SUM(L119:L125)</f>
        <v>75.599999999999994</v>
      </c>
      <c r="M118" s="366">
        <f t="shared" si="61"/>
        <v>94.5</v>
      </c>
      <c r="N118" s="366">
        <f t="shared" si="61"/>
        <v>132.30000000000001</v>
      </c>
      <c r="O118" s="366">
        <f t="shared" si="61"/>
        <v>151.19999999999999</v>
      </c>
      <c r="P118" s="366">
        <f t="shared" si="61"/>
        <v>189</v>
      </c>
      <c r="Q118" s="1475">
        <f t="shared" ref="Q118:U118" si="62">SUM(Q119:Q125)</f>
        <v>366660</v>
      </c>
      <c r="R118" s="1475">
        <f t="shared" si="62"/>
        <v>458325</v>
      </c>
      <c r="S118" s="1475">
        <f t="shared" si="62"/>
        <v>641655</v>
      </c>
      <c r="T118" s="1475">
        <f t="shared" si="62"/>
        <v>733320</v>
      </c>
      <c r="U118" s="1475">
        <f t="shared" si="62"/>
        <v>916650</v>
      </c>
      <c r="V118" s="1476">
        <f t="shared" si="45"/>
        <v>3116610</v>
      </c>
    </row>
    <row r="119" spans="1:22" s="39" customFormat="1" ht="24" customHeight="1">
      <c r="A119" s="1860">
        <v>1</v>
      </c>
      <c r="B119" s="1860"/>
      <c r="C119" s="1860"/>
      <c r="D119" s="1860"/>
      <c r="E119" s="1839"/>
      <c r="F119" s="1841"/>
      <c r="G119" s="1738"/>
      <c r="H119" s="1601"/>
      <c r="I119" s="1718"/>
      <c r="J119" s="40" t="s">
        <v>429</v>
      </c>
      <c r="K119" s="357"/>
      <c r="L119" s="366">
        <f>'Budget assumption'!E125</f>
        <v>75.599999999999994</v>
      </c>
      <c r="M119" s="366">
        <f>'Budget assumption'!F125</f>
        <v>94.5</v>
      </c>
      <c r="N119" s="366">
        <f>'Budget assumption'!G125</f>
        <v>132.30000000000001</v>
      </c>
      <c r="O119" s="366">
        <f>'Budget assumption'!H125</f>
        <v>151.19999999999999</v>
      </c>
      <c r="P119" s="366">
        <f>'Budget assumption'!I125</f>
        <v>189</v>
      </c>
      <c r="Q119" s="1475">
        <f>L119*$H122</f>
        <v>366660</v>
      </c>
      <c r="R119" s="1475">
        <f>M119*$H122</f>
        <v>458325</v>
      </c>
      <c r="S119" s="1475">
        <f>N119*$H122</f>
        <v>641655</v>
      </c>
      <c r="T119" s="1475">
        <f>O119*$H122</f>
        <v>733320</v>
      </c>
      <c r="U119" s="1475">
        <f>P119*$H122</f>
        <v>916650</v>
      </c>
      <c r="V119" s="1476">
        <f t="shared" si="45"/>
        <v>3116610</v>
      </c>
    </row>
    <row r="120" spans="1:22" s="39" customFormat="1" ht="24" customHeight="1">
      <c r="A120" s="1860">
        <v>1</v>
      </c>
      <c r="B120" s="1860"/>
      <c r="C120" s="1860"/>
      <c r="D120" s="1860"/>
      <c r="E120" s="1839"/>
      <c r="F120" s="1841"/>
      <c r="G120" s="1738"/>
      <c r="H120" s="1601"/>
      <c r="I120" s="1718"/>
      <c r="J120" s="40" t="s">
        <v>133</v>
      </c>
      <c r="K120" s="357"/>
      <c r="L120" s="366">
        <v>0</v>
      </c>
      <c r="M120" s="366">
        <v>0</v>
      </c>
      <c r="N120" s="366">
        <v>0</v>
      </c>
      <c r="O120" s="366">
        <v>0</v>
      </c>
      <c r="P120" s="366">
        <v>0</v>
      </c>
      <c r="Q120" s="1475">
        <f>L120*$H122</f>
        <v>0</v>
      </c>
      <c r="R120" s="1475">
        <f>M120*$H122</f>
        <v>0</v>
      </c>
      <c r="S120" s="1475">
        <f>N120*$H122</f>
        <v>0</v>
      </c>
      <c r="T120" s="1475">
        <f>O120*$H122</f>
        <v>0</v>
      </c>
      <c r="U120" s="1475">
        <f>P120*$H122</f>
        <v>0</v>
      </c>
      <c r="V120" s="1476">
        <f t="shared" si="45"/>
        <v>0</v>
      </c>
    </row>
    <row r="121" spans="1:22" s="39" customFormat="1" ht="24" customHeight="1">
      <c r="A121" s="1860">
        <v>1</v>
      </c>
      <c r="B121" s="1860"/>
      <c r="C121" s="1860"/>
      <c r="D121" s="1860"/>
      <c r="E121" s="1839"/>
      <c r="F121" s="1841"/>
      <c r="G121" s="1738"/>
      <c r="H121" s="1601"/>
      <c r="I121" s="1718"/>
      <c r="J121" s="40" t="s">
        <v>81</v>
      </c>
      <c r="K121" s="357"/>
      <c r="L121" s="366">
        <v>0</v>
      </c>
      <c r="M121" s="366">
        <v>0</v>
      </c>
      <c r="N121" s="366">
        <v>0</v>
      </c>
      <c r="O121" s="366">
        <v>0</v>
      </c>
      <c r="P121" s="366">
        <v>0</v>
      </c>
      <c r="Q121" s="1475">
        <f>L121*$H122</f>
        <v>0</v>
      </c>
      <c r="R121" s="1475">
        <f>M121*$H122</f>
        <v>0</v>
      </c>
      <c r="S121" s="1475">
        <f>N121*$H122</f>
        <v>0</v>
      </c>
      <c r="T121" s="1475">
        <f>O121*$H122</f>
        <v>0</v>
      </c>
      <c r="U121" s="1475">
        <f>P121*$H122</f>
        <v>0</v>
      </c>
      <c r="V121" s="1476">
        <f t="shared" si="45"/>
        <v>0</v>
      </c>
    </row>
    <row r="122" spans="1:22" s="39" customFormat="1" ht="24" customHeight="1">
      <c r="A122" s="1860">
        <v>1</v>
      </c>
      <c r="B122" s="1860"/>
      <c r="C122" s="1860"/>
      <c r="D122" s="1860"/>
      <c r="E122" s="1839"/>
      <c r="F122" s="1841"/>
      <c r="G122" s="1738"/>
      <c r="H122" s="1711">
        <v>4850</v>
      </c>
      <c r="I122" s="1718"/>
      <c r="J122" s="40" t="s">
        <v>134</v>
      </c>
      <c r="K122" s="357"/>
      <c r="L122" s="366">
        <v>0</v>
      </c>
      <c r="M122" s="366">
        <v>0</v>
      </c>
      <c r="N122" s="366">
        <v>0</v>
      </c>
      <c r="O122" s="366">
        <v>0</v>
      </c>
      <c r="P122" s="366">
        <v>0</v>
      </c>
      <c r="Q122" s="1475">
        <f>L122*$H122</f>
        <v>0</v>
      </c>
      <c r="R122" s="1475">
        <f>M122*$H122</f>
        <v>0</v>
      </c>
      <c r="S122" s="1475">
        <f>N122*$H122</f>
        <v>0</v>
      </c>
      <c r="T122" s="1475">
        <f>O122*$H122</f>
        <v>0</v>
      </c>
      <c r="U122" s="1475">
        <f>P122*$H122</f>
        <v>0</v>
      </c>
      <c r="V122" s="1476">
        <f t="shared" si="45"/>
        <v>0</v>
      </c>
    </row>
    <row r="123" spans="1:22" s="39" customFormat="1" ht="24" customHeight="1">
      <c r="A123" s="1860">
        <v>1</v>
      </c>
      <c r="B123" s="1860"/>
      <c r="C123" s="1860"/>
      <c r="D123" s="1860"/>
      <c r="E123" s="1839"/>
      <c r="F123" s="1841"/>
      <c r="G123" s="1738"/>
      <c r="H123" s="1712"/>
      <c r="I123" s="1718"/>
      <c r="J123" s="40" t="s">
        <v>82</v>
      </c>
      <c r="K123" s="357"/>
      <c r="L123" s="366">
        <v>0</v>
      </c>
      <c r="M123" s="366">
        <v>0</v>
      </c>
      <c r="N123" s="366">
        <v>0</v>
      </c>
      <c r="O123" s="366">
        <v>0</v>
      </c>
      <c r="P123" s="366">
        <v>0</v>
      </c>
      <c r="Q123" s="1475">
        <f>L123*$H122</f>
        <v>0</v>
      </c>
      <c r="R123" s="1475">
        <f>M123*$H122</f>
        <v>0</v>
      </c>
      <c r="S123" s="1475">
        <f>N123*$H122</f>
        <v>0</v>
      </c>
      <c r="T123" s="1475">
        <f>O123*$H122</f>
        <v>0</v>
      </c>
      <c r="U123" s="1475">
        <f>P123*$H122</f>
        <v>0</v>
      </c>
      <c r="V123" s="1476">
        <f t="shared" ref="V123:V196" si="63">SUM(Q123:U123)</f>
        <v>0</v>
      </c>
    </row>
    <row r="124" spans="1:22" s="39" customFormat="1" ht="24" customHeight="1">
      <c r="A124" s="1860">
        <v>1</v>
      </c>
      <c r="B124" s="1860"/>
      <c r="C124" s="1860"/>
      <c r="D124" s="1860"/>
      <c r="E124" s="1839"/>
      <c r="F124" s="1841"/>
      <c r="G124" s="1738"/>
      <c r="H124" s="1712"/>
      <c r="I124" s="1718"/>
      <c r="J124" s="40" t="s">
        <v>90</v>
      </c>
      <c r="K124" s="357"/>
      <c r="L124" s="366">
        <v>0</v>
      </c>
      <c r="M124" s="366">
        <v>0</v>
      </c>
      <c r="N124" s="366">
        <v>0</v>
      </c>
      <c r="O124" s="366">
        <v>0</v>
      </c>
      <c r="P124" s="366">
        <v>0</v>
      </c>
      <c r="Q124" s="1475">
        <f>L124*$H122</f>
        <v>0</v>
      </c>
      <c r="R124" s="1475">
        <f>M124*$H122</f>
        <v>0</v>
      </c>
      <c r="S124" s="1475">
        <f>N124*$H122</f>
        <v>0</v>
      </c>
      <c r="T124" s="1475">
        <f>O124*$H122</f>
        <v>0</v>
      </c>
      <c r="U124" s="1475">
        <f>P124*$H122</f>
        <v>0</v>
      </c>
      <c r="V124" s="1476">
        <f t="shared" si="63"/>
        <v>0</v>
      </c>
    </row>
    <row r="125" spans="1:22" s="39" customFormat="1" ht="24" customHeight="1">
      <c r="A125" s="1860">
        <v>1</v>
      </c>
      <c r="B125" s="1860"/>
      <c r="C125" s="1860"/>
      <c r="D125" s="1860"/>
      <c r="E125" s="1839"/>
      <c r="F125" s="1841"/>
      <c r="G125" s="1738"/>
      <c r="H125" s="1712"/>
      <c r="I125" s="1718"/>
      <c r="J125" s="40" t="s">
        <v>83</v>
      </c>
      <c r="K125" s="357"/>
      <c r="L125" s="366">
        <v>0</v>
      </c>
      <c r="M125" s="366">
        <v>0</v>
      </c>
      <c r="N125" s="366">
        <v>0</v>
      </c>
      <c r="O125" s="366">
        <v>0</v>
      </c>
      <c r="P125" s="366">
        <v>0</v>
      </c>
      <c r="Q125" s="1475">
        <f>L125*$H122</f>
        <v>0</v>
      </c>
      <c r="R125" s="1475">
        <f>M125*$H122</f>
        <v>0</v>
      </c>
      <c r="S125" s="1475">
        <f>N125*$H122</f>
        <v>0</v>
      </c>
      <c r="T125" s="1475">
        <f>O125*$H122</f>
        <v>0</v>
      </c>
      <c r="U125" s="1475">
        <f>P125*$H122</f>
        <v>0</v>
      </c>
      <c r="V125" s="1476">
        <f t="shared" si="63"/>
        <v>0</v>
      </c>
    </row>
    <row r="126" spans="1:22" s="39" customFormat="1" ht="24" customHeight="1" thickBot="1">
      <c r="A126" s="1860">
        <v>1</v>
      </c>
      <c r="B126" s="1860"/>
      <c r="C126" s="1860"/>
      <c r="D126" s="1860"/>
      <c r="E126" s="1839"/>
      <c r="F126" s="1841"/>
      <c r="G126" s="1739"/>
      <c r="H126" s="1713"/>
      <c r="I126" s="1719"/>
      <c r="J126" s="40" t="s">
        <v>84</v>
      </c>
      <c r="K126" s="357"/>
      <c r="L126" s="366">
        <f>L117-L118</f>
        <v>0</v>
      </c>
      <c r="M126" s="366">
        <v>0</v>
      </c>
      <c r="N126" s="366">
        <f t="shared" ref="N126:P126" si="64">N117-N118</f>
        <v>0</v>
      </c>
      <c r="O126" s="366">
        <f t="shared" si="64"/>
        <v>0</v>
      </c>
      <c r="P126" s="366">
        <f t="shared" si="64"/>
        <v>0</v>
      </c>
      <c r="Q126" s="1475">
        <f t="shared" ref="Q126:U126" si="65">Q117-Q118</f>
        <v>0</v>
      </c>
      <c r="R126" s="1475">
        <f t="shared" si="65"/>
        <v>0</v>
      </c>
      <c r="S126" s="1475">
        <f t="shared" si="65"/>
        <v>0</v>
      </c>
      <c r="T126" s="1475">
        <f t="shared" si="65"/>
        <v>0</v>
      </c>
      <c r="U126" s="1475">
        <f t="shared" si="65"/>
        <v>0</v>
      </c>
      <c r="V126" s="1476">
        <f t="shared" si="63"/>
        <v>0</v>
      </c>
    </row>
    <row r="127" spans="1:22" s="46" customFormat="1" ht="24" customHeight="1">
      <c r="A127" s="1860">
        <v>1</v>
      </c>
      <c r="B127" s="1860">
        <v>1</v>
      </c>
      <c r="C127" s="1860">
        <v>3</v>
      </c>
      <c r="D127" s="1860">
        <v>5</v>
      </c>
      <c r="E127" s="1839" t="s">
        <v>49</v>
      </c>
      <c r="F127" s="1841" t="str">
        <f>CONCATENATE(A127,".",B127,".",C127,".",D127,)</f>
        <v>1.1.3.5</v>
      </c>
      <c r="G127" s="1720" t="s">
        <v>1108</v>
      </c>
      <c r="H127" s="1685" t="s">
        <v>95</v>
      </c>
      <c r="I127" s="1723" t="s">
        <v>1418</v>
      </c>
      <c r="J127" s="869" t="s">
        <v>79</v>
      </c>
      <c r="K127" s="48"/>
      <c r="L127" s="364">
        <v>2</v>
      </c>
      <c r="M127" s="364">
        <v>4</v>
      </c>
      <c r="N127" s="364">
        <v>4</v>
      </c>
      <c r="O127" s="364">
        <f>'Budget assumption'!G499</f>
        <v>2.2382181039893809</v>
      </c>
      <c r="P127" s="364">
        <f>'Budget assumption'!H499</f>
        <v>2.4342709115791856</v>
      </c>
      <c r="Q127" s="1475">
        <f>L127*$H$132</f>
        <v>69547.039999999994</v>
      </c>
      <c r="R127" s="1475">
        <f>M127*$H$132</f>
        <v>139094.07999999999</v>
      </c>
      <c r="S127" s="1475">
        <f>N127*$H$132</f>
        <v>139094.07999999999</v>
      </c>
      <c r="T127" s="1475">
        <f>O127*$H$132</f>
        <v>77830.722003436807</v>
      </c>
      <c r="U127" s="1475">
        <f>P127*$H$132</f>
        <v>84648.16822921703</v>
      </c>
      <c r="V127" s="1476">
        <f t="shared" si="63"/>
        <v>510214.09023265378</v>
      </c>
    </row>
    <row r="128" spans="1:22" s="39" customFormat="1" ht="24" customHeight="1">
      <c r="A128" s="1860">
        <v>1</v>
      </c>
      <c r="B128" s="1860"/>
      <c r="C128" s="1860"/>
      <c r="D128" s="1860"/>
      <c r="E128" s="1839"/>
      <c r="F128" s="1841"/>
      <c r="G128" s="1721"/>
      <c r="H128" s="1685"/>
      <c r="I128" s="1724"/>
      <c r="J128" s="40" t="s">
        <v>80</v>
      </c>
      <c r="K128" s="42"/>
      <c r="L128" s="364">
        <v>2</v>
      </c>
      <c r="M128" s="364">
        <f t="shared" ref="M128:P128" si="66">SUM(M129:M135)</f>
        <v>4</v>
      </c>
      <c r="N128" s="364">
        <f t="shared" si="66"/>
        <v>4</v>
      </c>
      <c r="O128" s="364">
        <f t="shared" si="66"/>
        <v>0</v>
      </c>
      <c r="P128" s="364">
        <f t="shared" si="66"/>
        <v>0</v>
      </c>
      <c r="Q128" s="1475">
        <f t="shared" ref="Q128:U128" si="67">SUM(Q129:Q135)</f>
        <v>69547.039999999994</v>
      </c>
      <c r="R128" s="1475">
        <f t="shared" si="67"/>
        <v>139094.07999999999</v>
      </c>
      <c r="S128" s="1475">
        <f t="shared" si="67"/>
        <v>139094.07999999999</v>
      </c>
      <c r="T128" s="1475">
        <f t="shared" si="67"/>
        <v>0</v>
      </c>
      <c r="U128" s="1475">
        <f t="shared" si="67"/>
        <v>0</v>
      </c>
      <c r="V128" s="1476">
        <f t="shared" si="63"/>
        <v>347735.19999999995</v>
      </c>
    </row>
    <row r="129" spans="1:22" s="39" customFormat="1" ht="24" customHeight="1">
      <c r="A129" s="1860">
        <v>1</v>
      </c>
      <c r="B129" s="1860"/>
      <c r="C129" s="1860"/>
      <c r="D129" s="1860"/>
      <c r="E129" s="1839"/>
      <c r="F129" s="1841"/>
      <c r="G129" s="1721"/>
      <c r="H129" s="1685"/>
      <c r="I129" s="1724"/>
      <c r="J129" s="40" t="s">
        <v>429</v>
      </c>
      <c r="K129" s="42"/>
      <c r="L129" s="364">
        <v>0</v>
      </c>
      <c r="M129" s="364">
        <v>0</v>
      </c>
      <c r="N129" s="364">
        <v>0</v>
      </c>
      <c r="O129" s="364">
        <v>0</v>
      </c>
      <c r="P129" s="364">
        <v>0</v>
      </c>
      <c r="Q129" s="1475">
        <f>L129*$H132</f>
        <v>0</v>
      </c>
      <c r="R129" s="1475">
        <f>M129*$H132</f>
        <v>0</v>
      </c>
      <c r="S129" s="1475">
        <f>N129*$H132</f>
        <v>0</v>
      </c>
      <c r="T129" s="1475">
        <f>O129*$H132</f>
        <v>0</v>
      </c>
      <c r="U129" s="1475">
        <f>P129*$H132</f>
        <v>0</v>
      </c>
      <c r="V129" s="1476">
        <f t="shared" si="63"/>
        <v>0</v>
      </c>
    </row>
    <row r="130" spans="1:22" s="39" customFormat="1" ht="24" customHeight="1">
      <c r="A130" s="1860">
        <v>1</v>
      </c>
      <c r="B130" s="1860"/>
      <c r="C130" s="1860"/>
      <c r="D130" s="1860"/>
      <c r="E130" s="1839"/>
      <c r="F130" s="1841"/>
      <c r="G130" s="1721"/>
      <c r="H130" s="1685"/>
      <c r="I130" s="1724"/>
      <c r="J130" s="40" t="s">
        <v>133</v>
      </c>
      <c r="K130" s="42"/>
      <c r="L130" s="364">
        <v>0</v>
      </c>
      <c r="M130" s="364">
        <v>0</v>
      </c>
      <c r="N130" s="364">
        <v>0</v>
      </c>
      <c r="O130" s="364">
        <v>0</v>
      </c>
      <c r="P130" s="364">
        <v>0</v>
      </c>
      <c r="Q130" s="1475">
        <f>L130*$H132</f>
        <v>0</v>
      </c>
      <c r="R130" s="1475">
        <f>M130*$H132</f>
        <v>0</v>
      </c>
      <c r="S130" s="1475">
        <f>N130*$H132</f>
        <v>0</v>
      </c>
      <c r="T130" s="1475">
        <f>O130*$H132</f>
        <v>0</v>
      </c>
      <c r="U130" s="1475">
        <f>P130*$H132</f>
        <v>0</v>
      </c>
      <c r="V130" s="1476">
        <f t="shared" si="63"/>
        <v>0</v>
      </c>
    </row>
    <row r="131" spans="1:22" s="39" customFormat="1" ht="24" customHeight="1">
      <c r="A131" s="1860">
        <v>1</v>
      </c>
      <c r="B131" s="1860"/>
      <c r="C131" s="1860"/>
      <c r="D131" s="1860"/>
      <c r="E131" s="1839"/>
      <c r="F131" s="1841"/>
      <c r="G131" s="1721"/>
      <c r="H131" s="1685"/>
      <c r="I131" s="1724"/>
      <c r="J131" s="40" t="s">
        <v>81</v>
      </c>
      <c r="K131" s="42"/>
      <c r="L131" s="364">
        <v>0</v>
      </c>
      <c r="M131" s="364">
        <v>0</v>
      </c>
      <c r="N131" s="364">
        <v>0</v>
      </c>
      <c r="O131" s="364">
        <v>0</v>
      </c>
      <c r="P131" s="364">
        <v>0</v>
      </c>
      <c r="Q131" s="1475">
        <f>L131*$H132</f>
        <v>0</v>
      </c>
      <c r="R131" s="1475">
        <f>M131*$H132</f>
        <v>0</v>
      </c>
      <c r="S131" s="1475">
        <f>N131*$H132</f>
        <v>0</v>
      </c>
      <c r="T131" s="1475">
        <f>O131*$H132</f>
        <v>0</v>
      </c>
      <c r="U131" s="1475">
        <f>P131*$H132</f>
        <v>0</v>
      </c>
      <c r="V131" s="1476">
        <f t="shared" si="63"/>
        <v>0</v>
      </c>
    </row>
    <row r="132" spans="1:22" s="39" customFormat="1" ht="24" customHeight="1">
      <c r="A132" s="1860">
        <v>1</v>
      </c>
      <c r="B132" s="1860"/>
      <c r="C132" s="1860"/>
      <c r="D132" s="1860"/>
      <c r="E132" s="1839"/>
      <c r="F132" s="1841"/>
      <c r="G132" s="1721"/>
      <c r="H132" s="1927">
        <v>34773.519999999997</v>
      </c>
      <c r="I132" s="1724"/>
      <c r="J132" s="40" t="s">
        <v>134</v>
      </c>
      <c r="K132" s="42"/>
      <c r="L132" s="364">
        <v>0</v>
      </c>
      <c r="M132" s="364">
        <v>0</v>
      </c>
      <c r="N132" s="364">
        <v>0</v>
      </c>
      <c r="O132" s="364">
        <v>0</v>
      </c>
      <c r="P132" s="364">
        <v>0</v>
      </c>
      <c r="Q132" s="1475">
        <f>L132*$H132</f>
        <v>0</v>
      </c>
      <c r="R132" s="1475">
        <f>M132*$H132</f>
        <v>0</v>
      </c>
      <c r="S132" s="1475">
        <f>N132*$H132</f>
        <v>0</v>
      </c>
      <c r="T132" s="1475">
        <f>O132*$H132</f>
        <v>0</v>
      </c>
      <c r="U132" s="1475">
        <f>P132*$H132</f>
        <v>0</v>
      </c>
      <c r="V132" s="1476">
        <f t="shared" si="63"/>
        <v>0</v>
      </c>
    </row>
    <row r="133" spans="1:22" s="39" customFormat="1" ht="24" customHeight="1">
      <c r="A133" s="1860">
        <v>1</v>
      </c>
      <c r="B133" s="1860"/>
      <c r="C133" s="1860"/>
      <c r="D133" s="1860"/>
      <c r="E133" s="1839"/>
      <c r="F133" s="1841"/>
      <c r="G133" s="1721"/>
      <c r="H133" s="1928"/>
      <c r="I133" s="1724"/>
      <c r="J133" s="40" t="s">
        <v>82</v>
      </c>
      <c r="K133" s="42"/>
      <c r="L133" s="364">
        <v>2</v>
      </c>
      <c r="M133" s="364">
        <v>3</v>
      </c>
      <c r="N133" s="364">
        <v>3</v>
      </c>
      <c r="O133" s="364">
        <v>0</v>
      </c>
      <c r="P133" s="364">
        <v>0</v>
      </c>
      <c r="Q133" s="1475">
        <f>H132*L133</f>
        <v>69547.039999999994</v>
      </c>
      <c r="R133" s="1475">
        <f>H132*M133</f>
        <v>104320.56</v>
      </c>
      <c r="S133" s="1475">
        <f>N133*$H132</f>
        <v>104320.56</v>
      </c>
      <c r="T133" s="1475">
        <v>0</v>
      </c>
      <c r="U133" s="1475">
        <v>0</v>
      </c>
      <c r="V133" s="1476">
        <f t="shared" si="63"/>
        <v>278188.15999999997</v>
      </c>
    </row>
    <row r="134" spans="1:22" s="39" customFormat="1" ht="24" customHeight="1">
      <c r="A134" s="1860">
        <v>1</v>
      </c>
      <c r="B134" s="1860"/>
      <c r="C134" s="1860"/>
      <c r="D134" s="1860"/>
      <c r="E134" s="1839"/>
      <c r="F134" s="1841"/>
      <c r="G134" s="1721"/>
      <c r="H134" s="1928"/>
      <c r="I134" s="1724"/>
      <c r="J134" s="40" t="s">
        <v>90</v>
      </c>
      <c r="K134" s="42"/>
      <c r="L134" s="364">
        <v>0</v>
      </c>
      <c r="M134" s="364">
        <f>M127*0.25</f>
        <v>1</v>
      </c>
      <c r="N134" s="364">
        <f>N127*0.25</f>
        <v>1</v>
      </c>
      <c r="O134" s="364">
        <v>0</v>
      </c>
      <c r="P134" s="364">
        <v>0</v>
      </c>
      <c r="Q134" s="1475">
        <f>L134*$H132</f>
        <v>0</v>
      </c>
      <c r="R134" s="1475">
        <f>H132*M134</f>
        <v>34773.519999999997</v>
      </c>
      <c r="S134" s="1475">
        <f>N134*$H132</f>
        <v>34773.519999999997</v>
      </c>
      <c r="T134" s="1475">
        <f>O134*$H132</f>
        <v>0</v>
      </c>
      <c r="U134" s="1475">
        <f>P134*$H132</f>
        <v>0</v>
      </c>
      <c r="V134" s="1476">
        <f t="shared" si="63"/>
        <v>69547.039999999994</v>
      </c>
    </row>
    <row r="135" spans="1:22" s="39" customFormat="1" ht="24" customHeight="1">
      <c r="A135" s="1860">
        <v>1</v>
      </c>
      <c r="B135" s="1860"/>
      <c r="C135" s="1860"/>
      <c r="D135" s="1860"/>
      <c r="E135" s="1839"/>
      <c r="F135" s="1841"/>
      <c r="G135" s="1721"/>
      <c r="H135" s="1928"/>
      <c r="I135" s="1724"/>
      <c r="J135" s="40" t="s">
        <v>83</v>
      </c>
      <c r="K135" s="42"/>
      <c r="L135" s="364">
        <v>0</v>
      </c>
      <c r="M135" s="364">
        <v>0</v>
      </c>
      <c r="N135" s="364">
        <v>0</v>
      </c>
      <c r="O135" s="364">
        <v>0</v>
      </c>
      <c r="P135" s="364">
        <v>0</v>
      </c>
      <c r="Q135" s="1475">
        <f>L135*$H132</f>
        <v>0</v>
      </c>
      <c r="R135" s="1475">
        <f>M135*$H132</f>
        <v>0</v>
      </c>
      <c r="S135" s="1475">
        <f>N135*$H132</f>
        <v>0</v>
      </c>
      <c r="T135" s="1475">
        <f>O135*$H132</f>
        <v>0</v>
      </c>
      <c r="U135" s="1475">
        <f>P135*$H132</f>
        <v>0</v>
      </c>
      <c r="V135" s="1476">
        <f t="shared" si="63"/>
        <v>0</v>
      </c>
    </row>
    <row r="136" spans="1:22" s="39" customFormat="1" ht="29.25" customHeight="1" thickBot="1">
      <c r="A136" s="1860">
        <v>1</v>
      </c>
      <c r="B136" s="1860"/>
      <c r="C136" s="1860"/>
      <c r="D136" s="1860"/>
      <c r="E136" s="1839"/>
      <c r="F136" s="1841"/>
      <c r="G136" s="1722"/>
      <c r="H136" s="1929"/>
      <c r="I136" s="1725"/>
      <c r="J136" s="40" t="s">
        <v>84</v>
      </c>
      <c r="K136" s="42"/>
      <c r="L136" s="364">
        <v>0</v>
      </c>
      <c r="M136" s="364">
        <f t="shared" ref="M136:P136" si="68">M127-M128</f>
        <v>0</v>
      </c>
      <c r="N136" s="364">
        <f t="shared" si="68"/>
        <v>0</v>
      </c>
      <c r="O136" s="364">
        <f t="shared" si="68"/>
        <v>2.2382181039893809</v>
      </c>
      <c r="P136" s="364">
        <f t="shared" si="68"/>
        <v>2.4342709115791856</v>
      </c>
      <c r="Q136" s="1475">
        <f t="shared" ref="Q136:U136" si="69">Q127-Q128</f>
        <v>0</v>
      </c>
      <c r="R136" s="1475">
        <f t="shared" si="69"/>
        <v>0</v>
      </c>
      <c r="S136" s="1475">
        <f t="shared" si="69"/>
        <v>0</v>
      </c>
      <c r="T136" s="1475">
        <f t="shared" si="69"/>
        <v>77830.722003436807</v>
      </c>
      <c r="U136" s="1475">
        <f t="shared" si="69"/>
        <v>84648.16822921703</v>
      </c>
      <c r="V136" s="1476">
        <f t="shared" si="63"/>
        <v>162478.89023265382</v>
      </c>
    </row>
    <row r="137" spans="1:22" s="46" customFormat="1" ht="24" customHeight="1" thickBot="1">
      <c r="A137" s="1860">
        <v>1</v>
      </c>
      <c r="B137" s="1860">
        <v>1</v>
      </c>
      <c r="C137" s="1860">
        <v>3</v>
      </c>
      <c r="D137" s="1860">
        <v>6</v>
      </c>
      <c r="E137" s="1839" t="s">
        <v>49</v>
      </c>
      <c r="F137" s="1841" t="str">
        <f>CONCATENATE(A137,".",B137,".",C137,".",D137,)</f>
        <v>1.1.3.6</v>
      </c>
      <c r="G137" s="1737" t="s">
        <v>5</v>
      </c>
      <c r="H137" s="1601" t="s">
        <v>86</v>
      </c>
      <c r="I137" s="1975" t="s">
        <v>739</v>
      </c>
      <c r="J137" s="869" t="s">
        <v>79</v>
      </c>
      <c r="K137" s="875"/>
      <c r="L137" s="368">
        <f>'Budget assumption'!E113</f>
        <v>772</v>
      </c>
      <c r="M137" s="368">
        <f>'Budget assumption'!F113</f>
        <v>965</v>
      </c>
      <c r="N137" s="368">
        <f>'Budget assumption'!G113</f>
        <v>1351.0000000000002</v>
      </c>
      <c r="O137" s="368">
        <f>'Budget assumption'!H113</f>
        <v>1544</v>
      </c>
      <c r="P137" s="368">
        <f>'Budget assumption'!I113</f>
        <v>1930</v>
      </c>
      <c r="Q137" s="1491">
        <f>L137*$H$142</f>
        <v>418424</v>
      </c>
      <c r="R137" s="1475">
        <f>M137*$H$142</f>
        <v>523030</v>
      </c>
      <c r="S137" s="1475">
        <f>N137*$H$142</f>
        <v>732242.00000000012</v>
      </c>
      <c r="T137" s="1475">
        <f>O137*$H$142</f>
        <v>836848</v>
      </c>
      <c r="U137" s="1475">
        <f>P137*$H$142</f>
        <v>1046060</v>
      </c>
      <c r="V137" s="1476">
        <f t="shared" si="63"/>
        <v>3556604</v>
      </c>
    </row>
    <row r="138" spans="1:22" s="39" customFormat="1" ht="24" customHeight="1" thickBot="1">
      <c r="A138" s="1860">
        <v>1</v>
      </c>
      <c r="B138" s="1860"/>
      <c r="C138" s="1860"/>
      <c r="D138" s="1860"/>
      <c r="E138" s="1839"/>
      <c r="F138" s="1841"/>
      <c r="G138" s="1738"/>
      <c r="H138" s="1601"/>
      <c r="I138" s="1976"/>
      <c r="J138" s="40" t="s">
        <v>80</v>
      </c>
      <c r="K138" s="875"/>
      <c r="L138" s="364">
        <f>SUM(L139:L145)</f>
        <v>504</v>
      </c>
      <c r="M138" s="364">
        <f t="shared" ref="M138:P138" si="70">SUM(M139:M145)</f>
        <v>965</v>
      </c>
      <c r="N138" s="364">
        <f t="shared" si="70"/>
        <v>1351.0000000000002</v>
      </c>
      <c r="O138" s="364">
        <f t="shared" si="70"/>
        <v>0</v>
      </c>
      <c r="P138" s="364">
        <f t="shared" si="70"/>
        <v>0</v>
      </c>
      <c r="Q138" s="1475">
        <f t="shared" ref="Q138:U138" si="71">SUM(Q139:Q145)</f>
        <v>273168</v>
      </c>
      <c r="R138" s="1475">
        <f t="shared" si="71"/>
        <v>523030</v>
      </c>
      <c r="S138" s="1475">
        <f t="shared" si="71"/>
        <v>732242.00000000012</v>
      </c>
      <c r="T138" s="1475">
        <f t="shared" si="71"/>
        <v>0</v>
      </c>
      <c r="U138" s="1475">
        <f t="shared" si="71"/>
        <v>0</v>
      </c>
      <c r="V138" s="1476">
        <f t="shared" si="63"/>
        <v>1528440</v>
      </c>
    </row>
    <row r="139" spans="1:22" s="39" customFormat="1" ht="24" customHeight="1">
      <c r="A139" s="1860">
        <v>1</v>
      </c>
      <c r="B139" s="1860"/>
      <c r="C139" s="1860"/>
      <c r="D139" s="1860"/>
      <c r="E139" s="1839"/>
      <c r="F139" s="1841"/>
      <c r="G139" s="1738"/>
      <c r="H139" s="1601"/>
      <c r="I139" s="1976"/>
      <c r="J139" s="40" t="s">
        <v>429</v>
      </c>
      <c r="K139" s="42"/>
      <c r="L139" s="364">
        <v>0</v>
      </c>
      <c r="M139" s="364">
        <v>0</v>
      </c>
      <c r="N139" s="364">
        <v>0</v>
      </c>
      <c r="O139" s="364">
        <v>0</v>
      </c>
      <c r="P139" s="364">
        <v>0</v>
      </c>
      <c r="Q139" s="1475">
        <f>L139*$H142</f>
        <v>0</v>
      </c>
      <c r="R139" s="1475">
        <f>M139*$H142</f>
        <v>0</v>
      </c>
      <c r="S139" s="1475">
        <f>N139*$H142</f>
        <v>0</v>
      </c>
      <c r="T139" s="1475">
        <f>O139*$H142</f>
        <v>0</v>
      </c>
      <c r="U139" s="1475">
        <f>P139*$H142</f>
        <v>0</v>
      </c>
      <c r="V139" s="1476">
        <f t="shared" si="63"/>
        <v>0</v>
      </c>
    </row>
    <row r="140" spans="1:22" s="39" customFormat="1" ht="24" customHeight="1">
      <c r="A140" s="1860">
        <v>1</v>
      </c>
      <c r="B140" s="1860"/>
      <c r="C140" s="1860"/>
      <c r="D140" s="1860"/>
      <c r="E140" s="1839"/>
      <c r="F140" s="1841"/>
      <c r="G140" s="1738"/>
      <c r="H140" s="1601"/>
      <c r="I140" s="1976"/>
      <c r="J140" s="40" t="s">
        <v>133</v>
      </c>
      <c r="K140" s="42"/>
      <c r="L140" s="364">
        <v>0</v>
      </c>
      <c r="M140" s="364">
        <v>0</v>
      </c>
      <c r="N140" s="364">
        <v>0</v>
      </c>
      <c r="O140" s="364">
        <v>0</v>
      </c>
      <c r="P140" s="364">
        <v>0</v>
      </c>
      <c r="Q140" s="1475">
        <f>L140*$H142</f>
        <v>0</v>
      </c>
      <c r="R140" s="1475">
        <f>M140*$H142</f>
        <v>0</v>
      </c>
      <c r="S140" s="1475">
        <f>N140*$H142</f>
        <v>0</v>
      </c>
      <c r="T140" s="1475">
        <f>O140*$H142</f>
        <v>0</v>
      </c>
      <c r="U140" s="1475">
        <f>P140*$H142</f>
        <v>0</v>
      </c>
      <c r="V140" s="1476">
        <f>SUM(Q140:U140)</f>
        <v>0</v>
      </c>
    </row>
    <row r="141" spans="1:22" s="39" customFormat="1" ht="24" customHeight="1">
      <c r="A141" s="1860">
        <v>1</v>
      </c>
      <c r="B141" s="1860"/>
      <c r="C141" s="1860"/>
      <c r="D141" s="1860"/>
      <c r="E141" s="1839"/>
      <c r="F141" s="1841"/>
      <c r="G141" s="1738"/>
      <c r="H141" s="1601"/>
      <c r="I141" s="1976"/>
      <c r="J141" s="40" t="s">
        <v>81</v>
      </c>
      <c r="K141" s="42"/>
      <c r="L141" s="364">
        <v>0</v>
      </c>
      <c r="M141" s="364">
        <v>0</v>
      </c>
      <c r="N141" s="364">
        <v>0</v>
      </c>
      <c r="O141" s="364">
        <v>0</v>
      </c>
      <c r="P141" s="364">
        <v>0</v>
      </c>
      <c r="Q141" s="1475">
        <f>L141*$H142</f>
        <v>0</v>
      </c>
      <c r="R141" s="1475">
        <f>M141*$H142</f>
        <v>0</v>
      </c>
      <c r="S141" s="1475">
        <f>N141*$H142</f>
        <v>0</v>
      </c>
      <c r="T141" s="1475">
        <f>O141*$H142</f>
        <v>0</v>
      </c>
      <c r="U141" s="1475">
        <f>P141*$H142</f>
        <v>0</v>
      </c>
      <c r="V141" s="1476">
        <f t="shared" si="63"/>
        <v>0</v>
      </c>
    </row>
    <row r="142" spans="1:22" s="39" customFormat="1" ht="24" customHeight="1">
      <c r="A142" s="1860">
        <v>1</v>
      </c>
      <c r="B142" s="1860"/>
      <c r="C142" s="1860"/>
      <c r="D142" s="1860"/>
      <c r="E142" s="1839"/>
      <c r="F142" s="1841"/>
      <c r="G142" s="1738"/>
      <c r="H142" s="1711">
        <v>542</v>
      </c>
      <c r="I142" s="1976"/>
      <c r="J142" s="40" t="s">
        <v>134</v>
      </c>
      <c r="K142" s="42"/>
      <c r="L142" s="364">
        <v>0</v>
      </c>
      <c r="M142" s="364">
        <v>0</v>
      </c>
      <c r="N142" s="364">
        <v>0</v>
      </c>
      <c r="O142" s="364">
        <v>0</v>
      </c>
      <c r="P142" s="364">
        <v>0</v>
      </c>
      <c r="Q142" s="1475">
        <f>L142*$H142</f>
        <v>0</v>
      </c>
      <c r="R142" s="1475">
        <f>M142*$H142</f>
        <v>0</v>
      </c>
      <c r="S142" s="1475">
        <f>N142*$H142</f>
        <v>0</v>
      </c>
      <c r="T142" s="1475">
        <f>O142*$H142</f>
        <v>0</v>
      </c>
      <c r="U142" s="1475">
        <f>P142*$H142</f>
        <v>0</v>
      </c>
      <c r="V142" s="1476">
        <f t="shared" si="63"/>
        <v>0</v>
      </c>
    </row>
    <row r="143" spans="1:22" s="39" customFormat="1" ht="24" customHeight="1">
      <c r="A143" s="1860">
        <v>1</v>
      </c>
      <c r="B143" s="1860"/>
      <c r="C143" s="1860"/>
      <c r="D143" s="1860"/>
      <c r="E143" s="1839"/>
      <c r="F143" s="1841"/>
      <c r="G143" s="1738"/>
      <c r="H143" s="1712"/>
      <c r="I143" s="1976"/>
      <c r="J143" s="40" t="s">
        <v>82</v>
      </c>
      <c r="K143" s="42"/>
      <c r="L143" s="364">
        <f>'Budget assumption'!E115</f>
        <v>504</v>
      </c>
      <c r="M143" s="364">
        <f>'Budget assumption'!F115</f>
        <v>630</v>
      </c>
      <c r="N143" s="364">
        <f>'Budget assumption'!G115</f>
        <v>882.00000000000011</v>
      </c>
      <c r="O143" s="364">
        <v>0</v>
      </c>
      <c r="P143" s="364">
        <v>0</v>
      </c>
      <c r="Q143" s="1475">
        <f>L143*$H142</f>
        <v>273168</v>
      </c>
      <c r="R143" s="1475">
        <f>M143*$H142</f>
        <v>341460</v>
      </c>
      <c r="S143" s="1475">
        <f>N143*$H142</f>
        <v>478044.00000000006</v>
      </c>
      <c r="T143" s="1475">
        <f>O143*$H142</f>
        <v>0</v>
      </c>
      <c r="U143" s="1475">
        <f>P143*$H142</f>
        <v>0</v>
      </c>
      <c r="V143" s="1476">
        <f t="shared" si="63"/>
        <v>1092672</v>
      </c>
    </row>
    <row r="144" spans="1:22" s="39" customFormat="1" ht="24" customHeight="1">
      <c r="A144" s="1860">
        <v>1</v>
      </c>
      <c r="B144" s="1860"/>
      <c r="C144" s="1860"/>
      <c r="D144" s="1860"/>
      <c r="E144" s="1839"/>
      <c r="F144" s="1841"/>
      <c r="G144" s="1738"/>
      <c r="H144" s="1712"/>
      <c r="I144" s="1976"/>
      <c r="J144" s="40" t="s">
        <v>90</v>
      </c>
      <c r="K144" s="42"/>
      <c r="L144" s="364">
        <v>0</v>
      </c>
      <c r="M144" s="364">
        <f>M114</f>
        <v>335</v>
      </c>
      <c r="N144" s="364">
        <f>N114</f>
        <v>469.00000000000006</v>
      </c>
      <c r="O144" s="364">
        <v>0</v>
      </c>
      <c r="P144" s="364">
        <v>0</v>
      </c>
      <c r="Q144" s="1475">
        <f>L144*$H142</f>
        <v>0</v>
      </c>
      <c r="R144" s="1475">
        <f>M144*$H142</f>
        <v>181570</v>
      </c>
      <c r="S144" s="1475">
        <f>N144*$H142</f>
        <v>254198.00000000003</v>
      </c>
      <c r="T144" s="1475">
        <f>O144*$H142</f>
        <v>0</v>
      </c>
      <c r="U144" s="1475">
        <f>P144*$H142</f>
        <v>0</v>
      </c>
      <c r="V144" s="1476">
        <f t="shared" si="63"/>
        <v>435768</v>
      </c>
    </row>
    <row r="145" spans="1:22" s="39" customFormat="1" ht="24" customHeight="1">
      <c r="A145" s="1860">
        <v>1</v>
      </c>
      <c r="B145" s="1860"/>
      <c r="C145" s="1860"/>
      <c r="D145" s="1860"/>
      <c r="E145" s="1839"/>
      <c r="F145" s="1841"/>
      <c r="G145" s="1738"/>
      <c r="H145" s="1712"/>
      <c r="I145" s="1976"/>
      <c r="J145" s="40" t="s">
        <v>83</v>
      </c>
      <c r="K145" s="42"/>
      <c r="L145" s="364">
        <v>0</v>
      </c>
      <c r="M145" s="364">
        <v>0</v>
      </c>
      <c r="N145" s="364">
        <v>0</v>
      </c>
      <c r="O145" s="364">
        <v>0</v>
      </c>
      <c r="P145" s="364">
        <v>0</v>
      </c>
      <c r="Q145" s="1475">
        <f>L145*$H142</f>
        <v>0</v>
      </c>
      <c r="R145" s="1475">
        <f>M145*$H142</f>
        <v>0</v>
      </c>
      <c r="S145" s="1475">
        <f>N145*$H142</f>
        <v>0</v>
      </c>
      <c r="T145" s="1475">
        <f>O145*$H142</f>
        <v>0</v>
      </c>
      <c r="U145" s="1475">
        <f>P145*$H142</f>
        <v>0</v>
      </c>
      <c r="V145" s="1476">
        <f t="shared" si="63"/>
        <v>0</v>
      </c>
    </row>
    <row r="146" spans="1:22" s="39" customFormat="1" ht="24" customHeight="1" thickBot="1">
      <c r="A146" s="1860">
        <v>1</v>
      </c>
      <c r="B146" s="1860"/>
      <c r="C146" s="1860"/>
      <c r="D146" s="1860"/>
      <c r="E146" s="1839"/>
      <c r="F146" s="1841"/>
      <c r="G146" s="1739"/>
      <c r="H146" s="1713"/>
      <c r="I146" s="1955"/>
      <c r="J146" s="40" t="s">
        <v>84</v>
      </c>
      <c r="K146" s="42"/>
      <c r="L146" s="364">
        <v>0</v>
      </c>
      <c r="M146" s="364">
        <v>0</v>
      </c>
      <c r="N146" s="364">
        <v>0</v>
      </c>
      <c r="O146" s="364">
        <f>'Budget assumption'!H113</f>
        <v>1544</v>
      </c>
      <c r="P146" s="364">
        <f>'Budget assumption'!I113</f>
        <v>1930</v>
      </c>
      <c r="Q146" s="1475">
        <f t="shared" ref="Q146:U146" si="72">Q137-Q138</f>
        <v>145256</v>
      </c>
      <c r="R146" s="1475">
        <v>0</v>
      </c>
      <c r="S146" s="1475">
        <v>0</v>
      </c>
      <c r="T146" s="1475">
        <f t="shared" si="72"/>
        <v>836848</v>
      </c>
      <c r="U146" s="1475">
        <f t="shared" si="72"/>
        <v>1046060</v>
      </c>
      <c r="V146" s="1476">
        <f t="shared" si="63"/>
        <v>2028164</v>
      </c>
    </row>
    <row r="147" spans="1:22" s="58" customFormat="1" ht="24" customHeight="1">
      <c r="A147" s="1860">
        <v>1</v>
      </c>
      <c r="B147" s="1860">
        <v>1</v>
      </c>
      <c r="C147" s="1860">
        <v>3</v>
      </c>
      <c r="D147" s="1860">
        <v>7</v>
      </c>
      <c r="E147" s="1839" t="s">
        <v>49</v>
      </c>
      <c r="F147" s="1841" t="str">
        <f>CONCATENATE(A147,".",B147,".",C147,".",D147,)</f>
        <v>1.1.3.7</v>
      </c>
      <c r="G147" s="1642" t="s">
        <v>1094</v>
      </c>
      <c r="H147" s="1601" t="s">
        <v>738</v>
      </c>
      <c r="I147" s="1977" t="s">
        <v>469</v>
      </c>
      <c r="J147" s="36" t="s">
        <v>79</v>
      </c>
      <c r="K147" s="48"/>
      <c r="L147" s="364">
        <v>1</v>
      </c>
      <c r="M147" s="364">
        <v>0</v>
      </c>
      <c r="N147" s="364">
        <v>0</v>
      </c>
      <c r="O147" s="364">
        <v>0</v>
      </c>
      <c r="P147" s="364">
        <v>0</v>
      </c>
      <c r="Q147" s="1475">
        <f>L147*H152</f>
        <v>44360</v>
      </c>
      <c r="R147" s="1475">
        <f>M147*H152</f>
        <v>0</v>
      </c>
      <c r="S147" s="1475">
        <f>N147*H152</f>
        <v>0</v>
      </c>
      <c r="T147" s="1475">
        <f>O147*H152</f>
        <v>0</v>
      </c>
      <c r="U147" s="1475">
        <f>P147*H152</f>
        <v>0</v>
      </c>
      <c r="V147" s="1476">
        <f t="shared" ref="V147:V156" si="73">SUM(Q147:U147)</f>
        <v>44360</v>
      </c>
    </row>
    <row r="148" spans="1:22" s="39" customFormat="1" ht="24" customHeight="1" thickBot="1">
      <c r="A148" s="1860">
        <v>1</v>
      </c>
      <c r="B148" s="1860"/>
      <c r="C148" s="1860"/>
      <c r="D148" s="1860"/>
      <c r="E148" s="1839"/>
      <c r="F148" s="1841"/>
      <c r="G148" s="1643"/>
      <c r="H148" s="1601"/>
      <c r="I148" s="1978"/>
      <c r="J148" s="40" t="s">
        <v>80</v>
      </c>
      <c r="K148" s="875"/>
      <c r="L148" s="364">
        <f t="shared" ref="L148:U148" si="74">SUM(L149:L155)</f>
        <v>1</v>
      </c>
      <c r="M148" s="364">
        <f t="shared" si="74"/>
        <v>0</v>
      </c>
      <c r="N148" s="364">
        <f t="shared" si="74"/>
        <v>0</v>
      </c>
      <c r="O148" s="364">
        <f t="shared" si="74"/>
        <v>0</v>
      </c>
      <c r="P148" s="364">
        <f t="shared" si="74"/>
        <v>0</v>
      </c>
      <c r="Q148" s="1475">
        <f t="shared" si="74"/>
        <v>44360</v>
      </c>
      <c r="R148" s="1475">
        <f t="shared" si="74"/>
        <v>0</v>
      </c>
      <c r="S148" s="1475">
        <f t="shared" si="74"/>
        <v>0</v>
      </c>
      <c r="T148" s="1475">
        <f t="shared" si="74"/>
        <v>0</v>
      </c>
      <c r="U148" s="1475">
        <f t="shared" si="74"/>
        <v>0</v>
      </c>
      <c r="V148" s="1476">
        <f t="shared" si="73"/>
        <v>44360</v>
      </c>
    </row>
    <row r="149" spans="1:22" s="39" customFormat="1" ht="24" customHeight="1">
      <c r="A149" s="1860">
        <v>1</v>
      </c>
      <c r="B149" s="1860"/>
      <c r="C149" s="1860"/>
      <c r="D149" s="1860"/>
      <c r="E149" s="1839"/>
      <c r="F149" s="1841"/>
      <c r="G149" s="1643"/>
      <c r="H149" s="1601"/>
      <c r="I149" s="1978"/>
      <c r="J149" s="40" t="s">
        <v>429</v>
      </c>
      <c r="K149" s="42"/>
      <c r="L149" s="364">
        <v>0</v>
      </c>
      <c r="M149" s="364">
        <v>0</v>
      </c>
      <c r="N149" s="364">
        <v>0</v>
      </c>
      <c r="O149" s="364">
        <v>0</v>
      </c>
      <c r="P149" s="364">
        <v>0</v>
      </c>
      <c r="Q149" s="1475">
        <f>L149*$H152</f>
        <v>0</v>
      </c>
      <c r="R149" s="1475">
        <f>M149*$H152</f>
        <v>0</v>
      </c>
      <c r="S149" s="1475">
        <f>N149*$H152</f>
        <v>0</v>
      </c>
      <c r="T149" s="1475">
        <f>O149*$H152</f>
        <v>0</v>
      </c>
      <c r="U149" s="1475">
        <f>P149*$H152</f>
        <v>0</v>
      </c>
      <c r="V149" s="1476">
        <f t="shared" si="73"/>
        <v>0</v>
      </c>
    </row>
    <row r="150" spans="1:22" s="39" customFormat="1" ht="24" customHeight="1">
      <c r="A150" s="1860">
        <v>1</v>
      </c>
      <c r="B150" s="1860"/>
      <c r="C150" s="1860"/>
      <c r="D150" s="1860"/>
      <c r="E150" s="1839"/>
      <c r="F150" s="1841"/>
      <c r="G150" s="1643"/>
      <c r="H150" s="1601"/>
      <c r="I150" s="1978"/>
      <c r="J150" s="40" t="s">
        <v>133</v>
      </c>
      <c r="K150" s="42"/>
      <c r="L150" s="364">
        <v>0</v>
      </c>
      <c r="M150" s="364">
        <v>0</v>
      </c>
      <c r="N150" s="364">
        <v>0</v>
      </c>
      <c r="O150" s="364">
        <v>0</v>
      </c>
      <c r="P150" s="364">
        <v>0</v>
      </c>
      <c r="Q150" s="1475">
        <f>L150*$H152</f>
        <v>0</v>
      </c>
      <c r="R150" s="1475">
        <f>M150*$H152</f>
        <v>0</v>
      </c>
      <c r="S150" s="1475">
        <f>N150*$H152</f>
        <v>0</v>
      </c>
      <c r="T150" s="1475">
        <f>O150*$H152</f>
        <v>0</v>
      </c>
      <c r="U150" s="1475">
        <f>P150*$H152</f>
        <v>0</v>
      </c>
      <c r="V150" s="1476">
        <f t="shared" si="73"/>
        <v>0</v>
      </c>
    </row>
    <row r="151" spans="1:22" s="39" customFormat="1" ht="24" customHeight="1">
      <c r="A151" s="1860">
        <v>1</v>
      </c>
      <c r="B151" s="1860"/>
      <c r="C151" s="1860"/>
      <c r="D151" s="1860"/>
      <c r="E151" s="1839"/>
      <c r="F151" s="1841"/>
      <c r="G151" s="1643"/>
      <c r="H151" s="1601"/>
      <c r="I151" s="1978"/>
      <c r="J151" s="40" t="s">
        <v>81</v>
      </c>
      <c r="K151" s="42"/>
      <c r="L151" s="364">
        <v>0</v>
      </c>
      <c r="M151" s="364">
        <v>0</v>
      </c>
      <c r="N151" s="364">
        <v>0</v>
      </c>
      <c r="O151" s="364">
        <v>0</v>
      </c>
      <c r="P151" s="364">
        <v>0</v>
      </c>
      <c r="Q151" s="1475">
        <f>L151*$H152</f>
        <v>0</v>
      </c>
      <c r="R151" s="1475">
        <f>M151*$H152</f>
        <v>0</v>
      </c>
      <c r="S151" s="1475">
        <f>N151*$H152</f>
        <v>0</v>
      </c>
      <c r="T151" s="1475">
        <f>O151*$H152</f>
        <v>0</v>
      </c>
      <c r="U151" s="1475">
        <f>P151*$H152</f>
        <v>0</v>
      </c>
      <c r="V151" s="1476">
        <f t="shared" si="73"/>
        <v>0</v>
      </c>
    </row>
    <row r="152" spans="1:22" s="39" customFormat="1" ht="24" customHeight="1">
      <c r="A152" s="1860">
        <v>1</v>
      </c>
      <c r="B152" s="1860"/>
      <c r="C152" s="1860"/>
      <c r="D152" s="1860"/>
      <c r="E152" s="1839"/>
      <c r="F152" s="1841"/>
      <c r="G152" s="1643"/>
      <c r="H152" s="1711">
        <f>2*'Budget assumption'!$C$4*5+'Budget assumption'!G15*2</f>
        <v>44360</v>
      </c>
      <c r="I152" s="1978"/>
      <c r="J152" s="40" t="s">
        <v>134</v>
      </c>
      <c r="K152" s="42"/>
      <c r="L152" s="364">
        <f>L361*30%</f>
        <v>0</v>
      </c>
      <c r="M152" s="364">
        <v>0</v>
      </c>
      <c r="N152" s="364">
        <v>0</v>
      </c>
      <c r="O152" s="364">
        <f>O361*30%</f>
        <v>0</v>
      </c>
      <c r="P152" s="364">
        <f>P361*30%</f>
        <v>0</v>
      </c>
      <c r="Q152" s="1475">
        <f>L152*$H152</f>
        <v>0</v>
      </c>
      <c r="R152" s="1475">
        <f>M152*$H152</f>
        <v>0</v>
      </c>
      <c r="S152" s="1475">
        <f>N152*$H152</f>
        <v>0</v>
      </c>
      <c r="T152" s="1475">
        <f>O152*$H152</f>
        <v>0</v>
      </c>
      <c r="U152" s="1475">
        <f>P152*$H152</f>
        <v>0</v>
      </c>
      <c r="V152" s="1476">
        <f t="shared" si="73"/>
        <v>0</v>
      </c>
    </row>
    <row r="153" spans="1:22" s="39" customFormat="1" ht="24" customHeight="1">
      <c r="A153" s="1860">
        <v>1</v>
      </c>
      <c r="B153" s="1860"/>
      <c r="C153" s="1860"/>
      <c r="D153" s="1860"/>
      <c r="E153" s="1839"/>
      <c r="F153" s="1841"/>
      <c r="G153" s="1643"/>
      <c r="H153" s="1712"/>
      <c r="I153" s="1978"/>
      <c r="J153" s="40" t="s">
        <v>82</v>
      </c>
      <c r="K153" s="42"/>
      <c r="L153" s="364">
        <v>0</v>
      </c>
      <c r="M153" s="364">
        <v>0</v>
      </c>
      <c r="N153" s="364">
        <v>0</v>
      </c>
      <c r="O153" s="364">
        <v>0</v>
      </c>
      <c r="P153" s="364">
        <v>0</v>
      </c>
      <c r="Q153" s="1475">
        <f>L153*$H152</f>
        <v>0</v>
      </c>
      <c r="R153" s="1475">
        <f>M153*$H152</f>
        <v>0</v>
      </c>
      <c r="S153" s="1475">
        <f>N153*$H152</f>
        <v>0</v>
      </c>
      <c r="T153" s="1475">
        <f>O153*$H152</f>
        <v>0</v>
      </c>
      <c r="U153" s="1475">
        <f>P153*$H152</f>
        <v>0</v>
      </c>
      <c r="V153" s="1476">
        <f t="shared" si="73"/>
        <v>0</v>
      </c>
    </row>
    <row r="154" spans="1:22" s="39" customFormat="1" ht="24" customHeight="1">
      <c r="A154" s="1860">
        <v>1</v>
      </c>
      <c r="B154" s="1860"/>
      <c r="C154" s="1860"/>
      <c r="D154" s="1860"/>
      <c r="E154" s="1839"/>
      <c r="F154" s="1841"/>
      <c r="G154" s="1643"/>
      <c r="H154" s="1712"/>
      <c r="I154" s="1978"/>
      <c r="J154" s="40" t="s">
        <v>90</v>
      </c>
      <c r="K154" s="42"/>
      <c r="L154" s="364">
        <v>1</v>
      </c>
      <c r="M154" s="364">
        <v>0</v>
      </c>
      <c r="N154" s="364">
        <v>0</v>
      </c>
      <c r="O154" s="364">
        <v>0</v>
      </c>
      <c r="P154" s="364">
        <v>0</v>
      </c>
      <c r="Q154" s="1475">
        <f>L154*$H152</f>
        <v>44360</v>
      </c>
      <c r="R154" s="1475">
        <f>M154*$H152</f>
        <v>0</v>
      </c>
      <c r="S154" s="1475">
        <f>N154*$H152</f>
        <v>0</v>
      </c>
      <c r="T154" s="1475">
        <f>O154*$H152</f>
        <v>0</v>
      </c>
      <c r="U154" s="1475">
        <f>P154*$H152</f>
        <v>0</v>
      </c>
      <c r="V154" s="1476">
        <f t="shared" si="73"/>
        <v>44360</v>
      </c>
    </row>
    <row r="155" spans="1:22" s="39" customFormat="1" ht="24" customHeight="1">
      <c r="A155" s="1860">
        <v>1</v>
      </c>
      <c r="B155" s="1860"/>
      <c r="C155" s="1860"/>
      <c r="D155" s="1860"/>
      <c r="E155" s="1839"/>
      <c r="F155" s="1841"/>
      <c r="G155" s="1643"/>
      <c r="H155" s="1712"/>
      <c r="I155" s="1978"/>
      <c r="J155" s="40" t="s">
        <v>83</v>
      </c>
      <c r="K155" s="42"/>
      <c r="L155" s="364">
        <v>0</v>
      </c>
      <c r="M155" s="364">
        <v>0</v>
      </c>
      <c r="N155" s="364">
        <v>0</v>
      </c>
      <c r="O155" s="364">
        <v>0</v>
      </c>
      <c r="P155" s="364">
        <v>0</v>
      </c>
      <c r="Q155" s="1475">
        <f>L155*$H152</f>
        <v>0</v>
      </c>
      <c r="R155" s="1475">
        <f>M155*$H152</f>
        <v>0</v>
      </c>
      <c r="S155" s="1475">
        <f>N155*$H152</f>
        <v>0</v>
      </c>
      <c r="T155" s="1475">
        <f>O155*$H152</f>
        <v>0</v>
      </c>
      <c r="U155" s="1475">
        <f>P155*$H152</f>
        <v>0</v>
      </c>
      <c r="V155" s="1476">
        <f t="shared" si="73"/>
        <v>0</v>
      </c>
    </row>
    <row r="156" spans="1:22" s="39" customFormat="1" ht="24" customHeight="1" thickBot="1">
      <c r="A156" s="1860">
        <v>1</v>
      </c>
      <c r="B156" s="1860"/>
      <c r="C156" s="1860"/>
      <c r="D156" s="1860"/>
      <c r="E156" s="1839"/>
      <c r="F156" s="1841"/>
      <c r="G156" s="1644"/>
      <c r="H156" s="1713"/>
      <c r="I156" s="1979"/>
      <c r="J156" s="40" t="s">
        <v>84</v>
      </c>
      <c r="K156" s="42"/>
      <c r="L156" s="364">
        <f>L147-L148</f>
        <v>0</v>
      </c>
      <c r="M156" s="364">
        <f t="shared" ref="M156:U156" si="75">M147-M148</f>
        <v>0</v>
      </c>
      <c r="N156" s="364">
        <f t="shared" si="75"/>
        <v>0</v>
      </c>
      <c r="O156" s="364">
        <f t="shared" si="75"/>
        <v>0</v>
      </c>
      <c r="P156" s="364">
        <f t="shared" si="75"/>
        <v>0</v>
      </c>
      <c r="Q156" s="1475">
        <f t="shared" si="75"/>
        <v>0</v>
      </c>
      <c r="R156" s="1475">
        <f t="shared" si="75"/>
        <v>0</v>
      </c>
      <c r="S156" s="1475">
        <f t="shared" si="75"/>
        <v>0</v>
      </c>
      <c r="T156" s="1475">
        <f t="shared" si="75"/>
        <v>0</v>
      </c>
      <c r="U156" s="1475">
        <f t="shared" si="75"/>
        <v>0</v>
      </c>
      <c r="V156" s="1476">
        <f t="shared" si="73"/>
        <v>0</v>
      </c>
    </row>
    <row r="157" spans="1:22" s="35" customFormat="1" ht="24" customHeight="1">
      <c r="A157" s="74">
        <v>1</v>
      </c>
      <c r="B157" s="74">
        <v>1</v>
      </c>
      <c r="C157" s="74">
        <v>4</v>
      </c>
      <c r="D157" s="74"/>
      <c r="E157" s="74" t="s">
        <v>13</v>
      </c>
      <c r="F157" s="854" t="str">
        <f>CONCATENATE(A157,".",B157,".",C157,)</f>
        <v>1.1.4</v>
      </c>
      <c r="G157" s="1697" t="s">
        <v>57</v>
      </c>
      <c r="H157" s="1698"/>
      <c r="I157" s="1698"/>
      <c r="J157" s="1699"/>
      <c r="K157" s="876"/>
      <c r="L157" s="864">
        <v>0.4</v>
      </c>
      <c r="M157" s="864">
        <v>0.45</v>
      </c>
      <c r="N157" s="864">
        <v>0.5</v>
      </c>
      <c r="O157" s="864">
        <v>0.6</v>
      </c>
      <c r="P157" s="864">
        <v>0.7</v>
      </c>
      <c r="Q157" s="1492">
        <f>Q159+Q169+Q179</f>
        <v>9048240</v>
      </c>
      <c r="R157" s="1492">
        <f t="shared" ref="R157:U157" si="76">R159+R169+R179</f>
        <v>10179270</v>
      </c>
      <c r="S157" s="1492">
        <f t="shared" si="76"/>
        <v>11310300</v>
      </c>
      <c r="T157" s="1492">
        <f t="shared" si="76"/>
        <v>4536864</v>
      </c>
      <c r="U157" s="1492">
        <f t="shared" si="76"/>
        <v>5954634</v>
      </c>
      <c r="V157" s="1493">
        <f t="shared" si="63"/>
        <v>41029308</v>
      </c>
    </row>
    <row r="158" spans="1:22" s="47" customFormat="1" ht="24" customHeight="1">
      <c r="A158" s="1860">
        <v>1</v>
      </c>
      <c r="B158" s="1860">
        <v>1</v>
      </c>
      <c r="C158" s="1860">
        <v>4</v>
      </c>
      <c r="D158" s="1860">
        <v>1</v>
      </c>
      <c r="E158" s="1839" t="s">
        <v>14</v>
      </c>
      <c r="F158" s="1841" t="str">
        <f>CONCATENATE(A158,".",B158,".",C158,".",D158,)</f>
        <v>1.1.4.1</v>
      </c>
      <c r="G158" s="1980" t="s">
        <v>138</v>
      </c>
      <c r="H158" s="1601" t="s">
        <v>86</v>
      </c>
      <c r="I158" s="1977" t="s">
        <v>96</v>
      </c>
      <c r="J158" s="869" t="s">
        <v>79</v>
      </c>
      <c r="K158" s="89"/>
      <c r="L158" s="373">
        <f>21300*L157</f>
        <v>8520</v>
      </c>
      <c r="M158" s="373">
        <f t="shared" ref="M158:P158" si="77">21300*M157</f>
        <v>9585</v>
      </c>
      <c r="N158" s="373">
        <f t="shared" si="77"/>
        <v>10650</v>
      </c>
      <c r="O158" s="373">
        <f t="shared" si="77"/>
        <v>12780</v>
      </c>
      <c r="P158" s="373">
        <f t="shared" si="77"/>
        <v>14909.999999999998</v>
      </c>
      <c r="Q158" s="1475">
        <f>L158*$H$163</f>
        <v>9048240</v>
      </c>
      <c r="R158" s="1475">
        <f>M158*$H$163</f>
        <v>10179270</v>
      </c>
      <c r="S158" s="1475">
        <f>N158*$H$163</f>
        <v>11310300</v>
      </c>
      <c r="T158" s="1475">
        <f>O158*$H$163</f>
        <v>13572360</v>
      </c>
      <c r="U158" s="1475">
        <f>P158*$H$163</f>
        <v>15834419.999999998</v>
      </c>
      <c r="V158" s="1476">
        <f t="shared" si="63"/>
        <v>59944590</v>
      </c>
    </row>
    <row r="159" spans="1:22" s="39" customFormat="1" ht="24" customHeight="1">
      <c r="A159" s="1860">
        <v>1</v>
      </c>
      <c r="B159" s="1860"/>
      <c r="C159" s="1860"/>
      <c r="D159" s="1860"/>
      <c r="E159" s="1839"/>
      <c r="F159" s="1841"/>
      <c r="G159" s="1981"/>
      <c r="H159" s="1601"/>
      <c r="I159" s="1978"/>
      <c r="J159" s="40" t="s">
        <v>80</v>
      </c>
      <c r="K159" s="90">
        <v>21300</v>
      </c>
      <c r="L159" s="366">
        <f t="shared" ref="L159:P159" si="78">SUM(L160:L166)</f>
        <v>8520</v>
      </c>
      <c r="M159" s="366">
        <f t="shared" si="78"/>
        <v>9585</v>
      </c>
      <c r="N159" s="366">
        <f t="shared" si="78"/>
        <v>10650</v>
      </c>
      <c r="O159" s="366">
        <f t="shared" si="78"/>
        <v>4272</v>
      </c>
      <c r="P159" s="366">
        <f t="shared" si="78"/>
        <v>5607</v>
      </c>
      <c r="Q159" s="1475">
        <f t="shared" ref="Q159:U159" si="79">SUM(Q160:Q166)</f>
        <v>9048240</v>
      </c>
      <c r="R159" s="1475">
        <f t="shared" si="79"/>
        <v>10179270</v>
      </c>
      <c r="S159" s="1475">
        <f t="shared" si="79"/>
        <v>11310300</v>
      </c>
      <c r="T159" s="1475">
        <f t="shared" si="79"/>
        <v>4536864</v>
      </c>
      <c r="U159" s="1475">
        <f t="shared" si="79"/>
        <v>5954634</v>
      </c>
      <c r="V159" s="1476">
        <f t="shared" si="63"/>
        <v>41029308</v>
      </c>
    </row>
    <row r="160" spans="1:22" s="39" customFormat="1" ht="24" customHeight="1">
      <c r="A160" s="1860">
        <v>1</v>
      </c>
      <c r="B160" s="1860"/>
      <c r="C160" s="1860"/>
      <c r="D160" s="1860"/>
      <c r="E160" s="1839"/>
      <c r="F160" s="1841"/>
      <c r="G160" s="1981"/>
      <c r="H160" s="1601"/>
      <c r="I160" s="1978"/>
      <c r="J160" s="40" t="s">
        <v>429</v>
      </c>
      <c r="K160" s="86"/>
      <c r="L160" s="364">
        <v>0</v>
      </c>
      <c r="M160" s="364">
        <v>0</v>
      </c>
      <c r="N160" s="364">
        <v>0</v>
      </c>
      <c r="O160" s="364">
        <v>0</v>
      </c>
      <c r="P160" s="364">
        <v>0</v>
      </c>
      <c r="Q160" s="1475">
        <f>L160*$H163</f>
        <v>0</v>
      </c>
      <c r="R160" s="1475">
        <f>M160*$H163</f>
        <v>0</v>
      </c>
      <c r="S160" s="1475">
        <f>N160*$H163</f>
        <v>0</v>
      </c>
      <c r="T160" s="1475">
        <f>O160*$H163</f>
        <v>0</v>
      </c>
      <c r="U160" s="1475">
        <f>P160*$H163</f>
        <v>0</v>
      </c>
      <c r="V160" s="1476">
        <f t="shared" si="63"/>
        <v>0</v>
      </c>
    </row>
    <row r="161" spans="1:22" s="39" customFormat="1" ht="24" customHeight="1">
      <c r="A161" s="1860">
        <v>1</v>
      </c>
      <c r="B161" s="1860"/>
      <c r="C161" s="1860"/>
      <c r="D161" s="1860"/>
      <c r="E161" s="1839"/>
      <c r="F161" s="1841"/>
      <c r="G161" s="1981"/>
      <c r="H161" s="1601"/>
      <c r="I161" s="1978"/>
      <c r="J161" s="40" t="s">
        <v>133</v>
      </c>
      <c r="K161" s="86"/>
      <c r="L161" s="364">
        <v>0</v>
      </c>
      <c r="M161" s="364">
        <v>0</v>
      </c>
      <c r="N161" s="364">
        <v>0</v>
      </c>
      <c r="O161" s="364">
        <v>0</v>
      </c>
      <c r="P161" s="364">
        <v>0</v>
      </c>
      <c r="Q161" s="1475">
        <f>L161*$H163</f>
        <v>0</v>
      </c>
      <c r="R161" s="1475">
        <f>M161*$H163</f>
        <v>0</v>
      </c>
      <c r="S161" s="1475">
        <f>N161*$H163</f>
        <v>0</v>
      </c>
      <c r="T161" s="1475">
        <f>O161*$H163</f>
        <v>0</v>
      </c>
      <c r="U161" s="1475">
        <f>P161*$H163</f>
        <v>0</v>
      </c>
      <c r="V161" s="1476">
        <f t="shared" si="63"/>
        <v>0</v>
      </c>
    </row>
    <row r="162" spans="1:22" s="39" customFormat="1" ht="24" customHeight="1">
      <c r="A162" s="1860">
        <v>1</v>
      </c>
      <c r="B162" s="1860"/>
      <c r="C162" s="1860"/>
      <c r="D162" s="1860"/>
      <c r="E162" s="1839"/>
      <c r="F162" s="1841"/>
      <c r="G162" s="1981"/>
      <c r="H162" s="1601"/>
      <c r="I162" s="1978"/>
      <c r="J162" s="40" t="s">
        <v>81</v>
      </c>
      <c r="K162" s="86"/>
      <c r="L162" s="364">
        <v>0</v>
      </c>
      <c r="M162" s="364">
        <v>0</v>
      </c>
      <c r="N162" s="364">
        <v>0</v>
      </c>
      <c r="O162" s="364">
        <v>0</v>
      </c>
      <c r="P162" s="364">
        <v>0</v>
      </c>
      <c r="Q162" s="1475">
        <f>L162*$H163</f>
        <v>0</v>
      </c>
      <c r="R162" s="1475">
        <f>M162*$H163</f>
        <v>0</v>
      </c>
      <c r="S162" s="1475">
        <f>N162*$H163</f>
        <v>0</v>
      </c>
      <c r="T162" s="1475">
        <f>O162*$H163</f>
        <v>0</v>
      </c>
      <c r="U162" s="1475">
        <f>P162*$H163</f>
        <v>0</v>
      </c>
      <c r="V162" s="1476">
        <f t="shared" si="63"/>
        <v>0</v>
      </c>
    </row>
    <row r="163" spans="1:22" s="39" customFormat="1" ht="24" customHeight="1">
      <c r="A163" s="1860">
        <v>1</v>
      </c>
      <c r="B163" s="1860"/>
      <c r="C163" s="1860"/>
      <c r="D163" s="1860"/>
      <c r="E163" s="1839"/>
      <c r="F163" s="1841"/>
      <c r="G163" s="1981"/>
      <c r="H163" s="1711">
        <f>1062</f>
        <v>1062</v>
      </c>
      <c r="I163" s="1978"/>
      <c r="J163" s="40" t="s">
        <v>134</v>
      </c>
      <c r="K163" s="86"/>
      <c r="L163" s="364">
        <f>(K159-K165)*L157*0.25</f>
        <v>1780</v>
      </c>
      <c r="M163" s="364">
        <f>(K159-K165)*M157*30%</f>
        <v>2403</v>
      </c>
      <c r="N163" s="364">
        <f>((21300-3500)*N157)*35%</f>
        <v>3115</v>
      </c>
      <c r="O163" s="364">
        <f>(21300-3500)*O157*40%</f>
        <v>4272</v>
      </c>
      <c r="P163" s="364">
        <f>(21300-3500)*P157*45%</f>
        <v>5607</v>
      </c>
      <c r="Q163" s="1475">
        <f>L163*$H163</f>
        <v>1890360</v>
      </c>
      <c r="R163" s="1475">
        <f>M163*$H163</f>
        <v>2551986</v>
      </c>
      <c r="S163" s="1475">
        <f>N163*$H163</f>
        <v>3308130</v>
      </c>
      <c r="T163" s="1475">
        <f>O163*$H163</f>
        <v>4536864</v>
      </c>
      <c r="U163" s="1475">
        <f>P163*$H163</f>
        <v>5954634</v>
      </c>
      <c r="V163" s="1476">
        <f t="shared" si="63"/>
        <v>18241974</v>
      </c>
    </row>
    <row r="164" spans="1:22" s="39" customFormat="1" ht="24" customHeight="1">
      <c r="A164" s="1860">
        <v>1</v>
      </c>
      <c r="B164" s="1860"/>
      <c r="C164" s="1860"/>
      <c r="D164" s="1860"/>
      <c r="E164" s="1839"/>
      <c r="F164" s="1841"/>
      <c r="G164" s="1981"/>
      <c r="H164" s="1712"/>
      <c r="I164" s="1978"/>
      <c r="J164" s="40" t="s">
        <v>82</v>
      </c>
      <c r="K164" s="86"/>
      <c r="L164" s="364">
        <f>(21300-3500)*L157*0.75</f>
        <v>5340</v>
      </c>
      <c r="M164" s="364">
        <f>(21300-3500)*M157*70%</f>
        <v>5607</v>
      </c>
      <c r="N164" s="364">
        <f>((21300-3500)*N157)*65%</f>
        <v>5785</v>
      </c>
      <c r="O164" s="364">
        <v>0</v>
      </c>
      <c r="P164" s="364">
        <v>0</v>
      </c>
      <c r="Q164" s="1475">
        <f>L164*$H163</f>
        <v>5671080</v>
      </c>
      <c r="R164" s="1475">
        <f>M164*$H163</f>
        <v>5954634</v>
      </c>
      <c r="S164" s="1475">
        <f>N164*$H163</f>
        <v>6143670</v>
      </c>
      <c r="T164" s="1475">
        <f>O164*$H163</f>
        <v>0</v>
      </c>
      <c r="U164" s="1475">
        <f>P164*$H163</f>
        <v>0</v>
      </c>
      <c r="V164" s="1476">
        <f t="shared" si="63"/>
        <v>17769384</v>
      </c>
    </row>
    <row r="165" spans="1:22" s="39" customFormat="1" ht="24" customHeight="1">
      <c r="A165" s="1860">
        <v>1</v>
      </c>
      <c r="B165" s="1860"/>
      <c r="C165" s="1860"/>
      <c r="D165" s="1860"/>
      <c r="E165" s="1839"/>
      <c r="F165" s="1841"/>
      <c r="G165" s="1981"/>
      <c r="H165" s="1712"/>
      <c r="I165" s="1978"/>
      <c r="J165" s="40" t="s">
        <v>90</v>
      </c>
      <c r="K165" s="86">
        <v>3500</v>
      </c>
      <c r="L165" s="364">
        <f>3500*L157</f>
        <v>1400</v>
      </c>
      <c r="M165" s="364">
        <f t="shared" ref="M165:N165" si="80">3500*M157</f>
        <v>1575</v>
      </c>
      <c r="N165" s="364">
        <f t="shared" si="80"/>
        <v>1750</v>
      </c>
      <c r="O165" s="364">
        <v>0</v>
      </c>
      <c r="P165" s="364">
        <v>0</v>
      </c>
      <c r="Q165" s="1475">
        <f>L165*$H163</f>
        <v>1486800</v>
      </c>
      <c r="R165" s="1475">
        <f>M165*$H163</f>
        <v>1672650</v>
      </c>
      <c r="S165" s="1475">
        <f>N165*$H163</f>
        <v>1858500</v>
      </c>
      <c r="T165" s="1475">
        <f>O165*$H163</f>
        <v>0</v>
      </c>
      <c r="U165" s="1475">
        <f>P165*$H163</f>
        <v>0</v>
      </c>
      <c r="V165" s="1476">
        <f t="shared" si="63"/>
        <v>5017950</v>
      </c>
    </row>
    <row r="166" spans="1:22" s="39" customFormat="1" ht="24" customHeight="1">
      <c r="A166" s="1860">
        <v>1</v>
      </c>
      <c r="B166" s="1860"/>
      <c r="C166" s="1860"/>
      <c r="D166" s="1860"/>
      <c r="E166" s="1839"/>
      <c r="F166" s="1841"/>
      <c r="G166" s="1981"/>
      <c r="H166" s="1712"/>
      <c r="I166" s="1978"/>
      <c r="J166" s="40" t="s">
        <v>83</v>
      </c>
      <c r="K166" s="86"/>
      <c r="L166" s="364">
        <v>0</v>
      </c>
      <c r="M166" s="364">
        <v>0</v>
      </c>
      <c r="N166" s="364">
        <v>0</v>
      </c>
      <c r="O166" s="364">
        <v>0</v>
      </c>
      <c r="P166" s="364">
        <v>0</v>
      </c>
      <c r="Q166" s="1475">
        <f>L166*$H163</f>
        <v>0</v>
      </c>
      <c r="R166" s="1475">
        <f>M166*$H163</f>
        <v>0</v>
      </c>
      <c r="S166" s="1475">
        <f>N166*$H163</f>
        <v>0</v>
      </c>
      <c r="T166" s="1475">
        <f>O166*$H163</f>
        <v>0</v>
      </c>
      <c r="U166" s="1475">
        <f>P166*$H163</f>
        <v>0</v>
      </c>
      <c r="V166" s="1476">
        <f t="shared" si="63"/>
        <v>0</v>
      </c>
    </row>
    <row r="167" spans="1:22" s="39" customFormat="1" ht="24" customHeight="1">
      <c r="A167" s="1860">
        <v>1</v>
      </c>
      <c r="B167" s="1860"/>
      <c r="C167" s="1860"/>
      <c r="D167" s="1860"/>
      <c r="E167" s="1839"/>
      <c r="F167" s="1841"/>
      <c r="G167" s="1982"/>
      <c r="H167" s="1778"/>
      <c r="I167" s="1979"/>
      <c r="J167" s="40" t="s">
        <v>84</v>
      </c>
      <c r="K167" s="86"/>
      <c r="L167" s="364">
        <f>L158-L159</f>
        <v>0</v>
      </c>
      <c r="M167" s="364">
        <f t="shared" ref="M167:P167" si="81">M158-M159</f>
        <v>0</v>
      </c>
      <c r="N167" s="364">
        <f t="shared" si="81"/>
        <v>0</v>
      </c>
      <c r="O167" s="364">
        <f t="shared" si="81"/>
        <v>8508</v>
      </c>
      <c r="P167" s="364">
        <f t="shared" si="81"/>
        <v>9302.9999999999982</v>
      </c>
      <c r="Q167" s="1475">
        <f t="shared" ref="Q167:U167" si="82">Q158-Q159</f>
        <v>0</v>
      </c>
      <c r="R167" s="1475">
        <f t="shared" si="82"/>
        <v>0</v>
      </c>
      <c r="S167" s="1475">
        <f t="shared" si="82"/>
        <v>0</v>
      </c>
      <c r="T167" s="1475">
        <f t="shared" si="82"/>
        <v>9035496</v>
      </c>
      <c r="U167" s="1475">
        <f t="shared" si="82"/>
        <v>9879785.9999999981</v>
      </c>
      <c r="V167" s="1476">
        <f t="shared" si="63"/>
        <v>18915282</v>
      </c>
    </row>
    <row r="168" spans="1:22" s="47" customFormat="1" ht="24" customHeight="1">
      <c r="A168" s="1860">
        <v>1</v>
      </c>
      <c r="B168" s="1860">
        <v>1</v>
      </c>
      <c r="C168" s="1860">
        <v>4</v>
      </c>
      <c r="D168" s="1860">
        <v>2</v>
      </c>
      <c r="E168" s="1839" t="s">
        <v>14</v>
      </c>
      <c r="F168" s="1841" t="str">
        <f>CONCATENATE(A168,".",B168,".",C168,".",D168,)</f>
        <v>1.1.4.2</v>
      </c>
      <c r="G168" s="1674" t="s">
        <v>1118</v>
      </c>
      <c r="H168" s="1601" t="s">
        <v>86</v>
      </c>
      <c r="I168" s="1746" t="s">
        <v>97</v>
      </c>
      <c r="J168" s="869" t="s">
        <v>79</v>
      </c>
      <c r="K168" s="48"/>
      <c r="L168" s="347">
        <f>L158*0.3</f>
        <v>2556</v>
      </c>
      <c r="M168" s="347">
        <f t="shared" ref="M168:P168" si="83">M158*0.3</f>
        <v>2875.5</v>
      </c>
      <c r="N168" s="347">
        <f t="shared" si="83"/>
        <v>3195</v>
      </c>
      <c r="O168" s="347">
        <f t="shared" si="83"/>
        <v>3834</v>
      </c>
      <c r="P168" s="347">
        <f t="shared" si="83"/>
        <v>4472.9999999999991</v>
      </c>
      <c r="Q168" s="1475">
        <f>L168*$H$173</f>
        <v>1942560</v>
      </c>
      <c r="R168" s="1475">
        <f>M168*$H$173</f>
        <v>2185380</v>
      </c>
      <c r="S168" s="1475">
        <f>N168*$H$173</f>
        <v>2428200</v>
      </c>
      <c r="T168" s="1475">
        <f>O168*$H$173</f>
        <v>2913840</v>
      </c>
      <c r="U168" s="1475">
        <f>P168*$H$173</f>
        <v>3399479.9999999995</v>
      </c>
      <c r="V168" s="1476">
        <f t="shared" si="63"/>
        <v>12869460</v>
      </c>
    </row>
    <row r="169" spans="1:22" s="39" customFormat="1" ht="24" customHeight="1">
      <c r="A169" s="1860">
        <v>1</v>
      </c>
      <c r="B169" s="1860"/>
      <c r="C169" s="1860"/>
      <c r="D169" s="1860"/>
      <c r="E169" s="1839"/>
      <c r="F169" s="1841"/>
      <c r="G169" s="1675"/>
      <c r="H169" s="1601"/>
      <c r="I169" s="1747"/>
      <c r="J169" s="40" t="s">
        <v>80</v>
      </c>
      <c r="K169" s="91">
        <v>0.3</v>
      </c>
      <c r="L169" s="364">
        <f t="shared" ref="L169:U169" si="84">SUM(L170:L176)</f>
        <v>0</v>
      </c>
      <c r="M169" s="364">
        <f t="shared" si="84"/>
        <v>0</v>
      </c>
      <c r="N169" s="364">
        <f t="shared" si="84"/>
        <v>0</v>
      </c>
      <c r="O169" s="364">
        <f t="shared" si="84"/>
        <v>0</v>
      </c>
      <c r="P169" s="364">
        <f t="shared" si="84"/>
        <v>0</v>
      </c>
      <c r="Q169" s="1475">
        <f t="shared" si="84"/>
        <v>0</v>
      </c>
      <c r="R169" s="1475">
        <f t="shared" si="84"/>
        <v>0</v>
      </c>
      <c r="S169" s="1475">
        <f t="shared" si="84"/>
        <v>0</v>
      </c>
      <c r="T169" s="1475">
        <f t="shared" si="84"/>
        <v>0</v>
      </c>
      <c r="U169" s="1475">
        <f t="shared" si="84"/>
        <v>0</v>
      </c>
      <c r="V169" s="1476">
        <f t="shared" si="63"/>
        <v>0</v>
      </c>
    </row>
    <row r="170" spans="1:22" s="39" customFormat="1" ht="24" customHeight="1">
      <c r="A170" s="1860">
        <v>1</v>
      </c>
      <c r="B170" s="1860"/>
      <c r="C170" s="1860"/>
      <c r="D170" s="1860"/>
      <c r="E170" s="1839"/>
      <c r="F170" s="1841"/>
      <c r="G170" s="1675"/>
      <c r="H170" s="1601"/>
      <c r="I170" s="1747"/>
      <c r="J170" s="40" t="s">
        <v>429</v>
      </c>
      <c r="K170" s="42"/>
      <c r="L170" s="367">
        <v>0</v>
      </c>
      <c r="M170" s="367">
        <v>0</v>
      </c>
      <c r="N170" s="367">
        <v>0</v>
      </c>
      <c r="O170" s="367">
        <v>0</v>
      </c>
      <c r="P170" s="367">
        <v>0</v>
      </c>
      <c r="Q170" s="1475">
        <f>L170*$H173</f>
        <v>0</v>
      </c>
      <c r="R170" s="1475">
        <f>M170*$H173</f>
        <v>0</v>
      </c>
      <c r="S170" s="1475">
        <f>N170*$H173</f>
        <v>0</v>
      </c>
      <c r="T170" s="1475">
        <f>O170*$H173</f>
        <v>0</v>
      </c>
      <c r="U170" s="1475">
        <f>P170*$H173</f>
        <v>0</v>
      </c>
      <c r="V170" s="1476">
        <f t="shared" si="63"/>
        <v>0</v>
      </c>
    </row>
    <row r="171" spans="1:22" s="39" customFormat="1" ht="24" customHeight="1">
      <c r="A171" s="1860">
        <v>1</v>
      </c>
      <c r="B171" s="1860"/>
      <c r="C171" s="1860"/>
      <c r="D171" s="1860"/>
      <c r="E171" s="1839"/>
      <c r="F171" s="1841"/>
      <c r="G171" s="1675"/>
      <c r="H171" s="1601"/>
      <c r="I171" s="1747"/>
      <c r="J171" s="40" t="s">
        <v>133</v>
      </c>
      <c r="K171" s="42"/>
      <c r="L171" s="367">
        <v>0</v>
      </c>
      <c r="M171" s="367">
        <v>0</v>
      </c>
      <c r="N171" s="367">
        <v>0</v>
      </c>
      <c r="O171" s="367">
        <v>0</v>
      </c>
      <c r="P171" s="367">
        <v>0</v>
      </c>
      <c r="Q171" s="1475">
        <f>L171*$H173</f>
        <v>0</v>
      </c>
      <c r="R171" s="1475">
        <f>M171*$H173</f>
        <v>0</v>
      </c>
      <c r="S171" s="1475">
        <f>N171*$H173</f>
        <v>0</v>
      </c>
      <c r="T171" s="1475">
        <f>O171*$H173</f>
        <v>0</v>
      </c>
      <c r="U171" s="1475">
        <f>P171*$H173</f>
        <v>0</v>
      </c>
      <c r="V171" s="1476">
        <f>SUM(Q171:U171)</f>
        <v>0</v>
      </c>
    </row>
    <row r="172" spans="1:22" s="39" customFormat="1" ht="24" customHeight="1">
      <c r="A172" s="1860">
        <v>1</v>
      </c>
      <c r="B172" s="1860"/>
      <c r="C172" s="1860"/>
      <c r="D172" s="1860"/>
      <c r="E172" s="1839"/>
      <c r="F172" s="1841"/>
      <c r="G172" s="1675"/>
      <c r="H172" s="1601"/>
      <c r="I172" s="1747"/>
      <c r="J172" s="40" t="s">
        <v>81</v>
      </c>
      <c r="K172" s="42"/>
      <c r="L172" s="367">
        <v>0</v>
      </c>
      <c r="M172" s="367">
        <v>0</v>
      </c>
      <c r="N172" s="367">
        <v>0</v>
      </c>
      <c r="O172" s="367">
        <v>0</v>
      </c>
      <c r="P172" s="367">
        <v>0</v>
      </c>
      <c r="Q172" s="1475">
        <f>L172*$H173</f>
        <v>0</v>
      </c>
      <c r="R172" s="1475">
        <f>M172*$H173</f>
        <v>0</v>
      </c>
      <c r="S172" s="1475">
        <f>N172*$H173</f>
        <v>0</v>
      </c>
      <c r="T172" s="1475">
        <f>O172*$H173</f>
        <v>0</v>
      </c>
      <c r="U172" s="1475">
        <f>P172*$H173</f>
        <v>0</v>
      </c>
      <c r="V172" s="1476">
        <f t="shared" si="63"/>
        <v>0</v>
      </c>
    </row>
    <row r="173" spans="1:22" s="39" customFormat="1" ht="24" customHeight="1">
      <c r="A173" s="1860">
        <v>1</v>
      </c>
      <c r="B173" s="1860"/>
      <c r="C173" s="1860"/>
      <c r="D173" s="1860"/>
      <c r="E173" s="1839"/>
      <c r="F173" s="1841"/>
      <c r="G173" s="1675"/>
      <c r="H173" s="1711">
        <f>760</f>
        <v>760</v>
      </c>
      <c r="I173" s="1747"/>
      <c r="J173" s="40" t="s">
        <v>134</v>
      </c>
      <c r="K173" s="42"/>
      <c r="L173" s="374">
        <v>0</v>
      </c>
      <c r="M173" s="374">
        <v>0</v>
      </c>
      <c r="N173" s="374">
        <v>0</v>
      </c>
      <c r="O173" s="374">
        <v>0</v>
      </c>
      <c r="P173" s="374">
        <v>0</v>
      </c>
      <c r="Q173" s="1475">
        <f>L173*$H173</f>
        <v>0</v>
      </c>
      <c r="R173" s="1475">
        <f>M173*$H173</f>
        <v>0</v>
      </c>
      <c r="S173" s="1475">
        <f>N173*$H173</f>
        <v>0</v>
      </c>
      <c r="T173" s="1475">
        <f>O173*$H173</f>
        <v>0</v>
      </c>
      <c r="U173" s="1475">
        <f>P173*$H173</f>
        <v>0</v>
      </c>
      <c r="V173" s="1476">
        <f t="shared" si="63"/>
        <v>0</v>
      </c>
    </row>
    <row r="174" spans="1:22" s="39" customFormat="1" ht="24" customHeight="1">
      <c r="A174" s="1860">
        <v>1</v>
      </c>
      <c r="B174" s="1860"/>
      <c r="C174" s="1860"/>
      <c r="D174" s="1860"/>
      <c r="E174" s="1839"/>
      <c r="F174" s="1841"/>
      <c r="G174" s="1675"/>
      <c r="H174" s="1712"/>
      <c r="I174" s="1747"/>
      <c r="J174" s="40" t="s">
        <v>82</v>
      </c>
      <c r="K174" s="42"/>
      <c r="L174" s="367">
        <v>0</v>
      </c>
      <c r="M174" s="367">
        <v>0</v>
      </c>
      <c r="N174" s="367">
        <v>0</v>
      </c>
      <c r="O174" s="367">
        <v>0</v>
      </c>
      <c r="P174" s="367">
        <v>0</v>
      </c>
      <c r="Q174" s="1475">
        <f>L174*$H173</f>
        <v>0</v>
      </c>
      <c r="R174" s="1475">
        <f>M174*$H173</f>
        <v>0</v>
      </c>
      <c r="S174" s="1475">
        <f>N174*$H173</f>
        <v>0</v>
      </c>
      <c r="T174" s="1475">
        <f>O174*$H173</f>
        <v>0</v>
      </c>
      <c r="U174" s="1475">
        <f>P174*$H173</f>
        <v>0</v>
      </c>
      <c r="V174" s="1476">
        <f t="shared" si="63"/>
        <v>0</v>
      </c>
    </row>
    <row r="175" spans="1:22" s="39" customFormat="1" ht="24" customHeight="1">
      <c r="A175" s="1860">
        <v>1</v>
      </c>
      <c r="B175" s="1860"/>
      <c r="C175" s="1860"/>
      <c r="D175" s="1860"/>
      <c r="E175" s="1839"/>
      <c r="F175" s="1841"/>
      <c r="G175" s="1675"/>
      <c r="H175" s="1712"/>
      <c r="I175" s="1747"/>
      <c r="J175" s="40" t="s">
        <v>90</v>
      </c>
      <c r="K175" s="42"/>
      <c r="L175" s="367">
        <v>0</v>
      </c>
      <c r="M175" s="367">
        <v>0</v>
      </c>
      <c r="N175" s="367">
        <v>0</v>
      </c>
      <c r="O175" s="367">
        <v>0</v>
      </c>
      <c r="P175" s="367">
        <v>0</v>
      </c>
      <c r="Q175" s="1475">
        <f>L175*$H173</f>
        <v>0</v>
      </c>
      <c r="R175" s="1475">
        <f>M175*$H173</f>
        <v>0</v>
      </c>
      <c r="S175" s="1475">
        <f>N175*$H173</f>
        <v>0</v>
      </c>
      <c r="T175" s="1475">
        <f>O175*$H173</f>
        <v>0</v>
      </c>
      <c r="U175" s="1475">
        <f>P175*$H173</f>
        <v>0</v>
      </c>
      <c r="V175" s="1476">
        <f t="shared" si="63"/>
        <v>0</v>
      </c>
    </row>
    <row r="176" spans="1:22" s="39" customFormat="1" ht="24" customHeight="1">
      <c r="A176" s="1860">
        <v>1</v>
      </c>
      <c r="B176" s="1860"/>
      <c r="C176" s="1860"/>
      <c r="D176" s="1860"/>
      <c r="E176" s="1839"/>
      <c r="F176" s="1841"/>
      <c r="G176" s="1675"/>
      <c r="H176" s="1712"/>
      <c r="I176" s="1747"/>
      <c r="J176" s="40" t="s">
        <v>83</v>
      </c>
      <c r="K176" s="42"/>
      <c r="L176" s="367">
        <v>0</v>
      </c>
      <c r="M176" s="367">
        <v>0</v>
      </c>
      <c r="N176" s="367">
        <v>0</v>
      </c>
      <c r="O176" s="367">
        <v>0</v>
      </c>
      <c r="P176" s="367">
        <v>0</v>
      </c>
      <c r="Q176" s="1475">
        <f>L176*$H173</f>
        <v>0</v>
      </c>
      <c r="R176" s="1475">
        <f>M176*$H173</f>
        <v>0</v>
      </c>
      <c r="S176" s="1475">
        <f>N176*$H173</f>
        <v>0</v>
      </c>
      <c r="T176" s="1475">
        <f>O176*$H173</f>
        <v>0</v>
      </c>
      <c r="U176" s="1475">
        <f>P176*$H173</f>
        <v>0</v>
      </c>
      <c r="V176" s="1476">
        <f t="shared" si="63"/>
        <v>0</v>
      </c>
    </row>
    <row r="177" spans="1:22" s="39" customFormat="1" ht="24" customHeight="1">
      <c r="A177" s="1860">
        <v>1</v>
      </c>
      <c r="B177" s="1860"/>
      <c r="C177" s="1860"/>
      <c r="D177" s="1860"/>
      <c r="E177" s="1839"/>
      <c r="F177" s="1841"/>
      <c r="G177" s="1676"/>
      <c r="H177" s="1778"/>
      <c r="I177" s="1748"/>
      <c r="J177" s="40" t="s">
        <v>84</v>
      </c>
      <c r="K177" s="42"/>
      <c r="L177" s="364">
        <f>L168-L169</f>
        <v>2556</v>
      </c>
      <c r="M177" s="364">
        <f t="shared" ref="M177:U177" si="85">M168-M169</f>
        <v>2875.5</v>
      </c>
      <c r="N177" s="364">
        <f t="shared" si="85"/>
        <v>3195</v>
      </c>
      <c r="O177" s="364">
        <f t="shared" si="85"/>
        <v>3834</v>
      </c>
      <c r="P177" s="364">
        <f t="shared" si="85"/>
        <v>4472.9999999999991</v>
      </c>
      <c r="Q177" s="1475">
        <f t="shared" si="85"/>
        <v>1942560</v>
      </c>
      <c r="R177" s="1475">
        <f t="shared" si="85"/>
        <v>2185380</v>
      </c>
      <c r="S177" s="1475">
        <f t="shared" si="85"/>
        <v>2428200</v>
      </c>
      <c r="T177" s="1475">
        <f t="shared" si="85"/>
        <v>2913840</v>
      </c>
      <c r="U177" s="1475">
        <f t="shared" si="85"/>
        <v>3399479.9999999995</v>
      </c>
      <c r="V177" s="1476">
        <f t="shared" si="63"/>
        <v>12869460</v>
      </c>
    </row>
    <row r="178" spans="1:22" s="360" customFormat="1" ht="24" customHeight="1">
      <c r="A178" s="1860">
        <v>1</v>
      </c>
      <c r="B178" s="1860">
        <v>1</v>
      </c>
      <c r="C178" s="1860">
        <v>4</v>
      </c>
      <c r="D178" s="1860">
        <v>3</v>
      </c>
      <c r="E178" s="1839" t="s">
        <v>14</v>
      </c>
      <c r="F178" s="1841" t="str">
        <f>CONCATENATE(A178,".",B178,".",C178,".",D178,)</f>
        <v>1.1.4.3</v>
      </c>
      <c r="G178" s="1740" t="s">
        <v>740</v>
      </c>
      <c r="H178" s="1685" t="s">
        <v>732</v>
      </c>
      <c r="I178" s="1971" t="s">
        <v>741</v>
      </c>
      <c r="J178" s="869" t="s">
        <v>79</v>
      </c>
      <c r="K178" s="48"/>
      <c r="L178" s="347">
        <f>K159*0.04</f>
        <v>852</v>
      </c>
      <c r="M178" s="347">
        <f>M158-L158</f>
        <v>1065</v>
      </c>
      <c r="N178" s="347">
        <f>N158-M158</f>
        <v>1065</v>
      </c>
      <c r="O178" s="347">
        <f>O158-N158</f>
        <v>2130</v>
      </c>
      <c r="P178" s="347">
        <f>P158-O158</f>
        <v>2129.9999999999982</v>
      </c>
      <c r="Q178" s="1475">
        <f>L178*$H$173</f>
        <v>647520</v>
      </c>
      <c r="R178" s="1475">
        <f>M178*$H$173</f>
        <v>809400</v>
      </c>
      <c r="S178" s="1475">
        <f>N178*$H$173</f>
        <v>809400</v>
      </c>
      <c r="T178" s="1475">
        <f>O178*$H$173</f>
        <v>1618800</v>
      </c>
      <c r="U178" s="1475">
        <f>P178*$H$173</f>
        <v>1618799.9999999986</v>
      </c>
      <c r="V178" s="1476">
        <f t="shared" ref="V178:V180" si="86">SUM(Q178:U178)</f>
        <v>5503919.9999999981</v>
      </c>
    </row>
    <row r="179" spans="1:22" s="99" customFormat="1" ht="24" customHeight="1">
      <c r="A179" s="1860">
        <v>1</v>
      </c>
      <c r="B179" s="1860"/>
      <c r="C179" s="1860"/>
      <c r="D179" s="1860"/>
      <c r="E179" s="1839"/>
      <c r="F179" s="1841"/>
      <c r="G179" s="1741"/>
      <c r="H179" s="1685"/>
      <c r="I179" s="1972"/>
      <c r="J179" s="40" t="s">
        <v>80</v>
      </c>
      <c r="K179" s="357"/>
      <c r="L179" s="364">
        <f t="shared" ref="L179:U179" si="87">SUM(L180:L186)</f>
        <v>0</v>
      </c>
      <c r="M179" s="364">
        <f t="shared" si="87"/>
        <v>0</v>
      </c>
      <c r="N179" s="364">
        <f t="shared" si="87"/>
        <v>0</v>
      </c>
      <c r="O179" s="364">
        <f t="shared" si="87"/>
        <v>0</v>
      </c>
      <c r="P179" s="364">
        <f t="shared" si="87"/>
        <v>0</v>
      </c>
      <c r="Q179" s="1475">
        <f t="shared" si="87"/>
        <v>0</v>
      </c>
      <c r="R179" s="1475">
        <f t="shared" si="87"/>
        <v>0</v>
      </c>
      <c r="S179" s="1475">
        <f t="shared" si="87"/>
        <v>0</v>
      </c>
      <c r="T179" s="1475">
        <f t="shared" si="87"/>
        <v>0</v>
      </c>
      <c r="U179" s="1475">
        <f t="shared" si="87"/>
        <v>0</v>
      </c>
      <c r="V179" s="1476">
        <f t="shared" si="86"/>
        <v>0</v>
      </c>
    </row>
    <row r="180" spans="1:22" s="99" customFormat="1" ht="24" customHeight="1">
      <c r="A180" s="1860">
        <v>1</v>
      </c>
      <c r="B180" s="1860"/>
      <c r="C180" s="1860"/>
      <c r="D180" s="1860"/>
      <c r="E180" s="1839"/>
      <c r="F180" s="1841"/>
      <c r="G180" s="1741"/>
      <c r="H180" s="1685"/>
      <c r="I180" s="1972"/>
      <c r="J180" s="40" t="s">
        <v>429</v>
      </c>
      <c r="K180" s="42"/>
      <c r="L180" s="366">
        <v>0</v>
      </c>
      <c r="M180" s="366">
        <v>0</v>
      </c>
      <c r="N180" s="366">
        <v>0</v>
      </c>
      <c r="O180" s="366">
        <v>0</v>
      </c>
      <c r="P180" s="366">
        <v>0</v>
      </c>
      <c r="Q180" s="1475">
        <f>L180*$H183</f>
        <v>0</v>
      </c>
      <c r="R180" s="1475">
        <f>M180*$H183</f>
        <v>0</v>
      </c>
      <c r="S180" s="1475">
        <f>N180*$H183</f>
        <v>0</v>
      </c>
      <c r="T180" s="1475">
        <f>O180*$H183</f>
        <v>0</v>
      </c>
      <c r="U180" s="1475">
        <f>P180*$H183</f>
        <v>0</v>
      </c>
      <c r="V180" s="1476">
        <f t="shared" si="86"/>
        <v>0</v>
      </c>
    </row>
    <row r="181" spans="1:22" s="99" customFormat="1" ht="24" customHeight="1">
      <c r="A181" s="1860">
        <v>1</v>
      </c>
      <c r="B181" s="1860"/>
      <c r="C181" s="1860"/>
      <c r="D181" s="1860"/>
      <c r="E181" s="1839"/>
      <c r="F181" s="1841"/>
      <c r="G181" s="1741"/>
      <c r="H181" s="1685"/>
      <c r="I181" s="1972"/>
      <c r="J181" s="40" t="s">
        <v>133</v>
      </c>
      <c r="K181" s="42"/>
      <c r="L181" s="366">
        <v>0</v>
      </c>
      <c r="M181" s="366">
        <v>0</v>
      </c>
      <c r="N181" s="366">
        <v>0</v>
      </c>
      <c r="O181" s="366">
        <v>0</v>
      </c>
      <c r="P181" s="366">
        <v>0</v>
      </c>
      <c r="Q181" s="1475">
        <f>L181*$H183</f>
        <v>0</v>
      </c>
      <c r="R181" s="1475">
        <f>M181*$H183</f>
        <v>0</v>
      </c>
      <c r="S181" s="1475">
        <f>N181*$H183</f>
        <v>0</v>
      </c>
      <c r="T181" s="1475">
        <f>O181*$H183</f>
        <v>0</v>
      </c>
      <c r="U181" s="1475">
        <f>P181*$H183</f>
        <v>0</v>
      </c>
      <c r="V181" s="1476">
        <f>SUM(Q181:U181)</f>
        <v>0</v>
      </c>
    </row>
    <row r="182" spans="1:22" s="99" customFormat="1" ht="24" customHeight="1">
      <c r="A182" s="1860">
        <v>1</v>
      </c>
      <c r="B182" s="1860"/>
      <c r="C182" s="1860"/>
      <c r="D182" s="1860"/>
      <c r="E182" s="1839"/>
      <c r="F182" s="1841"/>
      <c r="G182" s="1741"/>
      <c r="H182" s="1685"/>
      <c r="I182" s="1972"/>
      <c r="J182" s="40" t="s">
        <v>81</v>
      </c>
      <c r="K182" s="42"/>
      <c r="L182" s="366">
        <v>0</v>
      </c>
      <c r="M182" s="366">
        <v>0</v>
      </c>
      <c r="N182" s="366">
        <v>0</v>
      </c>
      <c r="O182" s="366">
        <v>0</v>
      </c>
      <c r="P182" s="366">
        <v>0</v>
      </c>
      <c r="Q182" s="1475">
        <f>L182*$H183</f>
        <v>0</v>
      </c>
      <c r="R182" s="1475">
        <f>M182*$H183</f>
        <v>0</v>
      </c>
      <c r="S182" s="1475">
        <f>N182*$H183</f>
        <v>0</v>
      </c>
      <c r="T182" s="1475">
        <f>O182*$H183</f>
        <v>0</v>
      </c>
      <c r="U182" s="1475">
        <f>P182*$H183</f>
        <v>0</v>
      </c>
      <c r="V182" s="1476">
        <f t="shared" ref="V182:V187" si="88">SUM(Q182:U182)</f>
        <v>0</v>
      </c>
    </row>
    <row r="183" spans="1:22" s="99" customFormat="1" ht="24" customHeight="1">
      <c r="A183" s="1860">
        <v>1</v>
      </c>
      <c r="B183" s="1860"/>
      <c r="C183" s="1860"/>
      <c r="D183" s="1860"/>
      <c r="E183" s="1839"/>
      <c r="F183" s="1841"/>
      <c r="G183" s="1741"/>
      <c r="H183" s="1927">
        <v>180</v>
      </c>
      <c r="I183" s="1972"/>
      <c r="J183" s="40" t="s">
        <v>134</v>
      </c>
      <c r="K183" s="42"/>
      <c r="L183" s="347">
        <v>0</v>
      </c>
      <c r="M183" s="347">
        <v>0</v>
      </c>
      <c r="N183" s="347">
        <v>0</v>
      </c>
      <c r="O183" s="347">
        <v>0</v>
      </c>
      <c r="P183" s="347">
        <v>0</v>
      </c>
      <c r="Q183" s="1475">
        <f>L183*$H183</f>
        <v>0</v>
      </c>
      <c r="R183" s="1475">
        <f>M183*$H183</f>
        <v>0</v>
      </c>
      <c r="S183" s="1475">
        <f>N183*$H183</f>
        <v>0</v>
      </c>
      <c r="T183" s="1475">
        <f>O183*$H183</f>
        <v>0</v>
      </c>
      <c r="U183" s="1475">
        <f>P183*$H183</f>
        <v>0</v>
      </c>
      <c r="V183" s="1476">
        <f t="shared" si="88"/>
        <v>0</v>
      </c>
    </row>
    <row r="184" spans="1:22" s="99" customFormat="1" ht="24" customHeight="1">
      <c r="A184" s="1860">
        <v>1</v>
      </c>
      <c r="B184" s="1860"/>
      <c r="C184" s="1860"/>
      <c r="D184" s="1860"/>
      <c r="E184" s="1839"/>
      <c r="F184" s="1841"/>
      <c r="G184" s="1741"/>
      <c r="H184" s="1928"/>
      <c r="I184" s="1972"/>
      <c r="J184" s="40" t="s">
        <v>82</v>
      </c>
      <c r="K184" s="42"/>
      <c r="L184" s="366">
        <v>0</v>
      </c>
      <c r="M184" s="366">
        <v>0</v>
      </c>
      <c r="N184" s="366">
        <v>0</v>
      </c>
      <c r="O184" s="366">
        <v>0</v>
      </c>
      <c r="P184" s="366">
        <v>0</v>
      </c>
      <c r="Q184" s="1475">
        <f>L184*$H183</f>
        <v>0</v>
      </c>
      <c r="R184" s="1475">
        <f>M184*$H183</f>
        <v>0</v>
      </c>
      <c r="S184" s="1475">
        <f>N184*$H183</f>
        <v>0</v>
      </c>
      <c r="T184" s="1475">
        <f>O184*$H183</f>
        <v>0</v>
      </c>
      <c r="U184" s="1475">
        <f>P184*$H183</f>
        <v>0</v>
      </c>
      <c r="V184" s="1476">
        <f t="shared" si="88"/>
        <v>0</v>
      </c>
    </row>
    <row r="185" spans="1:22" s="99" customFormat="1" ht="24" customHeight="1">
      <c r="A185" s="1860">
        <v>1</v>
      </c>
      <c r="B185" s="1860"/>
      <c r="C185" s="1860"/>
      <c r="D185" s="1860"/>
      <c r="E185" s="1839"/>
      <c r="F185" s="1841"/>
      <c r="G185" s="1741"/>
      <c r="H185" s="1928"/>
      <c r="I185" s="1972"/>
      <c r="J185" s="40" t="s">
        <v>90</v>
      </c>
      <c r="K185" s="42"/>
      <c r="L185" s="366">
        <v>0</v>
      </c>
      <c r="M185" s="366">
        <v>0</v>
      </c>
      <c r="N185" s="366">
        <v>0</v>
      </c>
      <c r="O185" s="366">
        <v>0</v>
      </c>
      <c r="P185" s="366">
        <v>0</v>
      </c>
      <c r="Q185" s="1475">
        <f>L185*$H183</f>
        <v>0</v>
      </c>
      <c r="R185" s="1475">
        <f>M185*$H183</f>
        <v>0</v>
      </c>
      <c r="S185" s="1475">
        <f>N185*$H183</f>
        <v>0</v>
      </c>
      <c r="T185" s="1475">
        <f>O185*$H183</f>
        <v>0</v>
      </c>
      <c r="U185" s="1475">
        <f>P185*$H183</f>
        <v>0</v>
      </c>
      <c r="V185" s="1476">
        <f t="shared" si="88"/>
        <v>0</v>
      </c>
    </row>
    <row r="186" spans="1:22" s="99" customFormat="1" ht="24" customHeight="1">
      <c r="A186" s="1860">
        <v>1</v>
      </c>
      <c r="B186" s="1860"/>
      <c r="C186" s="1860"/>
      <c r="D186" s="1860"/>
      <c r="E186" s="1839"/>
      <c r="F186" s="1841"/>
      <c r="G186" s="1741"/>
      <c r="H186" s="1928"/>
      <c r="I186" s="1972"/>
      <c r="J186" s="40" t="s">
        <v>83</v>
      </c>
      <c r="K186" s="42"/>
      <c r="L186" s="366">
        <v>0</v>
      </c>
      <c r="M186" s="366">
        <v>0</v>
      </c>
      <c r="N186" s="366">
        <v>0</v>
      </c>
      <c r="O186" s="366">
        <v>0</v>
      </c>
      <c r="P186" s="366">
        <v>0</v>
      </c>
      <c r="Q186" s="1475">
        <f>L186*$H183</f>
        <v>0</v>
      </c>
      <c r="R186" s="1475">
        <f>M186*$H183</f>
        <v>0</v>
      </c>
      <c r="S186" s="1475">
        <f>N186*$H183</f>
        <v>0</v>
      </c>
      <c r="T186" s="1475">
        <f>O186*$H183</f>
        <v>0</v>
      </c>
      <c r="U186" s="1475">
        <f>P186*$H183</f>
        <v>0</v>
      </c>
      <c r="V186" s="1476">
        <f t="shared" si="88"/>
        <v>0</v>
      </c>
    </row>
    <row r="187" spans="1:22" s="99" customFormat="1" ht="24" customHeight="1" thickBot="1">
      <c r="A187" s="1860">
        <v>1</v>
      </c>
      <c r="B187" s="1860"/>
      <c r="C187" s="1860"/>
      <c r="D187" s="1860"/>
      <c r="E187" s="1839"/>
      <c r="F187" s="1841"/>
      <c r="G187" s="1742"/>
      <c r="H187" s="1974"/>
      <c r="I187" s="1973"/>
      <c r="J187" s="40" t="s">
        <v>84</v>
      </c>
      <c r="K187" s="42"/>
      <c r="L187" s="364">
        <f>L178-L179</f>
        <v>852</v>
      </c>
      <c r="M187" s="364">
        <f t="shared" ref="M187:U187" si="89">M178-M179</f>
        <v>1065</v>
      </c>
      <c r="N187" s="364">
        <f t="shared" si="89"/>
        <v>1065</v>
      </c>
      <c r="O187" s="364">
        <f t="shared" si="89"/>
        <v>2130</v>
      </c>
      <c r="P187" s="364">
        <f t="shared" si="89"/>
        <v>2129.9999999999982</v>
      </c>
      <c r="Q187" s="1475">
        <f t="shared" si="89"/>
        <v>647520</v>
      </c>
      <c r="R187" s="1475">
        <f t="shared" si="89"/>
        <v>809400</v>
      </c>
      <c r="S187" s="1475">
        <f t="shared" si="89"/>
        <v>809400</v>
      </c>
      <c r="T187" s="1475">
        <f t="shared" si="89"/>
        <v>1618800</v>
      </c>
      <c r="U187" s="1475">
        <f t="shared" si="89"/>
        <v>1618799.9999999986</v>
      </c>
      <c r="V187" s="1476">
        <f t="shared" si="88"/>
        <v>5503919.9999999981</v>
      </c>
    </row>
    <row r="188" spans="1:22" s="34" customFormat="1" ht="24" customHeight="1">
      <c r="A188" s="74">
        <v>1</v>
      </c>
      <c r="B188" s="74">
        <v>1</v>
      </c>
      <c r="C188" s="74">
        <v>5</v>
      </c>
      <c r="D188" s="74"/>
      <c r="E188" s="74" t="s">
        <v>13</v>
      </c>
      <c r="F188" s="854" t="str">
        <f>CONCATENATE(A188,".",B188,".",C188,)</f>
        <v>1.1.5</v>
      </c>
      <c r="G188" s="1700" t="s">
        <v>305</v>
      </c>
      <c r="H188" s="1701"/>
      <c r="I188" s="1701"/>
      <c r="J188" s="1702"/>
      <c r="K188" s="877"/>
      <c r="L188" s="864">
        <v>0.3</v>
      </c>
      <c r="M188" s="864">
        <v>0.35</v>
      </c>
      <c r="N188" s="864">
        <v>0.4</v>
      </c>
      <c r="O188" s="864">
        <v>0.45</v>
      </c>
      <c r="P188" s="864">
        <v>0.5</v>
      </c>
      <c r="Q188" s="1494">
        <f>Q190+Q200+Q210</f>
        <v>2883956.46</v>
      </c>
      <c r="R188" s="1494">
        <f t="shared" ref="R188:V188" si="90">R190+R200+R210</f>
        <v>3289676.46</v>
      </c>
      <c r="S188" s="1494">
        <f t="shared" si="90"/>
        <v>3695396.46</v>
      </c>
      <c r="T188" s="1494">
        <f t="shared" si="90"/>
        <v>1695539.6640000001</v>
      </c>
      <c r="U188" s="1494">
        <f t="shared" si="90"/>
        <v>2190425.58</v>
      </c>
      <c r="V188" s="1494">
        <f t="shared" si="90"/>
        <v>13754994.624</v>
      </c>
    </row>
    <row r="189" spans="1:22" s="35" customFormat="1" ht="24" customHeight="1">
      <c r="A189" s="1860">
        <v>1</v>
      </c>
      <c r="B189" s="1860">
        <v>1</v>
      </c>
      <c r="C189" s="1860">
        <v>5</v>
      </c>
      <c r="D189" s="1860">
        <v>1</v>
      </c>
      <c r="E189" s="1839" t="s">
        <v>14</v>
      </c>
      <c r="F189" s="1841" t="str">
        <f>CONCATENATE(A189,".",B189,".",C189,".",D189,)</f>
        <v>1.1.5.1</v>
      </c>
      <c r="G189" s="1642" t="s">
        <v>1129</v>
      </c>
      <c r="H189" s="1601" t="s">
        <v>86</v>
      </c>
      <c r="I189" s="1655" t="s">
        <v>468</v>
      </c>
      <c r="J189" s="36" t="s">
        <v>79</v>
      </c>
      <c r="K189" s="878"/>
      <c r="L189" s="879">
        <v>2772</v>
      </c>
      <c r="M189" s="879">
        <v>2772</v>
      </c>
      <c r="N189" s="879">
        <v>2772</v>
      </c>
      <c r="O189" s="879">
        <v>2772</v>
      </c>
      <c r="P189" s="879">
        <v>2772</v>
      </c>
      <c r="Q189" s="1475">
        <f>L189*H194</f>
        <v>404795.16</v>
      </c>
      <c r="R189" s="1475">
        <f>M189*H194</f>
        <v>404795.16</v>
      </c>
      <c r="S189" s="1475">
        <f>N189*H194</f>
        <v>404795.16</v>
      </c>
      <c r="T189" s="1475">
        <f>O189*H194</f>
        <v>404795.16</v>
      </c>
      <c r="U189" s="1475">
        <f>P189*H194</f>
        <v>404795.16</v>
      </c>
      <c r="V189" s="1476">
        <f t="shared" si="63"/>
        <v>2023975.7999999998</v>
      </c>
    </row>
    <row r="190" spans="1:22" s="39" customFormat="1" ht="24" customHeight="1">
      <c r="A190" s="1860">
        <v>1</v>
      </c>
      <c r="B190" s="1860"/>
      <c r="C190" s="1860"/>
      <c r="D190" s="1860"/>
      <c r="E190" s="1839"/>
      <c r="F190" s="1841"/>
      <c r="G190" s="1643"/>
      <c r="H190" s="1601"/>
      <c r="I190" s="1656"/>
      <c r="J190" s="40" t="s">
        <v>80</v>
      </c>
      <c r="K190" s="878"/>
      <c r="L190" s="364">
        <f t="shared" ref="L190:P190" si="91">SUM(L191:L197)</f>
        <v>2772</v>
      </c>
      <c r="M190" s="364">
        <f t="shared" si="91"/>
        <v>2772</v>
      </c>
      <c r="N190" s="364">
        <f t="shared" si="91"/>
        <v>2772</v>
      </c>
      <c r="O190" s="364">
        <f t="shared" si="91"/>
        <v>1108.8</v>
      </c>
      <c r="P190" s="364">
        <f t="shared" si="91"/>
        <v>1386</v>
      </c>
      <c r="Q190" s="1475">
        <f t="shared" ref="Q190:U190" si="92">SUM(Q191:Q197)</f>
        <v>404795.16</v>
      </c>
      <c r="R190" s="1475">
        <f t="shared" si="92"/>
        <v>404795.16</v>
      </c>
      <c r="S190" s="1475">
        <f t="shared" si="92"/>
        <v>404795.16000000003</v>
      </c>
      <c r="T190" s="1475">
        <f t="shared" si="92"/>
        <v>161918.06399999998</v>
      </c>
      <c r="U190" s="1475">
        <f t="shared" si="92"/>
        <v>202397.58</v>
      </c>
      <c r="V190" s="1476">
        <f t="shared" si="63"/>
        <v>1578701.1240000001</v>
      </c>
    </row>
    <row r="191" spans="1:22" s="39" customFormat="1" ht="24" customHeight="1">
      <c r="A191" s="1860">
        <v>1</v>
      </c>
      <c r="B191" s="1860"/>
      <c r="C191" s="1860"/>
      <c r="D191" s="1860"/>
      <c r="E191" s="1839"/>
      <c r="F191" s="1841"/>
      <c r="G191" s="1643"/>
      <c r="H191" s="1601"/>
      <c r="I191" s="1656"/>
      <c r="J191" s="40" t="s">
        <v>429</v>
      </c>
      <c r="K191" s="42"/>
      <c r="L191" s="364">
        <v>0</v>
      </c>
      <c r="M191" s="364">
        <v>0</v>
      </c>
      <c r="N191" s="364">
        <v>0</v>
      </c>
      <c r="O191" s="364">
        <v>0</v>
      </c>
      <c r="P191" s="364">
        <v>0</v>
      </c>
      <c r="Q191" s="1475">
        <f>L191*$H194</f>
        <v>0</v>
      </c>
      <c r="R191" s="1475">
        <f>M191*$H194</f>
        <v>0</v>
      </c>
      <c r="S191" s="1475">
        <f>N191*$H194</f>
        <v>0</v>
      </c>
      <c r="T191" s="1475">
        <f>O191*$H194</f>
        <v>0</v>
      </c>
      <c r="U191" s="1475">
        <f>P191*$H194</f>
        <v>0</v>
      </c>
      <c r="V191" s="1476">
        <f t="shared" si="63"/>
        <v>0</v>
      </c>
    </row>
    <row r="192" spans="1:22" s="39" customFormat="1" ht="24" customHeight="1">
      <c r="A192" s="1860">
        <v>1</v>
      </c>
      <c r="B192" s="1860"/>
      <c r="C192" s="1860"/>
      <c r="D192" s="1860"/>
      <c r="E192" s="1839"/>
      <c r="F192" s="1841"/>
      <c r="G192" s="1643"/>
      <c r="H192" s="1601"/>
      <c r="I192" s="1656"/>
      <c r="J192" s="40" t="s">
        <v>133</v>
      </c>
      <c r="K192" s="42"/>
      <c r="L192" s="364">
        <v>0</v>
      </c>
      <c r="M192" s="364">
        <v>0</v>
      </c>
      <c r="N192" s="364">
        <v>0</v>
      </c>
      <c r="O192" s="364">
        <v>0</v>
      </c>
      <c r="P192" s="364">
        <v>0</v>
      </c>
      <c r="Q192" s="1475">
        <f>L192*$H194</f>
        <v>0</v>
      </c>
      <c r="R192" s="1475">
        <f>M192*$H194</f>
        <v>0</v>
      </c>
      <c r="S192" s="1475">
        <f>N192*$H194</f>
        <v>0</v>
      </c>
      <c r="T192" s="1475">
        <f>O192*$H194</f>
        <v>0</v>
      </c>
      <c r="U192" s="1475">
        <f>P192*$H194</f>
        <v>0</v>
      </c>
      <c r="V192" s="1476">
        <f t="shared" si="63"/>
        <v>0</v>
      </c>
    </row>
    <row r="193" spans="1:22" s="39" customFormat="1" ht="24" customHeight="1">
      <c r="A193" s="1860">
        <v>1</v>
      </c>
      <c r="B193" s="1860"/>
      <c r="C193" s="1860"/>
      <c r="D193" s="1860"/>
      <c r="E193" s="1839"/>
      <c r="F193" s="1841"/>
      <c r="G193" s="1643"/>
      <c r="H193" s="1601"/>
      <c r="I193" s="1656"/>
      <c r="J193" s="40" t="s">
        <v>81</v>
      </c>
      <c r="K193" s="42"/>
      <c r="L193" s="364">
        <v>0</v>
      </c>
      <c r="M193" s="364">
        <f>(M189-M196)*0.3</f>
        <v>582.12</v>
      </c>
      <c r="N193" s="364">
        <f>(N189-N196)*0.4</f>
        <v>776.16000000000008</v>
      </c>
      <c r="O193" s="364">
        <f>O189*0.4</f>
        <v>1108.8</v>
      </c>
      <c r="P193" s="364">
        <f>P189*0.5</f>
        <v>1386</v>
      </c>
      <c r="Q193" s="1475">
        <f>L193*$H194</f>
        <v>0</v>
      </c>
      <c r="R193" s="1475">
        <f>M193*$H194</f>
        <v>85006.983600000007</v>
      </c>
      <c r="S193" s="1475">
        <f>N193*$H194</f>
        <v>113342.64480000001</v>
      </c>
      <c r="T193" s="1475">
        <f>O193*$H194</f>
        <v>161918.06399999998</v>
      </c>
      <c r="U193" s="1475">
        <f>P193*$H194</f>
        <v>202397.58</v>
      </c>
      <c r="V193" s="1476">
        <f t="shared" si="63"/>
        <v>562665.27240000002</v>
      </c>
    </row>
    <row r="194" spans="1:22" s="39" customFormat="1" ht="24" customHeight="1">
      <c r="A194" s="1860">
        <v>1</v>
      </c>
      <c r="B194" s="1860"/>
      <c r="C194" s="1860"/>
      <c r="D194" s="1860"/>
      <c r="E194" s="1839"/>
      <c r="F194" s="1841"/>
      <c r="G194" s="1643"/>
      <c r="H194" s="1598">
        <v>146.03</v>
      </c>
      <c r="I194" s="1656"/>
      <c r="J194" s="40" t="s">
        <v>134</v>
      </c>
      <c r="K194" s="42"/>
      <c r="L194" s="364">
        <v>0</v>
      </c>
      <c r="M194" s="364">
        <v>0</v>
      </c>
      <c r="N194" s="364">
        <v>0</v>
      </c>
      <c r="O194" s="364">
        <v>0</v>
      </c>
      <c r="P194" s="364">
        <v>0</v>
      </c>
      <c r="Q194" s="1475">
        <f>L194*$H194</f>
        <v>0</v>
      </c>
      <c r="R194" s="1475">
        <f>M194*$H194</f>
        <v>0</v>
      </c>
      <c r="S194" s="1475">
        <f>N194*$H194</f>
        <v>0</v>
      </c>
      <c r="T194" s="1475">
        <f>O194*$H194</f>
        <v>0</v>
      </c>
      <c r="U194" s="1475">
        <f>P194*$H194</f>
        <v>0</v>
      </c>
      <c r="V194" s="1476">
        <f t="shared" si="63"/>
        <v>0</v>
      </c>
    </row>
    <row r="195" spans="1:22" s="39" customFormat="1" ht="24" customHeight="1">
      <c r="A195" s="1860">
        <v>1</v>
      </c>
      <c r="B195" s="1860"/>
      <c r="C195" s="1860"/>
      <c r="D195" s="1860"/>
      <c r="E195" s="1839"/>
      <c r="F195" s="1841"/>
      <c r="G195" s="1643"/>
      <c r="H195" s="1599">
        <f>810*0.05</f>
        <v>40.5</v>
      </c>
      <c r="I195" s="1656"/>
      <c r="J195" s="40" t="s">
        <v>82</v>
      </c>
      <c r="K195" s="42"/>
      <c r="L195" s="364">
        <f>L189*0.7</f>
        <v>1940.3999999999999</v>
      </c>
      <c r="M195" s="364">
        <f>(M189-M196)*0.7</f>
        <v>1358.28</v>
      </c>
      <c r="N195" s="364">
        <f>(N189-N196)*0.6</f>
        <v>1164.24</v>
      </c>
      <c r="O195" s="364">
        <v>0</v>
      </c>
      <c r="P195" s="364">
        <v>0</v>
      </c>
      <c r="Q195" s="1475">
        <f>L195*$H194</f>
        <v>283356.61199999996</v>
      </c>
      <c r="R195" s="1475">
        <f>M195*$H194</f>
        <v>198349.62839999999</v>
      </c>
      <c r="S195" s="1475">
        <f>N195*$H194</f>
        <v>170013.96720000001</v>
      </c>
      <c r="T195" s="1475">
        <f>O195*$H194</f>
        <v>0</v>
      </c>
      <c r="U195" s="1475">
        <f>P195*$H194</f>
        <v>0</v>
      </c>
      <c r="V195" s="1476">
        <f t="shared" si="63"/>
        <v>651720.20759999997</v>
      </c>
    </row>
    <row r="196" spans="1:22" s="39" customFormat="1" ht="24" customHeight="1">
      <c r="A196" s="1860">
        <v>1</v>
      </c>
      <c r="B196" s="1860"/>
      <c r="C196" s="1860"/>
      <c r="D196" s="1860"/>
      <c r="E196" s="1839"/>
      <c r="F196" s="1841"/>
      <c r="G196" s="1643"/>
      <c r="H196" s="1599"/>
      <c r="I196" s="1656"/>
      <c r="J196" s="846" t="s">
        <v>90</v>
      </c>
      <c r="K196" s="42"/>
      <c r="L196" s="364">
        <f>L189*0.3</f>
        <v>831.6</v>
      </c>
      <c r="M196" s="364">
        <f t="shared" ref="M196:N196" si="93">M189*0.3</f>
        <v>831.6</v>
      </c>
      <c r="N196" s="364">
        <f t="shared" si="93"/>
        <v>831.6</v>
      </c>
      <c r="O196" s="364">
        <v>0</v>
      </c>
      <c r="P196" s="364">
        <v>0</v>
      </c>
      <c r="Q196" s="1475">
        <f>L196*$H194</f>
        <v>121438.54800000001</v>
      </c>
      <c r="R196" s="1475">
        <f>M196*$H194</f>
        <v>121438.54800000001</v>
      </c>
      <c r="S196" s="1475">
        <f>N196*$H194</f>
        <v>121438.54800000001</v>
      </c>
      <c r="T196" s="1475">
        <f>O196*$H194</f>
        <v>0</v>
      </c>
      <c r="U196" s="1475">
        <f>P196*$H194</f>
        <v>0</v>
      </c>
      <c r="V196" s="1476">
        <f t="shared" si="63"/>
        <v>364315.64400000003</v>
      </c>
    </row>
    <row r="197" spans="1:22" s="39" customFormat="1" ht="24" customHeight="1">
      <c r="A197" s="1860">
        <v>1</v>
      </c>
      <c r="B197" s="1860"/>
      <c r="C197" s="1860"/>
      <c r="D197" s="1860"/>
      <c r="E197" s="1839"/>
      <c r="F197" s="1841"/>
      <c r="G197" s="1643"/>
      <c r="H197" s="1599"/>
      <c r="I197" s="1656"/>
      <c r="J197" s="40" t="s">
        <v>83</v>
      </c>
      <c r="K197" s="42"/>
      <c r="L197" s="364">
        <v>0</v>
      </c>
      <c r="M197" s="364">
        <v>0</v>
      </c>
      <c r="N197" s="364">
        <v>0</v>
      </c>
      <c r="O197" s="364">
        <v>0</v>
      </c>
      <c r="P197" s="364">
        <v>0</v>
      </c>
      <c r="Q197" s="1475">
        <f>L197*$H194</f>
        <v>0</v>
      </c>
      <c r="R197" s="1475">
        <f>M197*$H194</f>
        <v>0</v>
      </c>
      <c r="S197" s="1475">
        <f>N197*$H194</f>
        <v>0</v>
      </c>
      <c r="T197" s="1475">
        <f>O197*$H194</f>
        <v>0</v>
      </c>
      <c r="U197" s="1475">
        <f>P197*$H194</f>
        <v>0</v>
      </c>
      <c r="V197" s="1476">
        <f t="shared" ref="V197:V230" si="94">SUM(Q197:U197)</f>
        <v>0</v>
      </c>
    </row>
    <row r="198" spans="1:22" s="39" customFormat="1" ht="24" customHeight="1">
      <c r="A198" s="1860">
        <v>1</v>
      </c>
      <c r="B198" s="1860"/>
      <c r="C198" s="1860"/>
      <c r="D198" s="1860"/>
      <c r="E198" s="1839"/>
      <c r="F198" s="1841"/>
      <c r="G198" s="1644"/>
      <c r="H198" s="1600"/>
      <c r="I198" s="1726"/>
      <c r="J198" s="40" t="s">
        <v>84</v>
      </c>
      <c r="K198" s="42"/>
      <c r="L198" s="364">
        <f t="shared" ref="L198:P198" si="95">L189-L190</f>
        <v>0</v>
      </c>
      <c r="M198" s="364">
        <f t="shared" si="95"/>
        <v>0</v>
      </c>
      <c r="N198" s="364">
        <f t="shared" si="95"/>
        <v>0</v>
      </c>
      <c r="O198" s="364">
        <f t="shared" si="95"/>
        <v>1663.2</v>
      </c>
      <c r="P198" s="364">
        <f t="shared" si="95"/>
        <v>1386</v>
      </c>
      <c r="Q198" s="1475">
        <f t="shared" ref="Q198:U198" si="96">Q189-Q190</f>
        <v>0</v>
      </c>
      <c r="R198" s="1475">
        <f t="shared" si="96"/>
        <v>0</v>
      </c>
      <c r="S198" s="1475">
        <f t="shared" si="96"/>
        <v>0</v>
      </c>
      <c r="T198" s="1475">
        <f t="shared" si="96"/>
        <v>242877.09599999999</v>
      </c>
      <c r="U198" s="1475">
        <f t="shared" si="96"/>
        <v>202397.58</v>
      </c>
      <c r="V198" s="1476">
        <f t="shared" si="94"/>
        <v>445274.67599999998</v>
      </c>
    </row>
    <row r="199" spans="1:22" s="39" customFormat="1" ht="24" customHeight="1">
      <c r="A199" s="1860">
        <v>1</v>
      </c>
      <c r="B199" s="1860">
        <v>1</v>
      </c>
      <c r="C199" s="1860">
        <v>5</v>
      </c>
      <c r="D199" s="1860">
        <v>2</v>
      </c>
      <c r="E199" s="1839" t="s">
        <v>14</v>
      </c>
      <c r="F199" s="1841" t="str">
        <f>CONCATENATE(A199,".",B199,".",C199,".",D199,)</f>
        <v>1.1.5.2</v>
      </c>
      <c r="G199" s="1642" t="s">
        <v>467</v>
      </c>
      <c r="H199" s="1601" t="s">
        <v>86</v>
      </c>
      <c r="I199" s="1906" t="s">
        <v>139</v>
      </c>
      <c r="J199" s="36" t="s">
        <v>79</v>
      </c>
      <c r="K199" s="49">
        <v>10143</v>
      </c>
      <c r="L199" s="375">
        <f>K199*L188</f>
        <v>3042.9</v>
      </c>
      <c r="M199" s="375">
        <f>K199*M188</f>
        <v>3550.0499999999997</v>
      </c>
      <c r="N199" s="375">
        <f>K199*N188</f>
        <v>4057.2000000000003</v>
      </c>
      <c r="O199" s="375">
        <f>K199*O188</f>
        <v>4564.3500000000004</v>
      </c>
      <c r="P199" s="375">
        <f>K199*P188</f>
        <v>5071.5</v>
      </c>
      <c r="Q199" s="1475">
        <f>L199*H204</f>
        <v>2434320</v>
      </c>
      <c r="R199" s="1475">
        <f>M199*H204</f>
        <v>2840040</v>
      </c>
      <c r="S199" s="1475">
        <f>N199*H204</f>
        <v>3245760</v>
      </c>
      <c r="T199" s="1475">
        <f>O199*H204</f>
        <v>3651480.0000000005</v>
      </c>
      <c r="U199" s="1475">
        <f>P199*H204</f>
        <v>4057200</v>
      </c>
      <c r="V199" s="1476">
        <f t="shared" si="94"/>
        <v>16228800</v>
      </c>
    </row>
    <row r="200" spans="1:22" s="39" customFormat="1" ht="24" customHeight="1">
      <c r="A200" s="1860">
        <v>1</v>
      </c>
      <c r="B200" s="1860"/>
      <c r="C200" s="1860"/>
      <c r="D200" s="1860"/>
      <c r="E200" s="1839"/>
      <c r="F200" s="1841"/>
      <c r="G200" s="1643"/>
      <c r="H200" s="1601"/>
      <c r="I200" s="1907"/>
      <c r="J200" s="40" t="s">
        <v>80</v>
      </c>
      <c r="K200" s="42"/>
      <c r="L200" s="364">
        <f t="shared" ref="L200:P200" si="97">SUM(L201:L207)</f>
        <v>3042.8999999999996</v>
      </c>
      <c r="M200" s="364">
        <f>SUM(M201:M207)</f>
        <v>3550.0499999999997</v>
      </c>
      <c r="N200" s="364">
        <f t="shared" si="97"/>
        <v>4057.2</v>
      </c>
      <c r="O200" s="364">
        <f t="shared" si="97"/>
        <v>1917.027</v>
      </c>
      <c r="P200" s="364">
        <f t="shared" si="97"/>
        <v>2485.0349999999999</v>
      </c>
      <c r="Q200" s="1475">
        <f t="shared" ref="Q200:U200" si="98">SUM(Q201:Q207)</f>
        <v>2434320</v>
      </c>
      <c r="R200" s="1475">
        <f t="shared" si="98"/>
        <v>2840040</v>
      </c>
      <c r="S200" s="1475">
        <f t="shared" si="98"/>
        <v>3245760</v>
      </c>
      <c r="T200" s="1475">
        <f t="shared" si="98"/>
        <v>1533621.6</v>
      </c>
      <c r="U200" s="1475">
        <f t="shared" si="98"/>
        <v>1988028</v>
      </c>
      <c r="V200" s="1476">
        <f t="shared" si="94"/>
        <v>12041769.6</v>
      </c>
    </row>
    <row r="201" spans="1:22" s="39" customFormat="1" ht="24" customHeight="1">
      <c r="A201" s="1860">
        <v>1</v>
      </c>
      <c r="B201" s="1860"/>
      <c r="C201" s="1860"/>
      <c r="D201" s="1860"/>
      <c r="E201" s="1839"/>
      <c r="F201" s="1841"/>
      <c r="G201" s="1643"/>
      <c r="H201" s="1601"/>
      <c r="I201" s="1907"/>
      <c r="J201" s="40" t="s">
        <v>429</v>
      </c>
      <c r="K201" s="42"/>
      <c r="L201" s="364">
        <v>0</v>
      </c>
      <c r="M201" s="364">
        <v>0</v>
      </c>
      <c r="N201" s="364">
        <v>0</v>
      </c>
      <c r="O201" s="364">
        <v>0</v>
      </c>
      <c r="P201" s="364">
        <v>0</v>
      </c>
      <c r="Q201" s="1475">
        <f>L201*$H204</f>
        <v>0</v>
      </c>
      <c r="R201" s="1475">
        <f>M201*$H204</f>
        <v>0</v>
      </c>
      <c r="S201" s="1475">
        <f>N201*$H204</f>
        <v>0</v>
      </c>
      <c r="T201" s="1475">
        <f>O201*$H204</f>
        <v>0</v>
      </c>
      <c r="U201" s="1475">
        <f>P201*$H204</f>
        <v>0</v>
      </c>
      <c r="V201" s="1476">
        <f t="shared" si="94"/>
        <v>0</v>
      </c>
    </row>
    <row r="202" spans="1:22" s="39" customFormat="1" ht="24" customHeight="1">
      <c r="A202" s="1860">
        <v>1</v>
      </c>
      <c r="B202" s="1860"/>
      <c r="C202" s="1860"/>
      <c r="D202" s="1860"/>
      <c r="E202" s="1839"/>
      <c r="F202" s="1841"/>
      <c r="G202" s="1643"/>
      <c r="H202" s="1601"/>
      <c r="I202" s="1907"/>
      <c r="J202" s="40" t="s">
        <v>133</v>
      </c>
      <c r="K202" s="42"/>
      <c r="L202" s="364">
        <v>0</v>
      </c>
      <c r="M202" s="364">
        <v>0</v>
      </c>
      <c r="N202" s="364">
        <v>0</v>
      </c>
      <c r="O202" s="364">
        <v>0</v>
      </c>
      <c r="P202" s="364">
        <v>0</v>
      </c>
      <c r="Q202" s="1475">
        <f>L202*$H204</f>
        <v>0</v>
      </c>
      <c r="R202" s="1475">
        <f>M202*$H204</f>
        <v>0</v>
      </c>
      <c r="S202" s="1475">
        <f>N202*$H204</f>
        <v>0</v>
      </c>
      <c r="T202" s="1475">
        <f>O202*$H204</f>
        <v>0</v>
      </c>
      <c r="U202" s="1475">
        <f>P202*$H204</f>
        <v>0</v>
      </c>
      <c r="V202" s="1476">
        <f t="shared" si="94"/>
        <v>0</v>
      </c>
    </row>
    <row r="203" spans="1:22" s="39" customFormat="1" ht="24" customHeight="1">
      <c r="A203" s="1860">
        <v>1</v>
      </c>
      <c r="B203" s="1860"/>
      <c r="C203" s="1860"/>
      <c r="D203" s="1860"/>
      <c r="E203" s="1839"/>
      <c r="F203" s="1841"/>
      <c r="G203" s="1643"/>
      <c r="H203" s="1601"/>
      <c r="I203" s="1907"/>
      <c r="J203" s="40" t="s">
        <v>81</v>
      </c>
      <c r="K203" s="42"/>
      <c r="L203" s="364">
        <f>L199*0.7*0.3</f>
        <v>639.0089999999999</v>
      </c>
      <c r="M203" s="364">
        <f>M199*0.7*0.4</f>
        <v>994.01400000000001</v>
      </c>
      <c r="N203" s="364">
        <f>N199*0.7*0.5</f>
        <v>1420.02</v>
      </c>
      <c r="O203" s="364">
        <f>O199*0.7*0.6</f>
        <v>1917.027</v>
      </c>
      <c r="P203" s="364">
        <f>P199*0.7*0.7</f>
        <v>2485.0349999999999</v>
      </c>
      <c r="Q203" s="1475">
        <f>L203*$H204</f>
        <v>511207.1999999999</v>
      </c>
      <c r="R203" s="1475">
        <f>M203*$H204</f>
        <v>795211.2</v>
      </c>
      <c r="S203" s="1475">
        <f>N203*$H204</f>
        <v>1136016</v>
      </c>
      <c r="T203" s="1475">
        <f>O203*$H204</f>
        <v>1533621.6</v>
      </c>
      <c r="U203" s="1475">
        <f>P203*$H204</f>
        <v>1988028</v>
      </c>
      <c r="V203" s="1476">
        <f t="shared" si="94"/>
        <v>5964084</v>
      </c>
    </row>
    <row r="204" spans="1:22" s="39" customFormat="1" ht="24" customHeight="1">
      <c r="A204" s="1860">
        <v>1</v>
      </c>
      <c r="B204" s="1860"/>
      <c r="C204" s="1860"/>
      <c r="D204" s="1860"/>
      <c r="E204" s="1839"/>
      <c r="F204" s="1841"/>
      <c r="G204" s="1643"/>
      <c r="H204" s="1598">
        <f>800</f>
        <v>800</v>
      </c>
      <c r="I204" s="1907"/>
      <c r="J204" s="40" t="s">
        <v>134</v>
      </c>
      <c r="K204" s="42"/>
      <c r="L204" s="364">
        <v>0</v>
      </c>
      <c r="M204" s="364">
        <v>0</v>
      </c>
      <c r="N204" s="364">
        <v>0</v>
      </c>
      <c r="O204" s="364">
        <v>0</v>
      </c>
      <c r="P204" s="364">
        <v>0</v>
      </c>
      <c r="Q204" s="1475">
        <f>L204*$H204</f>
        <v>0</v>
      </c>
      <c r="R204" s="1475">
        <f>M204*$H204</f>
        <v>0</v>
      </c>
      <c r="S204" s="1475">
        <f>N204*$H204</f>
        <v>0</v>
      </c>
      <c r="T204" s="1475">
        <f>O204*$H204</f>
        <v>0</v>
      </c>
      <c r="U204" s="1475">
        <f>P204*$H204</f>
        <v>0</v>
      </c>
      <c r="V204" s="1476">
        <f t="shared" si="94"/>
        <v>0</v>
      </c>
    </row>
    <row r="205" spans="1:22" s="39" customFormat="1" ht="24" customHeight="1">
      <c r="A205" s="1860">
        <v>1</v>
      </c>
      <c r="B205" s="1860"/>
      <c r="C205" s="1860"/>
      <c r="D205" s="1860"/>
      <c r="E205" s="1839"/>
      <c r="F205" s="1841"/>
      <c r="G205" s="1643"/>
      <c r="H205" s="1599">
        <f>810*0.05</f>
        <v>40.5</v>
      </c>
      <c r="I205" s="1907"/>
      <c r="J205" s="40" t="s">
        <v>82</v>
      </c>
      <c r="K205" s="42"/>
      <c r="L205" s="364">
        <f>L199*0.7*0.7</f>
        <v>1491.0209999999997</v>
      </c>
      <c r="M205" s="364">
        <f>M199*0.7*0.6</f>
        <v>1491.021</v>
      </c>
      <c r="N205" s="364">
        <f>N199*0.7*0.5</f>
        <v>1420.02</v>
      </c>
      <c r="O205" s="364">
        <v>0</v>
      </c>
      <c r="P205" s="364">
        <v>0</v>
      </c>
      <c r="Q205" s="1475">
        <f>L205*$H204</f>
        <v>1192816.7999999998</v>
      </c>
      <c r="R205" s="1475">
        <f>M205*$H204</f>
        <v>1192816.8</v>
      </c>
      <c r="S205" s="1475">
        <f>N205*$H204</f>
        <v>1136016</v>
      </c>
      <c r="T205" s="1475">
        <f>O205*$H204</f>
        <v>0</v>
      </c>
      <c r="U205" s="1475">
        <f>P205*$H204</f>
        <v>0</v>
      </c>
      <c r="V205" s="1476">
        <f t="shared" si="94"/>
        <v>3521649.5999999996</v>
      </c>
    </row>
    <row r="206" spans="1:22" s="39" customFormat="1" ht="24" customHeight="1">
      <c r="A206" s="1860">
        <v>1</v>
      </c>
      <c r="B206" s="1860"/>
      <c r="C206" s="1860"/>
      <c r="D206" s="1860"/>
      <c r="E206" s="1839"/>
      <c r="F206" s="1841"/>
      <c r="G206" s="1643"/>
      <c r="H206" s="1599"/>
      <c r="I206" s="1907"/>
      <c r="J206" s="40" t="s">
        <v>90</v>
      </c>
      <c r="K206" s="42"/>
      <c r="L206" s="364">
        <f>L199*0.3</f>
        <v>912.87</v>
      </c>
      <c r="M206" s="364">
        <f>M199*0.3</f>
        <v>1065.0149999999999</v>
      </c>
      <c r="N206" s="364">
        <f>N199*0.3</f>
        <v>1217.1600000000001</v>
      </c>
      <c r="O206" s="364">
        <v>0</v>
      </c>
      <c r="P206" s="364">
        <v>0</v>
      </c>
      <c r="Q206" s="1475">
        <f>L206*$H204</f>
        <v>730296</v>
      </c>
      <c r="R206" s="1475">
        <f>M206*$H204</f>
        <v>852011.99999999988</v>
      </c>
      <c r="S206" s="1475">
        <f>N206*$H204</f>
        <v>973728.00000000012</v>
      </c>
      <c r="T206" s="1475">
        <f>O206*$H204</f>
        <v>0</v>
      </c>
      <c r="U206" s="1475">
        <f>P206*$H204</f>
        <v>0</v>
      </c>
      <c r="V206" s="1476">
        <f t="shared" si="94"/>
        <v>2556036</v>
      </c>
    </row>
    <row r="207" spans="1:22" s="39" customFormat="1" ht="24" customHeight="1">
      <c r="A207" s="1860">
        <v>1</v>
      </c>
      <c r="B207" s="1860"/>
      <c r="C207" s="1860"/>
      <c r="D207" s="1860"/>
      <c r="E207" s="1839"/>
      <c r="F207" s="1841"/>
      <c r="G207" s="1643"/>
      <c r="H207" s="1599"/>
      <c r="I207" s="1907"/>
      <c r="J207" s="40" t="s">
        <v>83</v>
      </c>
      <c r="K207" s="42"/>
      <c r="L207" s="364">
        <v>0</v>
      </c>
      <c r="M207" s="364">
        <v>0</v>
      </c>
      <c r="N207" s="364">
        <v>0</v>
      </c>
      <c r="O207" s="364">
        <v>0</v>
      </c>
      <c r="P207" s="364">
        <v>0</v>
      </c>
      <c r="Q207" s="1475">
        <f>L207*$H204</f>
        <v>0</v>
      </c>
      <c r="R207" s="1475">
        <f>M207*$H204</f>
        <v>0</v>
      </c>
      <c r="S207" s="1475">
        <f>N207*$H204</f>
        <v>0</v>
      </c>
      <c r="T207" s="1475">
        <f>O207*$H204</f>
        <v>0</v>
      </c>
      <c r="U207" s="1475">
        <f>P207*$H204</f>
        <v>0</v>
      </c>
      <c r="V207" s="1476">
        <f t="shared" si="94"/>
        <v>0</v>
      </c>
    </row>
    <row r="208" spans="1:22" s="39" customFormat="1" ht="24" customHeight="1">
      <c r="A208" s="1860">
        <v>1</v>
      </c>
      <c r="B208" s="1860"/>
      <c r="C208" s="1860"/>
      <c r="D208" s="1860"/>
      <c r="E208" s="1839"/>
      <c r="F208" s="1841"/>
      <c r="G208" s="1644"/>
      <c r="H208" s="1733"/>
      <c r="I208" s="1908"/>
      <c r="J208" s="40" t="s">
        <v>84</v>
      </c>
      <c r="K208" s="42"/>
      <c r="L208" s="364">
        <f t="shared" ref="L208:P208" si="99">L199-L200</f>
        <v>0</v>
      </c>
      <c r="M208" s="364">
        <f t="shared" si="99"/>
        <v>0</v>
      </c>
      <c r="N208" s="364">
        <f t="shared" si="99"/>
        <v>0</v>
      </c>
      <c r="O208" s="364">
        <f t="shared" si="99"/>
        <v>2647.3230000000003</v>
      </c>
      <c r="P208" s="364">
        <f t="shared" si="99"/>
        <v>2586.4650000000001</v>
      </c>
      <c r="Q208" s="1475">
        <f t="shared" ref="Q208:U208" si="100">Q199-Q200</f>
        <v>0</v>
      </c>
      <c r="R208" s="1475">
        <f t="shared" si="100"/>
        <v>0</v>
      </c>
      <c r="S208" s="1475">
        <f t="shared" si="100"/>
        <v>0</v>
      </c>
      <c r="T208" s="1475">
        <f t="shared" si="100"/>
        <v>2117858.4000000004</v>
      </c>
      <c r="U208" s="1475">
        <f t="shared" si="100"/>
        <v>2069172</v>
      </c>
      <c r="V208" s="1476">
        <f t="shared" si="94"/>
        <v>4187030.4000000004</v>
      </c>
    </row>
    <row r="209" spans="1:22" s="45" customFormat="1" ht="24" customHeight="1">
      <c r="A209" s="1860">
        <v>1</v>
      </c>
      <c r="B209" s="1860">
        <v>1</v>
      </c>
      <c r="C209" s="1860">
        <v>5</v>
      </c>
      <c r="D209" s="1860">
        <v>3</v>
      </c>
      <c r="E209" s="1839" t="s">
        <v>49</v>
      </c>
      <c r="F209" s="1841" t="str">
        <f>CONCATENATE(A209,".",B209,".",C209,".",D209,)</f>
        <v>1.1.5.3</v>
      </c>
      <c r="G209" s="1642" t="s">
        <v>1130</v>
      </c>
      <c r="H209" s="1595" t="s">
        <v>140</v>
      </c>
      <c r="I209" s="1906" t="s">
        <v>1041</v>
      </c>
      <c r="J209" s="36" t="s">
        <v>79</v>
      </c>
      <c r="K209" s="817"/>
      <c r="L209" s="368">
        <v>1</v>
      </c>
      <c r="M209" s="368">
        <v>1</v>
      </c>
      <c r="N209" s="376">
        <v>1</v>
      </c>
      <c r="O209" s="376">
        <v>1</v>
      </c>
      <c r="P209" s="376">
        <v>1</v>
      </c>
      <c r="Q209" s="1475">
        <f>L209*H214</f>
        <v>44841.3</v>
      </c>
      <c r="R209" s="1475">
        <f>M209*H214</f>
        <v>44841.3</v>
      </c>
      <c r="S209" s="1475">
        <f>N209*H214</f>
        <v>44841.3</v>
      </c>
      <c r="T209" s="1475">
        <f>O209*H214</f>
        <v>44841.3</v>
      </c>
      <c r="U209" s="1475">
        <f>P209*H214</f>
        <v>44841.3</v>
      </c>
      <c r="V209" s="1476">
        <f t="shared" si="94"/>
        <v>224206.5</v>
      </c>
    </row>
    <row r="210" spans="1:22" s="39" customFormat="1" ht="24" customHeight="1">
      <c r="A210" s="1860">
        <v>1</v>
      </c>
      <c r="B210" s="1860"/>
      <c r="C210" s="1860"/>
      <c r="D210" s="1860"/>
      <c r="E210" s="1839"/>
      <c r="F210" s="1841"/>
      <c r="G210" s="1643"/>
      <c r="H210" s="1596"/>
      <c r="I210" s="1907"/>
      <c r="J210" s="40" t="s">
        <v>80</v>
      </c>
      <c r="K210" s="42"/>
      <c r="L210" s="364">
        <f t="shared" ref="L210:P210" si="101">SUM(L211:L217)</f>
        <v>1</v>
      </c>
      <c r="M210" s="364">
        <f t="shared" si="101"/>
        <v>1</v>
      </c>
      <c r="N210" s="364">
        <f t="shared" si="101"/>
        <v>1</v>
      </c>
      <c r="O210" s="364">
        <f t="shared" si="101"/>
        <v>0</v>
      </c>
      <c r="P210" s="364">
        <f t="shared" si="101"/>
        <v>0</v>
      </c>
      <c r="Q210" s="1475">
        <f t="shared" ref="Q210:U210" si="102">SUM(Q211:Q217)</f>
        <v>44841.3</v>
      </c>
      <c r="R210" s="1475">
        <f t="shared" si="102"/>
        <v>44841.3</v>
      </c>
      <c r="S210" s="1475">
        <f t="shared" si="102"/>
        <v>44841.3</v>
      </c>
      <c r="T210" s="1475">
        <f t="shared" si="102"/>
        <v>0</v>
      </c>
      <c r="U210" s="1475">
        <f t="shared" si="102"/>
        <v>0</v>
      </c>
      <c r="V210" s="1476">
        <f t="shared" si="94"/>
        <v>134523.90000000002</v>
      </c>
    </row>
    <row r="211" spans="1:22" s="39" customFormat="1" ht="24" customHeight="1">
      <c r="A211" s="1860">
        <v>1</v>
      </c>
      <c r="B211" s="1860"/>
      <c r="C211" s="1860"/>
      <c r="D211" s="1860"/>
      <c r="E211" s="1839"/>
      <c r="F211" s="1841"/>
      <c r="G211" s="1643"/>
      <c r="H211" s="1596"/>
      <c r="I211" s="1907"/>
      <c r="J211" s="40" t="s">
        <v>429</v>
      </c>
      <c r="K211" s="42"/>
      <c r="L211" s="364">
        <v>0</v>
      </c>
      <c r="M211" s="364">
        <v>0</v>
      </c>
      <c r="N211" s="364">
        <v>0</v>
      </c>
      <c r="O211" s="364">
        <v>0</v>
      </c>
      <c r="P211" s="364">
        <v>0</v>
      </c>
      <c r="Q211" s="1475">
        <f>L211*$H214</f>
        <v>0</v>
      </c>
      <c r="R211" s="1475">
        <f>M211*$H214</f>
        <v>0</v>
      </c>
      <c r="S211" s="1475">
        <f>N211*$H214</f>
        <v>0</v>
      </c>
      <c r="T211" s="1475">
        <f>O211*$H214</f>
        <v>0</v>
      </c>
      <c r="U211" s="1475">
        <f>P211*$H214</f>
        <v>0</v>
      </c>
      <c r="V211" s="1476">
        <f t="shared" si="94"/>
        <v>0</v>
      </c>
    </row>
    <row r="212" spans="1:22" s="39" customFormat="1" ht="24" customHeight="1">
      <c r="A212" s="1860">
        <v>1</v>
      </c>
      <c r="B212" s="1860"/>
      <c r="C212" s="1860"/>
      <c r="D212" s="1860"/>
      <c r="E212" s="1839"/>
      <c r="F212" s="1841"/>
      <c r="G212" s="1643"/>
      <c r="H212" s="1596"/>
      <c r="I212" s="1907"/>
      <c r="J212" s="40" t="s">
        <v>133</v>
      </c>
      <c r="K212" s="42"/>
      <c r="L212" s="364">
        <v>0</v>
      </c>
      <c r="M212" s="364">
        <v>0</v>
      </c>
      <c r="N212" s="364">
        <v>0</v>
      </c>
      <c r="O212" s="364">
        <v>0</v>
      </c>
      <c r="P212" s="364">
        <v>0</v>
      </c>
      <c r="Q212" s="1475">
        <f>L212*$H214</f>
        <v>0</v>
      </c>
      <c r="R212" s="1475">
        <f>M212*$H214</f>
        <v>0</v>
      </c>
      <c r="S212" s="1475">
        <f>N212*$H214</f>
        <v>0</v>
      </c>
      <c r="T212" s="1475">
        <f>O212*$H214</f>
        <v>0</v>
      </c>
      <c r="U212" s="1475">
        <f>P212*$H214</f>
        <v>0</v>
      </c>
      <c r="V212" s="1476">
        <f t="shared" si="94"/>
        <v>0</v>
      </c>
    </row>
    <row r="213" spans="1:22" s="39" customFormat="1" ht="24" customHeight="1">
      <c r="A213" s="1860">
        <v>1</v>
      </c>
      <c r="B213" s="1860"/>
      <c r="C213" s="1860"/>
      <c r="D213" s="1860"/>
      <c r="E213" s="1839"/>
      <c r="F213" s="1841"/>
      <c r="G213" s="1643"/>
      <c r="H213" s="1618"/>
      <c r="I213" s="1907"/>
      <c r="J213" s="40" t="s">
        <v>81</v>
      </c>
      <c r="K213" s="42"/>
      <c r="L213" s="364">
        <v>0</v>
      </c>
      <c r="M213" s="364">
        <v>0</v>
      </c>
      <c r="N213" s="364">
        <v>0</v>
      </c>
      <c r="O213" s="364">
        <v>0</v>
      </c>
      <c r="P213" s="364">
        <v>0</v>
      </c>
      <c r="Q213" s="1475">
        <f>L213*$H214</f>
        <v>0</v>
      </c>
      <c r="R213" s="1475">
        <f>M213*$H214</f>
        <v>0</v>
      </c>
      <c r="S213" s="1475">
        <f>N213*$H214</f>
        <v>0</v>
      </c>
      <c r="T213" s="1475">
        <f>O213*$H214</f>
        <v>0</v>
      </c>
      <c r="U213" s="1475">
        <f>P213*$H214</f>
        <v>0</v>
      </c>
      <c r="V213" s="1476">
        <f t="shared" si="94"/>
        <v>0</v>
      </c>
    </row>
    <row r="214" spans="1:22" s="39" customFormat="1" ht="24" customHeight="1">
      <c r="A214" s="1860">
        <v>1</v>
      </c>
      <c r="B214" s="1860"/>
      <c r="C214" s="1860"/>
      <c r="D214" s="1860"/>
      <c r="E214" s="1839"/>
      <c r="F214" s="1841"/>
      <c r="G214" s="1643"/>
      <c r="H214" s="1595">
        <f>'Budget assumption'!H43</f>
        <v>44841.3</v>
      </c>
      <c r="I214" s="1907"/>
      <c r="J214" s="40" t="s">
        <v>134</v>
      </c>
      <c r="K214" s="42"/>
      <c r="L214" s="364">
        <v>0</v>
      </c>
      <c r="M214" s="364">
        <v>0</v>
      </c>
      <c r="N214" s="364">
        <v>0</v>
      </c>
      <c r="O214" s="364">
        <v>0</v>
      </c>
      <c r="P214" s="364">
        <v>0</v>
      </c>
      <c r="Q214" s="1475">
        <f>L214*$H214</f>
        <v>0</v>
      </c>
      <c r="R214" s="1475">
        <f>M214*$H214</f>
        <v>0</v>
      </c>
      <c r="S214" s="1475">
        <f>N214*$H214</f>
        <v>0</v>
      </c>
      <c r="T214" s="1475">
        <f>O214*$H214</f>
        <v>0</v>
      </c>
      <c r="U214" s="1475">
        <f>P214*$H214</f>
        <v>0</v>
      </c>
      <c r="V214" s="1476">
        <f t="shared" si="94"/>
        <v>0</v>
      </c>
    </row>
    <row r="215" spans="1:22" s="39" customFormat="1" ht="24" customHeight="1">
      <c r="A215" s="1860">
        <v>1</v>
      </c>
      <c r="B215" s="1860"/>
      <c r="C215" s="1860"/>
      <c r="D215" s="1860"/>
      <c r="E215" s="1839"/>
      <c r="F215" s="1841"/>
      <c r="G215" s="1643"/>
      <c r="H215" s="1596">
        <f>810*0.05</f>
        <v>40.5</v>
      </c>
      <c r="I215" s="1907"/>
      <c r="J215" s="40" t="s">
        <v>82</v>
      </c>
      <c r="K215" s="42"/>
      <c r="L215" s="364">
        <v>1</v>
      </c>
      <c r="M215" s="364">
        <v>1</v>
      </c>
      <c r="N215" s="364">
        <v>1</v>
      </c>
      <c r="O215" s="364">
        <v>0</v>
      </c>
      <c r="P215" s="364">
        <v>0</v>
      </c>
      <c r="Q215" s="1475">
        <f>L215*$H214</f>
        <v>44841.3</v>
      </c>
      <c r="R215" s="1475">
        <f>M215*$H214</f>
        <v>44841.3</v>
      </c>
      <c r="S215" s="1475">
        <f>N215*$H214</f>
        <v>44841.3</v>
      </c>
      <c r="T215" s="1475">
        <f>O215*$H214</f>
        <v>0</v>
      </c>
      <c r="U215" s="1475">
        <f>P215*$H214</f>
        <v>0</v>
      </c>
      <c r="V215" s="1476">
        <f t="shared" si="94"/>
        <v>134523.90000000002</v>
      </c>
    </row>
    <row r="216" spans="1:22" s="39" customFormat="1" ht="24" customHeight="1">
      <c r="A216" s="1860">
        <v>1</v>
      </c>
      <c r="B216" s="1860"/>
      <c r="C216" s="1860"/>
      <c r="D216" s="1860"/>
      <c r="E216" s="1839"/>
      <c r="F216" s="1841"/>
      <c r="G216" s="1643"/>
      <c r="H216" s="1596"/>
      <c r="I216" s="1907"/>
      <c r="J216" s="40" t="s">
        <v>90</v>
      </c>
      <c r="K216" s="42"/>
      <c r="L216" s="364">
        <v>0</v>
      </c>
      <c r="M216" s="364">
        <v>0</v>
      </c>
      <c r="N216" s="364">
        <v>0</v>
      </c>
      <c r="O216" s="364">
        <v>0</v>
      </c>
      <c r="P216" s="364">
        <v>0</v>
      </c>
      <c r="Q216" s="1475">
        <f>L216*$H214</f>
        <v>0</v>
      </c>
      <c r="R216" s="1475">
        <f>M216*$H214</f>
        <v>0</v>
      </c>
      <c r="S216" s="1475">
        <f>N216*$H214</f>
        <v>0</v>
      </c>
      <c r="T216" s="1475">
        <f>O216*$H214</f>
        <v>0</v>
      </c>
      <c r="U216" s="1475">
        <f>P216*$H214</f>
        <v>0</v>
      </c>
      <c r="V216" s="1476">
        <f t="shared" si="94"/>
        <v>0</v>
      </c>
    </row>
    <row r="217" spans="1:22" s="39" customFormat="1" ht="24" customHeight="1">
      <c r="A217" s="1860">
        <v>1</v>
      </c>
      <c r="B217" s="1860"/>
      <c r="C217" s="1860"/>
      <c r="D217" s="1860"/>
      <c r="E217" s="1839"/>
      <c r="F217" s="1841"/>
      <c r="G217" s="1643"/>
      <c r="H217" s="1596"/>
      <c r="I217" s="1907"/>
      <c r="J217" s="40" t="s">
        <v>83</v>
      </c>
      <c r="K217" s="42"/>
      <c r="L217" s="364">
        <v>0</v>
      </c>
      <c r="M217" s="364">
        <v>0</v>
      </c>
      <c r="N217" s="364">
        <v>0</v>
      </c>
      <c r="O217" s="364">
        <v>0</v>
      </c>
      <c r="P217" s="364">
        <v>0</v>
      </c>
      <c r="Q217" s="1475">
        <f>L217*$H214</f>
        <v>0</v>
      </c>
      <c r="R217" s="1475">
        <f>M217*$H214</f>
        <v>0</v>
      </c>
      <c r="S217" s="1475">
        <f>N217*$H214</f>
        <v>0</v>
      </c>
      <c r="T217" s="1475">
        <f>O217*$H214</f>
        <v>0</v>
      </c>
      <c r="U217" s="1475">
        <f>P217*$H214</f>
        <v>0</v>
      </c>
      <c r="V217" s="1476">
        <f t="shared" si="94"/>
        <v>0</v>
      </c>
    </row>
    <row r="218" spans="1:22" s="39" customFormat="1" ht="24" customHeight="1">
      <c r="A218" s="1860">
        <v>1</v>
      </c>
      <c r="B218" s="1860"/>
      <c r="C218" s="1860"/>
      <c r="D218" s="1860"/>
      <c r="E218" s="1839"/>
      <c r="F218" s="1841"/>
      <c r="G218" s="1644"/>
      <c r="H218" s="1618"/>
      <c r="I218" s="1908"/>
      <c r="J218" s="40" t="s">
        <v>84</v>
      </c>
      <c r="K218" s="42"/>
      <c r="L218" s="364">
        <f t="shared" ref="L218:P218" si="103">L209-L210</f>
        <v>0</v>
      </c>
      <c r="M218" s="364">
        <f t="shared" si="103"/>
        <v>0</v>
      </c>
      <c r="N218" s="364">
        <f t="shared" si="103"/>
        <v>0</v>
      </c>
      <c r="O218" s="364">
        <f t="shared" si="103"/>
        <v>1</v>
      </c>
      <c r="P218" s="364">
        <f t="shared" si="103"/>
        <v>1</v>
      </c>
      <c r="Q218" s="1475">
        <f t="shared" ref="Q218:U218" si="104">Q209-Q210</f>
        <v>0</v>
      </c>
      <c r="R218" s="1475">
        <f t="shared" si="104"/>
        <v>0</v>
      </c>
      <c r="S218" s="1475">
        <f t="shared" si="104"/>
        <v>0</v>
      </c>
      <c r="T218" s="1475">
        <f t="shared" si="104"/>
        <v>44841.3</v>
      </c>
      <c r="U218" s="1475">
        <f t="shared" si="104"/>
        <v>44841.3</v>
      </c>
      <c r="V218" s="1476">
        <f t="shared" si="94"/>
        <v>89682.6</v>
      </c>
    </row>
    <row r="219" spans="1:22" s="34" customFormat="1" ht="28.35" customHeight="1">
      <c r="A219" s="74">
        <v>1</v>
      </c>
      <c r="B219" s="74">
        <v>2</v>
      </c>
      <c r="C219" s="74"/>
      <c r="D219" s="74"/>
      <c r="E219" s="74" t="s">
        <v>12</v>
      </c>
      <c r="F219" s="50" t="str">
        <f>CONCATENATE(A219,".",B219)</f>
        <v>1.2</v>
      </c>
      <c r="G219" s="1703" t="s">
        <v>307</v>
      </c>
      <c r="H219" s="1704"/>
      <c r="I219" s="1704"/>
      <c r="J219" s="1705"/>
      <c r="K219" s="880"/>
      <c r="L219" s="881"/>
      <c r="M219" s="881"/>
      <c r="N219" s="881"/>
      <c r="O219" s="881"/>
      <c r="P219" s="881"/>
      <c r="Q219" s="1495">
        <f>Q220+Q281+Q334+Q323+Q312</f>
        <v>2752441.0999999996</v>
      </c>
      <c r="R219" s="1495">
        <f>R220+R281+R334+R323+R312</f>
        <v>3029191.2</v>
      </c>
      <c r="S219" s="1495">
        <f>S220+S281+S334+S323+S312</f>
        <v>3486435.9</v>
      </c>
      <c r="T219" s="1495">
        <f>T220+T281+T334+T323+T312</f>
        <v>2233786.65</v>
      </c>
      <c r="U219" s="1495">
        <f>U220+U281+U334+U323+U312</f>
        <v>2919439.84</v>
      </c>
      <c r="V219" s="1495">
        <f t="shared" si="94"/>
        <v>14421294.689999999</v>
      </c>
    </row>
    <row r="220" spans="1:22" s="51" customFormat="1" ht="24" customHeight="1" thickBot="1">
      <c r="A220" s="74">
        <v>1</v>
      </c>
      <c r="B220" s="74">
        <v>2</v>
      </c>
      <c r="C220" s="74">
        <v>1</v>
      </c>
      <c r="D220" s="74"/>
      <c r="E220" s="74" t="s">
        <v>13</v>
      </c>
      <c r="F220" s="52" t="str">
        <f>CONCATENATE(A220,".",B220,".",C220,)</f>
        <v>1.2.1</v>
      </c>
      <c r="G220" s="1706" t="s">
        <v>53</v>
      </c>
      <c r="H220" s="1707"/>
      <c r="I220" s="1707"/>
      <c r="J220" s="1708"/>
      <c r="K220" s="52"/>
      <c r="L220" s="380"/>
      <c r="M220" s="380"/>
      <c r="N220" s="380"/>
      <c r="O220" s="380"/>
      <c r="P220" s="380"/>
      <c r="Q220" s="1496">
        <f>Q222+Q232+Q242+Q252+Q272+Q262</f>
        <v>662067</v>
      </c>
      <c r="R220" s="1496">
        <f t="shared" ref="R220:U220" si="105">R222+R232+R242+R252+R272+R262</f>
        <v>836377</v>
      </c>
      <c r="S220" s="1496">
        <f t="shared" si="105"/>
        <v>1242092</v>
      </c>
      <c r="T220" s="1496">
        <f t="shared" si="105"/>
        <v>946895</v>
      </c>
      <c r="U220" s="1496">
        <f t="shared" si="105"/>
        <v>1423520</v>
      </c>
      <c r="V220" s="1496">
        <f t="shared" si="94"/>
        <v>5110951</v>
      </c>
    </row>
    <row r="221" spans="1:22" s="45" customFormat="1" ht="24" customHeight="1">
      <c r="A221" s="1860">
        <v>1</v>
      </c>
      <c r="B221" s="1860">
        <v>2</v>
      </c>
      <c r="C221" s="1860">
        <v>1</v>
      </c>
      <c r="D221" s="1860">
        <v>1</v>
      </c>
      <c r="E221" s="1839" t="s">
        <v>49</v>
      </c>
      <c r="F221" s="1841" t="str">
        <f>CONCATENATE(A221,".",B221,".",C221,".",D221,)</f>
        <v>1.2.1.1</v>
      </c>
      <c r="G221" s="1642" t="s">
        <v>20</v>
      </c>
      <c r="H221" s="1816" t="s">
        <v>403</v>
      </c>
      <c r="I221" s="1557" t="s">
        <v>1095</v>
      </c>
      <c r="J221" s="36" t="s">
        <v>79</v>
      </c>
      <c r="K221" s="883">
        <f>'Budget assumption'!C215</f>
        <v>130</v>
      </c>
      <c r="L221" s="883">
        <v>300</v>
      </c>
      <c r="M221" s="883">
        <v>500</v>
      </c>
      <c r="N221" s="883">
        <v>745</v>
      </c>
      <c r="O221" s="883">
        <v>1300</v>
      </c>
      <c r="P221" s="883">
        <v>1500</v>
      </c>
      <c r="Q221" s="1475">
        <f>L221*H226</f>
        <v>240000</v>
      </c>
      <c r="R221" s="1475">
        <f>M221*H226</f>
        <v>400000</v>
      </c>
      <c r="S221" s="1475">
        <f>N221*H226</f>
        <v>596000</v>
      </c>
      <c r="T221" s="1475">
        <f>O221*H226</f>
        <v>1040000</v>
      </c>
      <c r="U221" s="1475">
        <f>P221*H226</f>
        <v>1200000</v>
      </c>
      <c r="V221" s="1476">
        <f t="shared" si="94"/>
        <v>3476000</v>
      </c>
    </row>
    <row r="222" spans="1:22" s="39" customFormat="1" ht="24" customHeight="1">
      <c r="A222" s="1860">
        <v>1</v>
      </c>
      <c r="B222" s="1860"/>
      <c r="C222" s="1860"/>
      <c r="D222" s="1860"/>
      <c r="E222" s="1839"/>
      <c r="F222" s="1841"/>
      <c r="G222" s="1643"/>
      <c r="H222" s="1817"/>
      <c r="I222" s="1558"/>
      <c r="J222" s="40" t="s">
        <v>80</v>
      </c>
      <c r="K222" s="42"/>
      <c r="L222" s="364">
        <f t="shared" ref="L222:P222" si="106">SUM(L223:L229)</f>
        <v>300</v>
      </c>
      <c r="M222" s="364">
        <f t="shared" si="106"/>
        <v>500</v>
      </c>
      <c r="N222" s="364">
        <f t="shared" si="106"/>
        <v>745</v>
      </c>
      <c r="O222" s="364">
        <f t="shared" si="106"/>
        <v>0</v>
      </c>
      <c r="P222" s="364">
        <f t="shared" si="106"/>
        <v>0</v>
      </c>
      <c r="Q222" s="1475">
        <f t="shared" ref="Q222:U222" si="107">SUM(Q223:Q229)</f>
        <v>240000</v>
      </c>
      <c r="R222" s="1475">
        <f t="shared" si="107"/>
        <v>400000</v>
      </c>
      <c r="S222" s="1475">
        <f t="shared" si="107"/>
        <v>596000</v>
      </c>
      <c r="T222" s="1475">
        <f t="shared" si="107"/>
        <v>0</v>
      </c>
      <c r="U222" s="1475">
        <f t="shared" si="107"/>
        <v>0</v>
      </c>
      <c r="V222" s="1476">
        <f t="shared" si="94"/>
        <v>1236000</v>
      </c>
    </row>
    <row r="223" spans="1:22" s="39" customFormat="1" ht="24" customHeight="1">
      <c r="A223" s="1860">
        <v>1</v>
      </c>
      <c r="B223" s="1860"/>
      <c r="C223" s="1860"/>
      <c r="D223" s="1860"/>
      <c r="E223" s="1839"/>
      <c r="F223" s="1841"/>
      <c r="G223" s="1643"/>
      <c r="H223" s="1817"/>
      <c r="I223" s="1558"/>
      <c r="J223" s="40" t="s">
        <v>429</v>
      </c>
      <c r="K223" s="42"/>
      <c r="L223" s="364">
        <v>0</v>
      </c>
      <c r="M223" s="364">
        <v>0</v>
      </c>
      <c r="N223" s="364">
        <v>0</v>
      </c>
      <c r="O223" s="364">
        <v>0</v>
      </c>
      <c r="P223" s="364">
        <v>0</v>
      </c>
      <c r="Q223" s="1475">
        <f>L223*$H226</f>
        <v>0</v>
      </c>
      <c r="R223" s="1475">
        <f>M223*$H226</f>
        <v>0</v>
      </c>
      <c r="S223" s="1475">
        <f>N223*$H226</f>
        <v>0</v>
      </c>
      <c r="T223" s="1475">
        <f>O223*$H226</f>
        <v>0</v>
      </c>
      <c r="U223" s="1475">
        <f>P223*$H226</f>
        <v>0</v>
      </c>
      <c r="V223" s="1476">
        <f t="shared" si="94"/>
        <v>0</v>
      </c>
    </row>
    <row r="224" spans="1:22" s="39" customFormat="1" ht="24" customHeight="1">
      <c r="A224" s="1860">
        <v>1</v>
      </c>
      <c r="B224" s="1860"/>
      <c r="C224" s="1860"/>
      <c r="D224" s="1860"/>
      <c r="E224" s="1839"/>
      <c r="F224" s="1841"/>
      <c r="G224" s="1643"/>
      <c r="H224" s="1817"/>
      <c r="I224" s="1558"/>
      <c r="J224" s="40" t="s">
        <v>133</v>
      </c>
      <c r="K224" s="42"/>
      <c r="L224" s="364">
        <v>0</v>
      </c>
      <c r="M224" s="364">
        <v>0</v>
      </c>
      <c r="N224" s="364">
        <v>0</v>
      </c>
      <c r="O224" s="364">
        <v>0</v>
      </c>
      <c r="P224" s="364">
        <v>0</v>
      </c>
      <c r="Q224" s="1475">
        <f>L224*$H226</f>
        <v>0</v>
      </c>
      <c r="R224" s="1475">
        <f>M224*$H226</f>
        <v>0</v>
      </c>
      <c r="S224" s="1475">
        <f>N224*$H226</f>
        <v>0</v>
      </c>
      <c r="T224" s="1475">
        <f>O224*$H226</f>
        <v>0</v>
      </c>
      <c r="U224" s="1475">
        <f>P224*$H226</f>
        <v>0</v>
      </c>
      <c r="V224" s="1476">
        <f t="shared" si="94"/>
        <v>0</v>
      </c>
    </row>
    <row r="225" spans="1:22" s="39" customFormat="1" ht="24" customHeight="1">
      <c r="A225" s="1860">
        <v>1</v>
      </c>
      <c r="B225" s="1860"/>
      <c r="C225" s="1860"/>
      <c r="D225" s="1860"/>
      <c r="E225" s="1839"/>
      <c r="F225" s="1841"/>
      <c r="G225" s="1643"/>
      <c r="H225" s="1817"/>
      <c r="I225" s="1558"/>
      <c r="J225" s="40" t="s">
        <v>81</v>
      </c>
      <c r="K225" s="42"/>
      <c r="L225" s="364">
        <v>0</v>
      </c>
      <c r="M225" s="364">
        <v>0</v>
      </c>
      <c r="N225" s="364">
        <v>0</v>
      </c>
      <c r="O225" s="364">
        <v>0</v>
      </c>
      <c r="P225" s="364">
        <v>0</v>
      </c>
      <c r="Q225" s="1475">
        <f>L225*$H226</f>
        <v>0</v>
      </c>
      <c r="R225" s="1475">
        <f>M225*$H226</f>
        <v>0</v>
      </c>
      <c r="S225" s="1475">
        <f>N225*$H226</f>
        <v>0</v>
      </c>
      <c r="T225" s="1475">
        <f>O225*$H226</f>
        <v>0</v>
      </c>
      <c r="U225" s="1475">
        <f>P225*$H226</f>
        <v>0</v>
      </c>
      <c r="V225" s="1476">
        <f t="shared" si="94"/>
        <v>0</v>
      </c>
    </row>
    <row r="226" spans="1:22" s="39" customFormat="1" ht="24" customHeight="1">
      <c r="A226" s="1860">
        <v>1</v>
      </c>
      <c r="B226" s="1860"/>
      <c r="C226" s="1860"/>
      <c r="D226" s="1860"/>
      <c r="E226" s="1839"/>
      <c r="F226" s="1841"/>
      <c r="G226" s="1643"/>
      <c r="H226" s="1711">
        <v>800</v>
      </c>
      <c r="I226" s="1558"/>
      <c r="J226" s="40" t="s">
        <v>134</v>
      </c>
      <c r="K226" s="42"/>
      <c r="L226" s="364">
        <v>0</v>
      </c>
      <c r="M226" s="364">
        <v>0</v>
      </c>
      <c r="N226" s="364">
        <v>0</v>
      </c>
      <c r="O226" s="364">
        <v>0</v>
      </c>
      <c r="P226" s="364">
        <v>0</v>
      </c>
      <c r="Q226" s="1475">
        <f>L226*$H226</f>
        <v>0</v>
      </c>
      <c r="R226" s="1475">
        <f>M226*$H226</f>
        <v>0</v>
      </c>
      <c r="S226" s="1475">
        <f>N226*$H226</f>
        <v>0</v>
      </c>
      <c r="T226" s="1475">
        <f>O226*$H226</f>
        <v>0</v>
      </c>
      <c r="U226" s="1475">
        <f>P226*$H226</f>
        <v>0</v>
      </c>
      <c r="V226" s="1476">
        <f t="shared" si="94"/>
        <v>0</v>
      </c>
    </row>
    <row r="227" spans="1:22" s="39" customFormat="1" ht="24" customHeight="1">
      <c r="A227" s="1860">
        <v>1</v>
      </c>
      <c r="B227" s="1860"/>
      <c r="C227" s="1860"/>
      <c r="D227" s="1860"/>
      <c r="E227" s="1839"/>
      <c r="F227" s="1841"/>
      <c r="G227" s="1643"/>
      <c r="H227" s="1712"/>
      <c r="I227" s="1558"/>
      <c r="J227" s="40" t="s">
        <v>82</v>
      </c>
      <c r="K227" s="42"/>
      <c r="L227" s="364">
        <v>110</v>
      </c>
      <c r="M227" s="364">
        <f t="shared" ref="M227:N227" si="108">M221*0.7</f>
        <v>350</v>
      </c>
      <c r="N227" s="364">
        <f t="shared" si="108"/>
        <v>521.5</v>
      </c>
      <c r="O227" s="364">
        <v>0</v>
      </c>
      <c r="P227" s="364">
        <v>0</v>
      </c>
      <c r="Q227" s="1475">
        <f>L227*$H226</f>
        <v>88000</v>
      </c>
      <c r="R227" s="1475">
        <f>M227*$H226</f>
        <v>280000</v>
      </c>
      <c r="S227" s="1475">
        <f>N227*$H226</f>
        <v>417200</v>
      </c>
      <c r="T227" s="1475">
        <f>O227*$H226</f>
        <v>0</v>
      </c>
      <c r="U227" s="1475">
        <f>P227*$H226</f>
        <v>0</v>
      </c>
      <c r="V227" s="1476">
        <f t="shared" si="94"/>
        <v>785200</v>
      </c>
    </row>
    <row r="228" spans="1:22" s="39" customFormat="1" ht="24" customHeight="1">
      <c r="A228" s="1860">
        <v>1</v>
      </c>
      <c r="B228" s="1860"/>
      <c r="C228" s="1860"/>
      <c r="D228" s="1860"/>
      <c r="E228" s="1839"/>
      <c r="F228" s="1841"/>
      <c r="G228" s="1643"/>
      <c r="H228" s="1712"/>
      <c r="I228" s="1558"/>
      <c r="J228" s="40" t="s">
        <v>90</v>
      </c>
      <c r="K228" s="42"/>
      <c r="L228" s="364">
        <f>L221*0.3</f>
        <v>90</v>
      </c>
      <c r="M228" s="364">
        <f t="shared" ref="M228:N228" si="109">M221*0.3</f>
        <v>150</v>
      </c>
      <c r="N228" s="364">
        <f t="shared" si="109"/>
        <v>223.5</v>
      </c>
      <c r="O228" s="364">
        <v>0</v>
      </c>
      <c r="P228" s="364">
        <v>0</v>
      </c>
      <c r="Q228" s="1475">
        <f>L228*$H226</f>
        <v>72000</v>
      </c>
      <c r="R228" s="1475">
        <f>M228*$H226</f>
        <v>120000</v>
      </c>
      <c r="S228" s="1475">
        <f>N228*$H226</f>
        <v>178800</v>
      </c>
      <c r="T228" s="1475">
        <f>O228*$H226</f>
        <v>0</v>
      </c>
      <c r="U228" s="1475">
        <f>P228*$H226</f>
        <v>0</v>
      </c>
      <c r="V228" s="1476">
        <f t="shared" si="94"/>
        <v>370800</v>
      </c>
    </row>
    <row r="229" spans="1:22" s="39" customFormat="1" ht="24" customHeight="1">
      <c r="A229" s="1860">
        <v>1</v>
      </c>
      <c r="B229" s="1860"/>
      <c r="C229" s="1860"/>
      <c r="D229" s="1860"/>
      <c r="E229" s="1839"/>
      <c r="F229" s="1841"/>
      <c r="G229" s="1643"/>
      <c r="H229" s="1712"/>
      <c r="I229" s="1558"/>
      <c r="J229" s="40" t="s">
        <v>83</v>
      </c>
      <c r="K229" s="42"/>
      <c r="L229" s="364">
        <v>100</v>
      </c>
      <c r="M229" s="364">
        <v>0</v>
      </c>
      <c r="N229" s="364">
        <v>0</v>
      </c>
      <c r="O229" s="364">
        <v>0</v>
      </c>
      <c r="P229" s="364">
        <v>0</v>
      </c>
      <c r="Q229" s="1475">
        <f>L229*$H226</f>
        <v>80000</v>
      </c>
      <c r="R229" s="1475">
        <f>M229*$H226</f>
        <v>0</v>
      </c>
      <c r="S229" s="1475">
        <f>N229*$H226</f>
        <v>0</v>
      </c>
      <c r="T229" s="1475">
        <f>O229*$H226</f>
        <v>0</v>
      </c>
      <c r="U229" s="1475">
        <f>P229*$H226</f>
        <v>0</v>
      </c>
      <c r="V229" s="1476">
        <f t="shared" si="94"/>
        <v>80000</v>
      </c>
    </row>
    <row r="230" spans="1:22" s="39" customFormat="1" ht="24" customHeight="1" thickBot="1">
      <c r="A230" s="1860">
        <v>1</v>
      </c>
      <c r="B230" s="1860"/>
      <c r="C230" s="1860"/>
      <c r="D230" s="1860"/>
      <c r="E230" s="1839"/>
      <c r="F230" s="1841"/>
      <c r="G230" s="1644"/>
      <c r="H230" s="1713"/>
      <c r="I230" s="1559"/>
      <c r="J230" s="40" t="s">
        <v>84</v>
      </c>
      <c r="K230" s="42"/>
      <c r="L230" s="364">
        <f t="shared" ref="L230:P230" si="110">L221-L222</f>
        <v>0</v>
      </c>
      <c r="M230" s="364">
        <f t="shared" si="110"/>
        <v>0</v>
      </c>
      <c r="N230" s="364">
        <f t="shared" si="110"/>
        <v>0</v>
      </c>
      <c r="O230" s="364">
        <f t="shared" si="110"/>
        <v>1300</v>
      </c>
      <c r="P230" s="364">
        <f t="shared" si="110"/>
        <v>1500</v>
      </c>
      <c r="Q230" s="1475">
        <f t="shared" ref="Q230:U230" si="111">Q221-Q222</f>
        <v>0</v>
      </c>
      <c r="R230" s="1475">
        <f t="shared" si="111"/>
        <v>0</v>
      </c>
      <c r="S230" s="1475">
        <f t="shared" si="111"/>
        <v>0</v>
      </c>
      <c r="T230" s="1475">
        <f t="shared" si="111"/>
        <v>1040000</v>
      </c>
      <c r="U230" s="1475">
        <f t="shared" si="111"/>
        <v>1200000</v>
      </c>
      <c r="V230" s="1476">
        <f t="shared" si="94"/>
        <v>2240000</v>
      </c>
    </row>
    <row r="231" spans="1:22" s="45" customFormat="1" ht="24" customHeight="1">
      <c r="A231" s="1860">
        <v>1</v>
      </c>
      <c r="B231" s="1860">
        <v>2</v>
      </c>
      <c r="C231" s="1860">
        <v>1</v>
      </c>
      <c r="D231" s="1860">
        <v>2</v>
      </c>
      <c r="E231" s="1839" t="s">
        <v>49</v>
      </c>
      <c r="F231" s="1841" t="str">
        <f>CONCATENATE(A231,".",B231,".",C231,".",D231,)</f>
        <v>1.2.1.2</v>
      </c>
      <c r="G231" s="1642" t="s">
        <v>154</v>
      </c>
      <c r="H231" s="1679" t="s">
        <v>195</v>
      </c>
      <c r="I231" s="1557" t="s">
        <v>742</v>
      </c>
      <c r="J231" s="36" t="s">
        <v>79</v>
      </c>
      <c r="K231" s="882"/>
      <c r="L231" s="883">
        <v>20</v>
      </c>
      <c r="M231" s="883">
        <v>0</v>
      </c>
      <c r="N231" s="883">
        <v>0</v>
      </c>
      <c r="O231" s="883">
        <v>0</v>
      </c>
      <c r="P231" s="883">
        <v>0</v>
      </c>
      <c r="Q231" s="1475">
        <f>L231*H236</f>
        <v>40000</v>
      </c>
      <c r="R231" s="1475">
        <f>M231*H236</f>
        <v>0</v>
      </c>
      <c r="S231" s="1475">
        <f>N231*H236</f>
        <v>0</v>
      </c>
      <c r="T231" s="1475">
        <f>O231*H236</f>
        <v>0</v>
      </c>
      <c r="U231" s="1475">
        <f>P231*H236</f>
        <v>0</v>
      </c>
      <c r="V231" s="1476">
        <f t="shared" ref="V231:V280" si="112">SUM(Q231:U231)</f>
        <v>40000</v>
      </c>
    </row>
    <row r="232" spans="1:22" s="39" customFormat="1" ht="24" customHeight="1">
      <c r="A232" s="1860">
        <v>1</v>
      </c>
      <c r="B232" s="1860"/>
      <c r="C232" s="1860"/>
      <c r="D232" s="1860"/>
      <c r="E232" s="1839"/>
      <c r="F232" s="1841"/>
      <c r="G232" s="1643"/>
      <c r="H232" s="1601"/>
      <c r="I232" s="1558"/>
      <c r="J232" s="40" t="s">
        <v>80</v>
      </c>
      <c r="K232" s="42"/>
      <c r="L232" s="364">
        <f t="shared" ref="L232:P232" si="113">SUM(L233:L239)</f>
        <v>20</v>
      </c>
      <c r="M232" s="364">
        <f t="shared" si="113"/>
        <v>0</v>
      </c>
      <c r="N232" s="364">
        <f t="shared" si="113"/>
        <v>0</v>
      </c>
      <c r="O232" s="364">
        <f t="shared" si="113"/>
        <v>0</v>
      </c>
      <c r="P232" s="364">
        <f t="shared" si="113"/>
        <v>0</v>
      </c>
      <c r="Q232" s="1475">
        <f t="shared" ref="Q232:U232" si="114">SUM(Q233:Q239)</f>
        <v>40000</v>
      </c>
      <c r="R232" s="1475">
        <f t="shared" si="114"/>
        <v>0</v>
      </c>
      <c r="S232" s="1475">
        <f t="shared" si="114"/>
        <v>0</v>
      </c>
      <c r="T232" s="1475">
        <f t="shared" si="114"/>
        <v>0</v>
      </c>
      <c r="U232" s="1475">
        <f t="shared" si="114"/>
        <v>0</v>
      </c>
      <c r="V232" s="1476">
        <f t="shared" si="112"/>
        <v>40000</v>
      </c>
    </row>
    <row r="233" spans="1:22" s="39" customFormat="1" ht="24" customHeight="1">
      <c r="A233" s="1860">
        <v>1</v>
      </c>
      <c r="B233" s="1860"/>
      <c r="C233" s="1860"/>
      <c r="D233" s="1860"/>
      <c r="E233" s="1839"/>
      <c r="F233" s="1841"/>
      <c r="G233" s="1643"/>
      <c r="H233" s="1601"/>
      <c r="I233" s="1558"/>
      <c r="J233" s="40" t="s">
        <v>429</v>
      </c>
      <c r="K233" s="42"/>
      <c r="L233" s="364">
        <v>0</v>
      </c>
      <c r="M233" s="364">
        <v>0</v>
      </c>
      <c r="N233" s="364">
        <v>0</v>
      </c>
      <c r="O233" s="364">
        <v>0</v>
      </c>
      <c r="P233" s="364">
        <v>0</v>
      </c>
      <c r="Q233" s="1475">
        <f>L233*$H236</f>
        <v>0</v>
      </c>
      <c r="R233" s="1475">
        <f>M233*$H236</f>
        <v>0</v>
      </c>
      <c r="S233" s="1475">
        <f>N233*$H236</f>
        <v>0</v>
      </c>
      <c r="T233" s="1475">
        <f>O233*$H236</f>
        <v>0</v>
      </c>
      <c r="U233" s="1475">
        <f>P233*$H236</f>
        <v>0</v>
      </c>
      <c r="V233" s="1476">
        <f t="shared" si="112"/>
        <v>0</v>
      </c>
    </row>
    <row r="234" spans="1:22" s="39" customFormat="1" ht="24" customHeight="1">
      <c r="A234" s="1860">
        <v>1</v>
      </c>
      <c r="B234" s="1860"/>
      <c r="C234" s="1860"/>
      <c r="D234" s="1860"/>
      <c r="E234" s="1839"/>
      <c r="F234" s="1841"/>
      <c r="G234" s="1643"/>
      <c r="H234" s="1601"/>
      <c r="I234" s="1558"/>
      <c r="J234" s="40" t="s">
        <v>133</v>
      </c>
      <c r="K234" s="42"/>
      <c r="L234" s="364">
        <v>0</v>
      </c>
      <c r="M234" s="364">
        <v>0</v>
      </c>
      <c r="N234" s="364">
        <v>0</v>
      </c>
      <c r="O234" s="364">
        <v>0</v>
      </c>
      <c r="P234" s="364">
        <v>0</v>
      </c>
      <c r="Q234" s="1475">
        <f>L234*$H236</f>
        <v>0</v>
      </c>
      <c r="R234" s="1475">
        <f>M234*$H236</f>
        <v>0</v>
      </c>
      <c r="S234" s="1475">
        <f>N234*$H236</f>
        <v>0</v>
      </c>
      <c r="T234" s="1475">
        <f>O234*$H236</f>
        <v>0</v>
      </c>
      <c r="U234" s="1475">
        <f>P234*$H236</f>
        <v>0</v>
      </c>
      <c r="V234" s="1476">
        <f t="shared" si="112"/>
        <v>0</v>
      </c>
    </row>
    <row r="235" spans="1:22" s="39" customFormat="1" ht="24" customHeight="1">
      <c r="A235" s="1860">
        <v>1</v>
      </c>
      <c r="B235" s="1860"/>
      <c r="C235" s="1860"/>
      <c r="D235" s="1860"/>
      <c r="E235" s="1839"/>
      <c r="F235" s="1841"/>
      <c r="G235" s="1643"/>
      <c r="H235" s="1601"/>
      <c r="I235" s="1558"/>
      <c r="J235" s="40" t="s">
        <v>81</v>
      </c>
      <c r="K235" s="42"/>
      <c r="L235" s="364">
        <v>0</v>
      </c>
      <c r="M235" s="364">
        <v>0</v>
      </c>
      <c r="N235" s="364">
        <v>0</v>
      </c>
      <c r="O235" s="364">
        <v>0</v>
      </c>
      <c r="P235" s="364">
        <v>0</v>
      </c>
      <c r="Q235" s="1475">
        <f>L235*$H236</f>
        <v>0</v>
      </c>
      <c r="R235" s="1475">
        <f>M235*$H236</f>
        <v>0</v>
      </c>
      <c r="S235" s="1475">
        <f>N235*$H236</f>
        <v>0</v>
      </c>
      <c r="T235" s="1475">
        <f>O235*$H236</f>
        <v>0</v>
      </c>
      <c r="U235" s="1475">
        <f>P235*$H236</f>
        <v>0</v>
      </c>
      <c r="V235" s="1476">
        <f t="shared" si="112"/>
        <v>0</v>
      </c>
    </row>
    <row r="236" spans="1:22" s="39" customFormat="1" ht="24" customHeight="1">
      <c r="A236" s="1860">
        <v>1</v>
      </c>
      <c r="B236" s="1860"/>
      <c r="C236" s="1860"/>
      <c r="D236" s="1860"/>
      <c r="E236" s="1839"/>
      <c r="F236" s="1841"/>
      <c r="G236" s="1643"/>
      <c r="H236" s="1711">
        <f>'Budget assumption'!$C$4</f>
        <v>2000</v>
      </c>
      <c r="I236" s="1558"/>
      <c r="J236" s="40" t="s">
        <v>134</v>
      </c>
      <c r="K236" s="42"/>
      <c r="L236" s="364">
        <v>0</v>
      </c>
      <c r="M236" s="364">
        <v>0</v>
      </c>
      <c r="N236" s="364">
        <v>0</v>
      </c>
      <c r="O236" s="364">
        <f>O227*30%</f>
        <v>0</v>
      </c>
      <c r="P236" s="364">
        <f>P227*30%</f>
        <v>0</v>
      </c>
      <c r="Q236" s="1475">
        <f>L236*$H236</f>
        <v>0</v>
      </c>
      <c r="R236" s="1475">
        <f>M236*$H236</f>
        <v>0</v>
      </c>
      <c r="S236" s="1475">
        <f>N236*$H236</f>
        <v>0</v>
      </c>
      <c r="T236" s="1475">
        <f>O236*$H236</f>
        <v>0</v>
      </c>
      <c r="U236" s="1475">
        <f>P236*$H236</f>
        <v>0</v>
      </c>
      <c r="V236" s="1476">
        <f t="shared" si="112"/>
        <v>0</v>
      </c>
    </row>
    <row r="237" spans="1:22" s="39" customFormat="1" ht="24" customHeight="1">
      <c r="A237" s="1860">
        <v>1</v>
      </c>
      <c r="B237" s="1860"/>
      <c r="C237" s="1860"/>
      <c r="D237" s="1860"/>
      <c r="E237" s="1839"/>
      <c r="F237" s="1841"/>
      <c r="G237" s="1643"/>
      <c r="H237" s="1712"/>
      <c r="I237" s="1558"/>
      <c r="J237" s="40" t="s">
        <v>82</v>
      </c>
      <c r="K237" s="42"/>
      <c r="L237" s="364">
        <v>20</v>
      </c>
      <c r="M237" s="364">
        <v>0</v>
      </c>
      <c r="N237" s="364">
        <v>0</v>
      </c>
      <c r="O237" s="364">
        <v>0</v>
      </c>
      <c r="P237" s="364">
        <v>0</v>
      </c>
      <c r="Q237" s="1475">
        <f>L237*$H236</f>
        <v>40000</v>
      </c>
      <c r="R237" s="1475">
        <f>M237*$H236</f>
        <v>0</v>
      </c>
      <c r="S237" s="1475">
        <f>N237*$H236</f>
        <v>0</v>
      </c>
      <c r="T237" s="1475">
        <f>O237*$H236</f>
        <v>0</v>
      </c>
      <c r="U237" s="1475">
        <f>P237*$H236</f>
        <v>0</v>
      </c>
      <c r="V237" s="1476">
        <f t="shared" si="112"/>
        <v>40000</v>
      </c>
    </row>
    <row r="238" spans="1:22" s="39" customFormat="1" ht="24" customHeight="1">
      <c r="A238" s="1860">
        <v>1</v>
      </c>
      <c r="B238" s="1860"/>
      <c r="C238" s="1860"/>
      <c r="D238" s="1860"/>
      <c r="E238" s="1839"/>
      <c r="F238" s="1841"/>
      <c r="G238" s="1643"/>
      <c r="H238" s="1712"/>
      <c r="I238" s="1558"/>
      <c r="J238" s="40" t="s">
        <v>90</v>
      </c>
      <c r="K238" s="42"/>
      <c r="L238" s="364">
        <v>0</v>
      </c>
      <c r="M238" s="364">
        <v>0</v>
      </c>
      <c r="N238" s="364">
        <v>0</v>
      </c>
      <c r="O238" s="364">
        <v>0</v>
      </c>
      <c r="P238" s="364">
        <v>0</v>
      </c>
      <c r="Q238" s="1475">
        <f>L238*$H236</f>
        <v>0</v>
      </c>
      <c r="R238" s="1475">
        <f>M238*$H236</f>
        <v>0</v>
      </c>
      <c r="S238" s="1475">
        <f>N238*$H236</f>
        <v>0</v>
      </c>
      <c r="T238" s="1475">
        <f>O238*$H236</f>
        <v>0</v>
      </c>
      <c r="U238" s="1475">
        <f>P238*$H236</f>
        <v>0</v>
      </c>
      <c r="V238" s="1476">
        <f t="shared" si="112"/>
        <v>0</v>
      </c>
    </row>
    <row r="239" spans="1:22" s="39" customFormat="1" ht="24" customHeight="1">
      <c r="A239" s="1860">
        <v>1</v>
      </c>
      <c r="B239" s="1860"/>
      <c r="C239" s="1860"/>
      <c r="D239" s="1860"/>
      <c r="E239" s="1839"/>
      <c r="F239" s="1841"/>
      <c r="G239" s="1643"/>
      <c r="H239" s="1712"/>
      <c r="I239" s="1558"/>
      <c r="J239" s="40" t="s">
        <v>83</v>
      </c>
      <c r="K239" s="42"/>
      <c r="L239" s="364">
        <v>0</v>
      </c>
      <c r="M239" s="364">
        <v>0</v>
      </c>
      <c r="N239" s="364">
        <v>0</v>
      </c>
      <c r="O239" s="364">
        <v>0</v>
      </c>
      <c r="P239" s="364">
        <v>0</v>
      </c>
      <c r="Q239" s="1475">
        <f>L239*$H236</f>
        <v>0</v>
      </c>
      <c r="R239" s="1475">
        <f>M239*$H236</f>
        <v>0</v>
      </c>
      <c r="S239" s="1475">
        <f>N239*$H236</f>
        <v>0</v>
      </c>
      <c r="T239" s="1475">
        <f>O239*$H236</f>
        <v>0</v>
      </c>
      <c r="U239" s="1475">
        <f>P239*$H236</f>
        <v>0</v>
      </c>
      <c r="V239" s="1476">
        <f t="shared" si="112"/>
        <v>0</v>
      </c>
    </row>
    <row r="240" spans="1:22" s="39" customFormat="1" ht="24" customHeight="1" thickBot="1">
      <c r="A240" s="1860">
        <v>1</v>
      </c>
      <c r="B240" s="1860"/>
      <c r="C240" s="1860"/>
      <c r="D240" s="1860"/>
      <c r="E240" s="1839"/>
      <c r="F240" s="1841"/>
      <c r="G240" s="1644"/>
      <c r="H240" s="1713"/>
      <c r="I240" s="1559"/>
      <c r="J240" s="40" t="s">
        <v>84</v>
      </c>
      <c r="K240" s="42"/>
      <c r="L240" s="364">
        <f>L231-L232</f>
        <v>0</v>
      </c>
      <c r="M240" s="364">
        <f t="shared" ref="M240:P240" si="115">M231-M232</f>
        <v>0</v>
      </c>
      <c r="N240" s="364">
        <f t="shared" si="115"/>
        <v>0</v>
      </c>
      <c r="O240" s="364">
        <f t="shared" si="115"/>
        <v>0</v>
      </c>
      <c r="P240" s="364">
        <f t="shared" si="115"/>
        <v>0</v>
      </c>
      <c r="Q240" s="1475">
        <f t="shared" ref="Q240:U240" si="116">Q231-Q232</f>
        <v>0</v>
      </c>
      <c r="R240" s="1475">
        <f t="shared" si="116"/>
        <v>0</v>
      </c>
      <c r="S240" s="1475">
        <f t="shared" si="116"/>
        <v>0</v>
      </c>
      <c r="T240" s="1475">
        <f t="shared" si="116"/>
        <v>0</v>
      </c>
      <c r="U240" s="1475">
        <f t="shared" si="116"/>
        <v>0</v>
      </c>
      <c r="V240" s="1476">
        <f t="shared" si="112"/>
        <v>0</v>
      </c>
    </row>
    <row r="241" spans="1:22" s="45" customFormat="1" ht="24" customHeight="1">
      <c r="A241" s="1860">
        <v>1</v>
      </c>
      <c r="B241" s="1860">
        <v>2</v>
      </c>
      <c r="C241" s="1860">
        <v>1</v>
      </c>
      <c r="D241" s="1860">
        <v>3</v>
      </c>
      <c r="E241" s="1839" t="s">
        <v>49</v>
      </c>
      <c r="F241" s="1841" t="str">
        <f>CONCATENATE(A241,".",B241,".",C241,".",D241,)</f>
        <v>1.2.1.3</v>
      </c>
      <c r="G241" s="1642" t="s">
        <v>405</v>
      </c>
      <c r="H241" s="1679" t="s">
        <v>142</v>
      </c>
      <c r="I241" s="1557" t="s">
        <v>1131</v>
      </c>
      <c r="J241" s="36" t="s">
        <v>79</v>
      </c>
      <c r="K241" s="882"/>
      <c r="L241" s="883">
        <v>1</v>
      </c>
      <c r="M241" s="883">
        <v>1</v>
      </c>
      <c r="N241" s="883">
        <v>1</v>
      </c>
      <c r="O241" s="883">
        <v>1</v>
      </c>
      <c r="P241" s="883">
        <v>1</v>
      </c>
      <c r="Q241" s="1475">
        <f>L241*H246</f>
        <v>16947</v>
      </c>
      <c r="R241" s="1475">
        <f>M241*H246</f>
        <v>16947</v>
      </c>
      <c r="S241" s="1475">
        <f>N241*H246</f>
        <v>16947</v>
      </c>
      <c r="T241" s="1475">
        <f>O241*H246</f>
        <v>16947</v>
      </c>
      <c r="U241" s="1475">
        <f>P241*H246</f>
        <v>16947</v>
      </c>
      <c r="V241" s="1476">
        <f t="shared" ref="V241:V250" si="117">SUM(Q241:U241)</f>
        <v>84735</v>
      </c>
    </row>
    <row r="242" spans="1:22" s="39" customFormat="1" ht="24" customHeight="1">
      <c r="A242" s="1860">
        <v>1</v>
      </c>
      <c r="B242" s="1860"/>
      <c r="C242" s="1860"/>
      <c r="D242" s="1860"/>
      <c r="E242" s="1839"/>
      <c r="F242" s="1841"/>
      <c r="G242" s="1643"/>
      <c r="H242" s="1601"/>
      <c r="I242" s="1558"/>
      <c r="J242" s="40" t="s">
        <v>80</v>
      </c>
      <c r="K242" s="42"/>
      <c r="L242" s="364">
        <f t="shared" ref="L242:P242" si="118">SUM(L243:L249)</f>
        <v>1</v>
      </c>
      <c r="M242" s="364">
        <f t="shared" si="118"/>
        <v>1</v>
      </c>
      <c r="N242" s="364">
        <f t="shared" si="118"/>
        <v>1</v>
      </c>
      <c r="O242" s="364">
        <f t="shared" si="118"/>
        <v>0</v>
      </c>
      <c r="P242" s="364">
        <f t="shared" si="118"/>
        <v>0</v>
      </c>
      <c r="Q242" s="1475">
        <f t="shared" ref="Q242:U242" si="119">SUM(Q243:Q249)</f>
        <v>16947</v>
      </c>
      <c r="R242" s="1475">
        <f t="shared" si="119"/>
        <v>16947</v>
      </c>
      <c r="S242" s="1475">
        <f t="shared" si="119"/>
        <v>16947</v>
      </c>
      <c r="T242" s="1475">
        <f t="shared" si="119"/>
        <v>0</v>
      </c>
      <c r="U242" s="1475">
        <f t="shared" si="119"/>
        <v>0</v>
      </c>
      <c r="V242" s="1476">
        <f t="shared" si="117"/>
        <v>50841</v>
      </c>
    </row>
    <row r="243" spans="1:22" s="39" customFormat="1" ht="24" customHeight="1">
      <c r="A243" s="1860">
        <v>1</v>
      </c>
      <c r="B243" s="1860"/>
      <c r="C243" s="1860"/>
      <c r="D243" s="1860"/>
      <c r="E243" s="1839"/>
      <c r="F243" s="1841"/>
      <c r="G243" s="1643"/>
      <c r="H243" s="1601"/>
      <c r="I243" s="1558"/>
      <c r="J243" s="40" t="s">
        <v>429</v>
      </c>
      <c r="K243" s="42"/>
      <c r="L243" s="364">
        <v>0</v>
      </c>
      <c r="M243" s="364">
        <v>0</v>
      </c>
      <c r="N243" s="364">
        <v>0</v>
      </c>
      <c r="O243" s="364">
        <v>0</v>
      </c>
      <c r="P243" s="364">
        <v>0</v>
      </c>
      <c r="Q243" s="1475">
        <f>L243*$H246</f>
        <v>0</v>
      </c>
      <c r="R243" s="1475">
        <f>M243*$H246</f>
        <v>0</v>
      </c>
      <c r="S243" s="1475">
        <f>N243*$H246</f>
        <v>0</v>
      </c>
      <c r="T243" s="1475">
        <f>O243*$H246</f>
        <v>0</v>
      </c>
      <c r="U243" s="1475">
        <f>P243*$H246</f>
        <v>0</v>
      </c>
      <c r="V243" s="1476">
        <f t="shared" si="117"/>
        <v>0</v>
      </c>
    </row>
    <row r="244" spans="1:22" s="39" customFormat="1" ht="24" customHeight="1">
      <c r="A244" s="1860">
        <v>1</v>
      </c>
      <c r="B244" s="1860"/>
      <c r="C244" s="1860"/>
      <c r="D244" s="1860"/>
      <c r="E244" s="1839"/>
      <c r="F244" s="1841"/>
      <c r="G244" s="1643"/>
      <c r="H244" s="1601"/>
      <c r="I244" s="1558"/>
      <c r="J244" s="40" t="s">
        <v>133</v>
      </c>
      <c r="K244" s="42"/>
      <c r="L244" s="364">
        <v>0</v>
      </c>
      <c r="M244" s="364">
        <v>0</v>
      </c>
      <c r="N244" s="364">
        <v>0</v>
      </c>
      <c r="O244" s="364">
        <v>0</v>
      </c>
      <c r="P244" s="364">
        <v>0</v>
      </c>
      <c r="Q244" s="1475">
        <f>L244*$H246</f>
        <v>0</v>
      </c>
      <c r="R244" s="1475">
        <f>M244*$H246</f>
        <v>0</v>
      </c>
      <c r="S244" s="1475">
        <f>N244*$H246</f>
        <v>0</v>
      </c>
      <c r="T244" s="1475">
        <f>O244*$H246</f>
        <v>0</v>
      </c>
      <c r="U244" s="1475">
        <f>P244*$H246</f>
        <v>0</v>
      </c>
      <c r="V244" s="1476">
        <f t="shared" si="117"/>
        <v>0</v>
      </c>
    </row>
    <row r="245" spans="1:22" s="39" customFormat="1" ht="24" customHeight="1">
      <c r="A245" s="1860">
        <v>1</v>
      </c>
      <c r="B245" s="1860"/>
      <c r="C245" s="1860"/>
      <c r="D245" s="1860"/>
      <c r="E245" s="1839"/>
      <c r="F245" s="1841"/>
      <c r="G245" s="1643"/>
      <c r="H245" s="1601"/>
      <c r="I245" s="1558"/>
      <c r="J245" s="40" t="s">
        <v>81</v>
      </c>
      <c r="K245" s="42"/>
      <c r="L245" s="364">
        <v>0</v>
      </c>
      <c r="M245" s="364">
        <v>0</v>
      </c>
      <c r="N245" s="364">
        <v>0</v>
      </c>
      <c r="O245" s="364">
        <v>0</v>
      </c>
      <c r="P245" s="364">
        <v>0</v>
      </c>
      <c r="Q245" s="1475">
        <f>L245*$H246</f>
        <v>0</v>
      </c>
      <c r="R245" s="1475">
        <f>M245*$H246</f>
        <v>0</v>
      </c>
      <c r="S245" s="1475">
        <f>N245*$H246</f>
        <v>0</v>
      </c>
      <c r="T245" s="1475">
        <f>O245*$H246</f>
        <v>0</v>
      </c>
      <c r="U245" s="1475">
        <f>P245*$H246</f>
        <v>0</v>
      </c>
      <c r="V245" s="1476">
        <f t="shared" si="117"/>
        <v>0</v>
      </c>
    </row>
    <row r="246" spans="1:22" s="39" customFormat="1" ht="24" customHeight="1">
      <c r="A246" s="1860">
        <v>1</v>
      </c>
      <c r="B246" s="1860"/>
      <c r="C246" s="1860"/>
      <c r="D246" s="1860"/>
      <c r="E246" s="1839"/>
      <c r="F246" s="1841"/>
      <c r="G246" s="1643"/>
      <c r="H246" s="1711">
        <f>'Budget assumption'!H28</f>
        <v>16947</v>
      </c>
      <c r="I246" s="1558"/>
      <c r="J246" s="40" t="s">
        <v>134</v>
      </c>
      <c r="K246" s="42"/>
      <c r="L246" s="364">
        <v>0</v>
      </c>
      <c r="M246" s="364">
        <v>0</v>
      </c>
      <c r="N246" s="364">
        <v>0</v>
      </c>
      <c r="O246" s="364">
        <v>0</v>
      </c>
      <c r="P246" s="364">
        <v>0</v>
      </c>
      <c r="Q246" s="1475">
        <f>L246*$H246</f>
        <v>0</v>
      </c>
      <c r="R246" s="1475">
        <f>M246*$H246</f>
        <v>0</v>
      </c>
      <c r="S246" s="1475">
        <f>N246*$H246</f>
        <v>0</v>
      </c>
      <c r="T246" s="1475">
        <f>O246*$H246</f>
        <v>0</v>
      </c>
      <c r="U246" s="1475">
        <f>P246*$H246</f>
        <v>0</v>
      </c>
      <c r="V246" s="1476">
        <f t="shared" si="117"/>
        <v>0</v>
      </c>
    </row>
    <row r="247" spans="1:22" s="39" customFormat="1" ht="24" customHeight="1">
      <c r="A247" s="1860">
        <v>1</v>
      </c>
      <c r="B247" s="1860"/>
      <c r="C247" s="1860"/>
      <c r="D247" s="1860"/>
      <c r="E247" s="1839"/>
      <c r="F247" s="1841"/>
      <c r="G247" s="1643"/>
      <c r="H247" s="1712"/>
      <c r="I247" s="1558"/>
      <c r="J247" s="40" t="s">
        <v>82</v>
      </c>
      <c r="K247" s="42"/>
      <c r="L247" s="364">
        <v>1</v>
      </c>
      <c r="M247" s="364">
        <v>1</v>
      </c>
      <c r="N247" s="364">
        <v>1</v>
      </c>
      <c r="O247" s="364">
        <v>0</v>
      </c>
      <c r="P247" s="364">
        <v>0</v>
      </c>
      <c r="Q247" s="1475">
        <f>L247*$H246</f>
        <v>16947</v>
      </c>
      <c r="R247" s="1475">
        <f>M247*$H246</f>
        <v>16947</v>
      </c>
      <c r="S247" s="1475">
        <f>N247*$H246</f>
        <v>16947</v>
      </c>
      <c r="T247" s="1475">
        <f>O247*$H246</f>
        <v>0</v>
      </c>
      <c r="U247" s="1475">
        <f>P247*$H246</f>
        <v>0</v>
      </c>
      <c r="V247" s="1476">
        <f t="shared" si="117"/>
        <v>50841</v>
      </c>
    </row>
    <row r="248" spans="1:22" s="39" customFormat="1" ht="24" customHeight="1">
      <c r="A248" s="1860">
        <v>1</v>
      </c>
      <c r="B248" s="1860"/>
      <c r="C248" s="1860"/>
      <c r="D248" s="1860"/>
      <c r="E248" s="1839"/>
      <c r="F248" s="1841"/>
      <c r="G248" s="1643"/>
      <c r="H248" s="1712"/>
      <c r="I248" s="1558"/>
      <c r="J248" s="40" t="s">
        <v>90</v>
      </c>
      <c r="K248" s="42"/>
      <c r="L248" s="364">
        <v>0</v>
      </c>
      <c r="M248" s="364">
        <v>0</v>
      </c>
      <c r="N248" s="364">
        <v>0</v>
      </c>
      <c r="O248" s="364">
        <v>0</v>
      </c>
      <c r="P248" s="364">
        <v>0</v>
      </c>
      <c r="Q248" s="1475">
        <f>L248*$H246</f>
        <v>0</v>
      </c>
      <c r="R248" s="1475">
        <f>M248*$H246</f>
        <v>0</v>
      </c>
      <c r="S248" s="1475">
        <f>N248*$H246</f>
        <v>0</v>
      </c>
      <c r="T248" s="1475">
        <f>O248*$H246</f>
        <v>0</v>
      </c>
      <c r="U248" s="1475">
        <f>P248*$H246</f>
        <v>0</v>
      </c>
      <c r="V248" s="1476">
        <f t="shared" si="117"/>
        <v>0</v>
      </c>
    </row>
    <row r="249" spans="1:22" s="39" customFormat="1" ht="24" customHeight="1">
      <c r="A249" s="1860">
        <v>1</v>
      </c>
      <c r="B249" s="1860"/>
      <c r="C249" s="1860"/>
      <c r="D249" s="1860"/>
      <c r="E249" s="1839"/>
      <c r="F249" s="1841"/>
      <c r="G249" s="1643"/>
      <c r="H249" s="1712"/>
      <c r="I249" s="1558"/>
      <c r="J249" s="40" t="s">
        <v>83</v>
      </c>
      <c r="K249" s="42"/>
      <c r="L249" s="364">
        <v>0</v>
      </c>
      <c r="M249" s="364">
        <v>0</v>
      </c>
      <c r="N249" s="364">
        <v>0</v>
      </c>
      <c r="O249" s="364">
        <v>0</v>
      </c>
      <c r="P249" s="364">
        <v>0</v>
      </c>
      <c r="Q249" s="1475">
        <f>L249*$H246</f>
        <v>0</v>
      </c>
      <c r="R249" s="1475">
        <f>M249*$H246</f>
        <v>0</v>
      </c>
      <c r="S249" s="1475">
        <f>N249*$H246</f>
        <v>0</v>
      </c>
      <c r="T249" s="1475">
        <f>O249*$H246</f>
        <v>0</v>
      </c>
      <c r="U249" s="1475">
        <f>P249*$H246</f>
        <v>0</v>
      </c>
      <c r="V249" s="1476">
        <f t="shared" si="117"/>
        <v>0</v>
      </c>
    </row>
    <row r="250" spans="1:22" s="39" customFormat="1" ht="24" customHeight="1" thickBot="1">
      <c r="A250" s="1860">
        <v>1</v>
      </c>
      <c r="B250" s="1860"/>
      <c r="C250" s="1860"/>
      <c r="D250" s="1860"/>
      <c r="E250" s="1839"/>
      <c r="F250" s="1841"/>
      <c r="G250" s="1644"/>
      <c r="H250" s="1713"/>
      <c r="I250" s="1559"/>
      <c r="J250" s="40" t="s">
        <v>84</v>
      </c>
      <c r="K250" s="42"/>
      <c r="L250" s="364">
        <f>L241-L242</f>
        <v>0</v>
      </c>
      <c r="M250" s="364">
        <f t="shared" ref="M250:P250" si="120">M241-M242</f>
        <v>0</v>
      </c>
      <c r="N250" s="364">
        <f t="shared" si="120"/>
        <v>0</v>
      </c>
      <c r="O250" s="364">
        <f t="shared" si="120"/>
        <v>1</v>
      </c>
      <c r="P250" s="364">
        <f t="shared" si="120"/>
        <v>1</v>
      </c>
      <c r="Q250" s="1475">
        <f t="shared" ref="Q250:U250" si="121">Q241-Q242</f>
        <v>0</v>
      </c>
      <c r="R250" s="1475">
        <f t="shared" si="121"/>
        <v>0</v>
      </c>
      <c r="S250" s="1475">
        <f t="shared" si="121"/>
        <v>0</v>
      </c>
      <c r="T250" s="1475">
        <f t="shared" si="121"/>
        <v>16947</v>
      </c>
      <c r="U250" s="1475">
        <f t="shared" si="121"/>
        <v>16947</v>
      </c>
      <c r="V250" s="1476">
        <f t="shared" si="117"/>
        <v>33894</v>
      </c>
    </row>
    <row r="251" spans="1:22" s="45" customFormat="1" ht="24" customHeight="1">
      <c r="A251" s="1860">
        <v>1</v>
      </c>
      <c r="B251" s="1860">
        <v>2</v>
      </c>
      <c r="C251" s="1860">
        <v>1</v>
      </c>
      <c r="D251" s="1860">
        <v>4</v>
      </c>
      <c r="E251" s="1839" t="s">
        <v>49</v>
      </c>
      <c r="F251" s="1841" t="str">
        <f>CONCATENATE(A251,".",B251,".",C251,".",D251,)</f>
        <v>1.2.1.4</v>
      </c>
      <c r="G251" s="1642" t="s">
        <v>6</v>
      </c>
      <c r="H251" s="1595" t="s">
        <v>141</v>
      </c>
      <c r="I251" s="1557" t="s">
        <v>408</v>
      </c>
      <c r="J251" s="36" t="s">
        <v>79</v>
      </c>
      <c r="K251" s="167">
        <f>'Budget assumption'!C215</f>
        <v>130</v>
      </c>
      <c r="L251" s="377">
        <f>'Budget assumption'!D215</f>
        <v>220</v>
      </c>
      <c r="M251" s="377">
        <f>'Budget assumption'!E215</f>
        <v>330</v>
      </c>
      <c r="N251" s="377">
        <f>'Budget assumption'!F215</f>
        <v>495</v>
      </c>
      <c r="O251" s="377">
        <f>'Budget assumption'!G215</f>
        <v>745</v>
      </c>
      <c r="P251" s="377">
        <f>'Budget assumption'!H215</f>
        <v>1120</v>
      </c>
      <c r="Q251" s="1475">
        <f>L251*H256</f>
        <v>258720</v>
      </c>
      <c r="R251" s="1475">
        <f>M251*H256</f>
        <v>388080</v>
      </c>
      <c r="S251" s="1475">
        <f>N251*H256</f>
        <v>582120</v>
      </c>
      <c r="T251" s="1475">
        <f>O251*H256</f>
        <v>876120</v>
      </c>
      <c r="U251" s="1475">
        <f>P251*H256</f>
        <v>1317120</v>
      </c>
      <c r="V251" s="1476">
        <f t="shared" si="112"/>
        <v>3422160</v>
      </c>
    </row>
    <row r="252" spans="1:22" s="39" customFormat="1" ht="24" customHeight="1">
      <c r="A252" s="1860">
        <v>1</v>
      </c>
      <c r="B252" s="1860"/>
      <c r="C252" s="1860"/>
      <c r="D252" s="1860"/>
      <c r="E252" s="1839"/>
      <c r="F252" s="1841"/>
      <c r="G252" s="1643"/>
      <c r="H252" s="1596"/>
      <c r="I252" s="1558"/>
      <c r="J252" s="40" t="s">
        <v>80</v>
      </c>
      <c r="K252" s="42"/>
      <c r="L252" s="364">
        <f t="shared" ref="L252:P252" si="122">SUM(L253:L259)</f>
        <v>220</v>
      </c>
      <c r="M252" s="364">
        <f t="shared" si="122"/>
        <v>330</v>
      </c>
      <c r="N252" s="364">
        <f t="shared" si="122"/>
        <v>495</v>
      </c>
      <c r="O252" s="364">
        <f t="shared" si="122"/>
        <v>745</v>
      </c>
      <c r="P252" s="364">
        <f t="shared" si="122"/>
        <v>1120</v>
      </c>
      <c r="Q252" s="1475">
        <f t="shared" ref="Q252:U252" si="123">SUM(Q253:Q259)</f>
        <v>258720</v>
      </c>
      <c r="R252" s="1475">
        <f t="shared" si="123"/>
        <v>388079.99999999994</v>
      </c>
      <c r="S252" s="1475">
        <f t="shared" si="123"/>
        <v>582120</v>
      </c>
      <c r="T252" s="1475">
        <f t="shared" si="123"/>
        <v>876120</v>
      </c>
      <c r="U252" s="1475">
        <f t="shared" si="123"/>
        <v>1317120</v>
      </c>
      <c r="V252" s="1476">
        <f t="shared" si="112"/>
        <v>3422160</v>
      </c>
    </row>
    <row r="253" spans="1:22" s="39" customFormat="1" ht="24" customHeight="1">
      <c r="A253" s="1860">
        <v>1</v>
      </c>
      <c r="B253" s="1860"/>
      <c r="C253" s="1860"/>
      <c r="D253" s="1860"/>
      <c r="E253" s="1839"/>
      <c r="F253" s="1841"/>
      <c r="G253" s="1643"/>
      <c r="H253" s="1596"/>
      <c r="I253" s="1558"/>
      <c r="J253" s="40" t="s">
        <v>429</v>
      </c>
      <c r="K253" s="42"/>
      <c r="L253" s="365">
        <f>L251*0.7</f>
        <v>154</v>
      </c>
      <c r="M253" s="365">
        <f>M251*0.7</f>
        <v>230.99999999999997</v>
      </c>
      <c r="N253" s="365">
        <f>N251*0.7</f>
        <v>346.5</v>
      </c>
      <c r="O253" s="365">
        <f>O251*0.7</f>
        <v>521.5</v>
      </c>
      <c r="P253" s="365">
        <f>P251*0.7</f>
        <v>784</v>
      </c>
      <c r="Q253" s="1475">
        <f>L253*$H256</f>
        <v>181104</v>
      </c>
      <c r="R253" s="1475">
        <f>M253*$H256</f>
        <v>271655.99999999994</v>
      </c>
      <c r="S253" s="1475">
        <f>N253*$H256</f>
        <v>407484</v>
      </c>
      <c r="T253" s="1475">
        <f>O253*$H256</f>
        <v>613284</v>
      </c>
      <c r="U253" s="1475">
        <f>P253*$H256</f>
        <v>921984</v>
      </c>
      <c r="V253" s="1476">
        <f t="shared" si="112"/>
        <v>2395512</v>
      </c>
    </row>
    <row r="254" spans="1:22" s="39" customFormat="1" ht="24" customHeight="1">
      <c r="A254" s="1860">
        <v>1</v>
      </c>
      <c r="B254" s="1860"/>
      <c r="C254" s="1860"/>
      <c r="D254" s="1860"/>
      <c r="E254" s="1839"/>
      <c r="F254" s="1841"/>
      <c r="G254" s="1643"/>
      <c r="H254" s="1596"/>
      <c r="I254" s="1558"/>
      <c r="J254" s="40" t="s">
        <v>133</v>
      </c>
      <c r="K254" s="42"/>
      <c r="L254" s="365">
        <f>L251*0.3</f>
        <v>66</v>
      </c>
      <c r="M254" s="365">
        <f>M251*0.3</f>
        <v>99</v>
      </c>
      <c r="N254" s="365">
        <f>N251*0.3</f>
        <v>148.5</v>
      </c>
      <c r="O254" s="365">
        <f>O251*0.3</f>
        <v>223.5</v>
      </c>
      <c r="P254" s="365">
        <f>P251*0.3</f>
        <v>336</v>
      </c>
      <c r="Q254" s="1475">
        <f>L254*$H256</f>
        <v>77616</v>
      </c>
      <c r="R254" s="1475">
        <f>M254*$H256</f>
        <v>116424</v>
      </c>
      <c r="S254" s="1475">
        <f>N254*$H256</f>
        <v>174636</v>
      </c>
      <c r="T254" s="1475">
        <f>O254*$H256</f>
        <v>262836</v>
      </c>
      <c r="U254" s="1475">
        <f>P254*$H256</f>
        <v>395136</v>
      </c>
      <c r="V254" s="1476">
        <f t="shared" si="112"/>
        <v>1026648</v>
      </c>
    </row>
    <row r="255" spans="1:22" s="39" customFormat="1" ht="24" customHeight="1">
      <c r="A255" s="1860">
        <v>1</v>
      </c>
      <c r="B255" s="1860"/>
      <c r="C255" s="1860"/>
      <c r="D255" s="1860"/>
      <c r="E255" s="1839"/>
      <c r="F255" s="1841"/>
      <c r="G255" s="1643"/>
      <c r="H255" s="1618"/>
      <c r="I255" s="1558"/>
      <c r="J255" s="40" t="s">
        <v>81</v>
      </c>
      <c r="K255" s="42"/>
      <c r="L255" s="364">
        <v>0</v>
      </c>
      <c r="M255" s="364">
        <v>0</v>
      </c>
      <c r="N255" s="364">
        <v>0</v>
      </c>
      <c r="O255" s="364">
        <v>0</v>
      </c>
      <c r="P255" s="364">
        <v>0</v>
      </c>
      <c r="Q255" s="1475">
        <f>L255*$H256</f>
        <v>0</v>
      </c>
      <c r="R255" s="1475">
        <f>M255*$H256</f>
        <v>0</v>
      </c>
      <c r="S255" s="1475">
        <f>N255*$H256</f>
        <v>0</v>
      </c>
      <c r="T255" s="1475">
        <f>O255*$H256</f>
        <v>0</v>
      </c>
      <c r="U255" s="1475">
        <f>P255*$H256</f>
        <v>0</v>
      </c>
      <c r="V255" s="1476">
        <f t="shared" si="112"/>
        <v>0</v>
      </c>
    </row>
    <row r="256" spans="1:22" s="39" customFormat="1" ht="24" customHeight="1">
      <c r="A256" s="1860">
        <v>1</v>
      </c>
      <c r="B256" s="1860"/>
      <c r="C256" s="1860"/>
      <c r="D256" s="1860"/>
      <c r="E256" s="1839"/>
      <c r="F256" s="1841"/>
      <c r="G256" s="1643"/>
      <c r="H256" s="1817">
        <f>'Budget assumption'!D217</f>
        <v>1176</v>
      </c>
      <c r="I256" s="1558"/>
      <c r="J256" s="40" t="s">
        <v>134</v>
      </c>
      <c r="K256" s="42"/>
      <c r="L256" s="364">
        <v>0</v>
      </c>
      <c r="M256" s="364">
        <v>0</v>
      </c>
      <c r="N256" s="364">
        <v>0</v>
      </c>
      <c r="O256" s="364">
        <f>O237*30%</f>
        <v>0</v>
      </c>
      <c r="P256" s="364">
        <f>P237*30%</f>
        <v>0</v>
      </c>
      <c r="Q256" s="1475">
        <f>L256*$H256</f>
        <v>0</v>
      </c>
      <c r="R256" s="1475">
        <f>M256*$H256</f>
        <v>0</v>
      </c>
      <c r="S256" s="1475">
        <f>N256*$H256</f>
        <v>0</v>
      </c>
      <c r="T256" s="1475">
        <f>O256*$H256</f>
        <v>0</v>
      </c>
      <c r="U256" s="1475">
        <f>P256*$H256</f>
        <v>0</v>
      </c>
      <c r="V256" s="1476">
        <f t="shared" si="112"/>
        <v>0</v>
      </c>
    </row>
    <row r="257" spans="1:22" s="39" customFormat="1" ht="24" customHeight="1">
      <c r="A257" s="1860">
        <v>1</v>
      </c>
      <c r="B257" s="1860"/>
      <c r="C257" s="1860"/>
      <c r="D257" s="1860"/>
      <c r="E257" s="1839"/>
      <c r="F257" s="1841"/>
      <c r="G257" s="1643"/>
      <c r="H257" s="1817">
        <f>810*0.05</f>
        <v>40.5</v>
      </c>
      <c r="I257" s="1558"/>
      <c r="J257" s="40" t="s">
        <v>82</v>
      </c>
      <c r="K257" s="42"/>
      <c r="L257" s="364">
        <v>0</v>
      </c>
      <c r="M257" s="364">
        <v>0</v>
      </c>
      <c r="N257" s="364">
        <v>0</v>
      </c>
      <c r="O257" s="364">
        <v>0</v>
      </c>
      <c r="P257" s="364">
        <v>0</v>
      </c>
      <c r="Q257" s="1475">
        <f>L257*$H256</f>
        <v>0</v>
      </c>
      <c r="R257" s="1475">
        <f>M257*$H256</f>
        <v>0</v>
      </c>
      <c r="S257" s="1475">
        <f>N257*$H256</f>
        <v>0</v>
      </c>
      <c r="T257" s="1475">
        <f>O257*$H256</f>
        <v>0</v>
      </c>
      <c r="U257" s="1475">
        <f>P257*$H256</f>
        <v>0</v>
      </c>
      <c r="V257" s="1476">
        <f t="shared" si="112"/>
        <v>0</v>
      </c>
    </row>
    <row r="258" spans="1:22" s="39" customFormat="1" ht="24" customHeight="1">
      <c r="A258" s="1860">
        <v>1</v>
      </c>
      <c r="B258" s="1860"/>
      <c r="C258" s="1860"/>
      <c r="D258" s="1860"/>
      <c r="E258" s="1839"/>
      <c r="F258" s="1841"/>
      <c r="G258" s="1643"/>
      <c r="H258" s="1817"/>
      <c r="I258" s="1558"/>
      <c r="J258" s="40" t="s">
        <v>90</v>
      </c>
      <c r="K258" s="42"/>
      <c r="L258" s="364">
        <v>0</v>
      </c>
      <c r="M258" s="364">
        <v>0</v>
      </c>
      <c r="N258" s="364">
        <v>0</v>
      </c>
      <c r="O258" s="364">
        <v>0</v>
      </c>
      <c r="P258" s="364">
        <v>0</v>
      </c>
      <c r="Q258" s="1475">
        <f>L258*$H256</f>
        <v>0</v>
      </c>
      <c r="R258" s="1475">
        <f>M258*$H256</f>
        <v>0</v>
      </c>
      <c r="S258" s="1475">
        <f>N258*$H256</f>
        <v>0</v>
      </c>
      <c r="T258" s="1475">
        <f>O258*$H256</f>
        <v>0</v>
      </c>
      <c r="U258" s="1475">
        <f>P258*$H256</f>
        <v>0</v>
      </c>
      <c r="V258" s="1476">
        <f t="shared" si="112"/>
        <v>0</v>
      </c>
    </row>
    <row r="259" spans="1:22" s="39" customFormat="1" ht="24" customHeight="1">
      <c r="A259" s="1860">
        <v>1</v>
      </c>
      <c r="B259" s="1860"/>
      <c r="C259" s="1860"/>
      <c r="D259" s="1860"/>
      <c r="E259" s="1839"/>
      <c r="F259" s="1841"/>
      <c r="G259" s="1643"/>
      <c r="H259" s="1817"/>
      <c r="I259" s="1558"/>
      <c r="J259" s="40" t="s">
        <v>83</v>
      </c>
      <c r="K259" s="42"/>
      <c r="L259" s="364">
        <v>0</v>
      </c>
      <c r="M259" s="364">
        <v>0</v>
      </c>
      <c r="N259" s="364">
        <v>0</v>
      </c>
      <c r="O259" s="364">
        <v>0</v>
      </c>
      <c r="P259" s="364">
        <v>0</v>
      </c>
      <c r="Q259" s="1475">
        <f>L259*$H256</f>
        <v>0</v>
      </c>
      <c r="R259" s="1475">
        <f>M259*$H256</f>
        <v>0</v>
      </c>
      <c r="S259" s="1475">
        <f>N259*$H256</f>
        <v>0</v>
      </c>
      <c r="T259" s="1475">
        <f>O259*$H256</f>
        <v>0</v>
      </c>
      <c r="U259" s="1475">
        <f>P259*$H256</f>
        <v>0</v>
      </c>
      <c r="V259" s="1476">
        <f t="shared" si="112"/>
        <v>0</v>
      </c>
    </row>
    <row r="260" spans="1:22" s="39" customFormat="1" ht="24" customHeight="1">
      <c r="A260" s="1860">
        <v>1</v>
      </c>
      <c r="B260" s="1860"/>
      <c r="C260" s="1860"/>
      <c r="D260" s="1860"/>
      <c r="E260" s="1839"/>
      <c r="F260" s="1841"/>
      <c r="G260" s="1644"/>
      <c r="H260" s="1817"/>
      <c r="I260" s="1559"/>
      <c r="J260" s="40" t="s">
        <v>84</v>
      </c>
      <c r="K260" s="42"/>
      <c r="L260" s="364">
        <f>L251-L252</f>
        <v>0</v>
      </c>
      <c r="M260" s="364">
        <f t="shared" ref="M260:P260" si="124">M251-M252</f>
        <v>0</v>
      </c>
      <c r="N260" s="364">
        <f t="shared" si="124"/>
        <v>0</v>
      </c>
      <c r="O260" s="364">
        <f t="shared" si="124"/>
        <v>0</v>
      </c>
      <c r="P260" s="364">
        <f t="shared" si="124"/>
        <v>0</v>
      </c>
      <c r="Q260" s="1475">
        <f>Q251-Q252</f>
        <v>0</v>
      </c>
      <c r="R260" s="1475">
        <f>R251-R252</f>
        <v>0</v>
      </c>
      <c r="S260" s="1475">
        <f>S251-S252</f>
        <v>0</v>
      </c>
      <c r="T260" s="1475">
        <f>T251-T252</f>
        <v>0</v>
      </c>
      <c r="U260" s="1475">
        <f>U251-U252</f>
        <v>0</v>
      </c>
      <c r="V260" s="1476">
        <f t="shared" si="112"/>
        <v>0</v>
      </c>
    </row>
    <row r="261" spans="1:22" s="264" customFormat="1" ht="24" customHeight="1">
      <c r="A261" s="1860">
        <v>1</v>
      </c>
      <c r="B261" s="1860">
        <v>2</v>
      </c>
      <c r="C261" s="1860">
        <v>1</v>
      </c>
      <c r="D261" s="1860">
        <v>5</v>
      </c>
      <c r="E261" s="1839" t="s">
        <v>49</v>
      </c>
      <c r="F261" s="1841" t="str">
        <f>CONCATENATE(A261,".",B261,".",C261,".",D261,)</f>
        <v>1.2.1.5</v>
      </c>
      <c r="G261" s="1642" t="s">
        <v>743</v>
      </c>
      <c r="H261" s="1598" t="s">
        <v>744</v>
      </c>
      <c r="I261" s="1557" t="s">
        <v>745</v>
      </c>
      <c r="J261" s="36" t="s">
        <v>79</v>
      </c>
      <c r="K261" s="167">
        <f>'Budget assumption'!C215</f>
        <v>130</v>
      </c>
      <c r="L261" s="377">
        <f>'Budget assumption'!D215*0.2</f>
        <v>44</v>
      </c>
      <c r="M261" s="377">
        <f>'Budget assumption'!E215*0.2</f>
        <v>66</v>
      </c>
      <c r="N261" s="377">
        <f>'Budget assumption'!F215*0.2</f>
        <v>99</v>
      </c>
      <c r="O261" s="377">
        <f>'Budget assumption'!G215*0.2</f>
        <v>149</v>
      </c>
      <c r="P261" s="377">
        <f>'Budget assumption'!H215*0.2</f>
        <v>224</v>
      </c>
      <c r="Q261" s="1475">
        <f>L261*H266</f>
        <v>20900</v>
      </c>
      <c r="R261" s="1475">
        <f>M261*H266</f>
        <v>31350</v>
      </c>
      <c r="S261" s="1475">
        <f>N261*H266</f>
        <v>47025</v>
      </c>
      <c r="T261" s="1475">
        <f>O261*H266</f>
        <v>70775</v>
      </c>
      <c r="U261" s="1475">
        <f>P261*H266</f>
        <v>106400</v>
      </c>
      <c r="V261" s="1476">
        <f t="shared" ref="V261:V270" si="125">SUM(Q261:U261)</f>
        <v>276450</v>
      </c>
    </row>
    <row r="262" spans="1:22" s="99" customFormat="1" ht="24" customHeight="1">
      <c r="A262" s="1860">
        <v>1</v>
      </c>
      <c r="B262" s="1860"/>
      <c r="C262" s="1860"/>
      <c r="D262" s="1860"/>
      <c r="E262" s="1839"/>
      <c r="F262" s="1841"/>
      <c r="G262" s="1643"/>
      <c r="H262" s="1599"/>
      <c r="I262" s="1558"/>
      <c r="J262" s="40" t="s">
        <v>80</v>
      </c>
      <c r="K262" s="42"/>
      <c r="L262" s="364">
        <f t="shared" ref="L262:U262" si="126">SUM(L263:L269)</f>
        <v>44</v>
      </c>
      <c r="M262" s="364">
        <f t="shared" si="126"/>
        <v>66</v>
      </c>
      <c r="N262" s="364">
        <f t="shared" si="126"/>
        <v>99</v>
      </c>
      <c r="O262" s="364">
        <f t="shared" si="126"/>
        <v>149</v>
      </c>
      <c r="P262" s="364">
        <f t="shared" si="126"/>
        <v>224</v>
      </c>
      <c r="Q262" s="1475">
        <f t="shared" si="126"/>
        <v>20900</v>
      </c>
      <c r="R262" s="1475">
        <f t="shared" si="126"/>
        <v>31349.999999999996</v>
      </c>
      <c r="S262" s="1475">
        <f t="shared" si="126"/>
        <v>47025</v>
      </c>
      <c r="T262" s="1475">
        <f t="shared" si="126"/>
        <v>70775</v>
      </c>
      <c r="U262" s="1475">
        <f t="shared" si="126"/>
        <v>106399.99999999999</v>
      </c>
      <c r="V262" s="1476">
        <f t="shared" si="125"/>
        <v>276450</v>
      </c>
    </row>
    <row r="263" spans="1:22" s="99" customFormat="1" ht="24" customHeight="1">
      <c r="A263" s="1860">
        <v>1</v>
      </c>
      <c r="B263" s="1860"/>
      <c r="C263" s="1860"/>
      <c r="D263" s="1860"/>
      <c r="E263" s="1839"/>
      <c r="F263" s="1841"/>
      <c r="G263" s="1643"/>
      <c r="H263" s="1599"/>
      <c r="I263" s="1558"/>
      <c r="J263" s="40" t="s">
        <v>429</v>
      </c>
      <c r="K263" s="42"/>
      <c r="L263" s="364">
        <v>0</v>
      </c>
      <c r="M263" s="364">
        <v>0</v>
      </c>
      <c r="N263" s="364">
        <v>0</v>
      </c>
      <c r="O263" s="364">
        <v>0</v>
      </c>
      <c r="P263" s="364">
        <v>0</v>
      </c>
      <c r="Q263" s="1475">
        <f>L263*$H266</f>
        <v>0</v>
      </c>
      <c r="R263" s="1475">
        <f>M263*$H266</f>
        <v>0</v>
      </c>
      <c r="S263" s="1475">
        <f>N263*$H266</f>
        <v>0</v>
      </c>
      <c r="T263" s="1475">
        <f>O263*$H266</f>
        <v>0</v>
      </c>
      <c r="U263" s="1475">
        <f>P263*$H266</f>
        <v>0</v>
      </c>
      <c r="V263" s="1476">
        <f t="shared" si="125"/>
        <v>0</v>
      </c>
    </row>
    <row r="264" spans="1:22" s="99" customFormat="1" ht="24" customHeight="1">
      <c r="A264" s="1860">
        <v>1</v>
      </c>
      <c r="B264" s="1860"/>
      <c r="C264" s="1860"/>
      <c r="D264" s="1860"/>
      <c r="E264" s="1839"/>
      <c r="F264" s="1841"/>
      <c r="G264" s="1643"/>
      <c r="H264" s="1599"/>
      <c r="I264" s="1558"/>
      <c r="J264" s="40" t="s">
        <v>133</v>
      </c>
      <c r="K264" s="42"/>
      <c r="L264" s="364">
        <f>L261*0.3</f>
        <v>13.2</v>
      </c>
      <c r="M264" s="364">
        <f t="shared" ref="M264:P264" si="127">M261*0.3</f>
        <v>19.8</v>
      </c>
      <c r="N264" s="364">
        <f t="shared" si="127"/>
        <v>29.7</v>
      </c>
      <c r="O264" s="364">
        <f t="shared" si="127"/>
        <v>44.699999999999996</v>
      </c>
      <c r="P264" s="364">
        <f t="shared" si="127"/>
        <v>67.2</v>
      </c>
      <c r="Q264" s="1475">
        <f>L264*$H266</f>
        <v>6270</v>
      </c>
      <c r="R264" s="1475">
        <f>M264*$H266</f>
        <v>9405</v>
      </c>
      <c r="S264" s="1475">
        <f>N264*$H266</f>
        <v>14107.5</v>
      </c>
      <c r="T264" s="1475">
        <f>O264*$H266</f>
        <v>21232.499999999996</v>
      </c>
      <c r="U264" s="1475">
        <f>P264*$H266</f>
        <v>31920</v>
      </c>
      <c r="V264" s="1476">
        <f t="shared" si="125"/>
        <v>82935</v>
      </c>
    </row>
    <row r="265" spans="1:22" s="99" customFormat="1" ht="24" customHeight="1">
      <c r="A265" s="1860">
        <v>1</v>
      </c>
      <c r="B265" s="1860"/>
      <c r="C265" s="1860"/>
      <c r="D265" s="1860"/>
      <c r="E265" s="1839"/>
      <c r="F265" s="1841"/>
      <c r="G265" s="1643"/>
      <c r="H265" s="1733"/>
      <c r="I265" s="1558"/>
      <c r="J265" s="40" t="s">
        <v>81</v>
      </c>
      <c r="K265" s="42"/>
      <c r="L265" s="364">
        <v>0</v>
      </c>
      <c r="M265" s="364">
        <v>0</v>
      </c>
      <c r="N265" s="364">
        <v>0</v>
      </c>
      <c r="O265" s="364">
        <v>0</v>
      </c>
      <c r="P265" s="364">
        <v>0</v>
      </c>
      <c r="Q265" s="1475">
        <f>L265*$H266</f>
        <v>0</v>
      </c>
      <c r="R265" s="1475">
        <f>M265*$H266</f>
        <v>0</v>
      </c>
      <c r="S265" s="1475">
        <f>N265*$H266</f>
        <v>0</v>
      </c>
      <c r="T265" s="1475">
        <f>O265*$H266</f>
        <v>0</v>
      </c>
      <c r="U265" s="1475">
        <f>P265*$H266</f>
        <v>0</v>
      </c>
      <c r="V265" s="1476">
        <f t="shared" si="125"/>
        <v>0</v>
      </c>
    </row>
    <row r="266" spans="1:22" s="99" customFormat="1" ht="24" customHeight="1">
      <c r="A266" s="1860">
        <v>1</v>
      </c>
      <c r="B266" s="1860"/>
      <c r="C266" s="1860"/>
      <c r="D266" s="1860"/>
      <c r="E266" s="1839"/>
      <c r="F266" s="1841"/>
      <c r="G266" s="1643"/>
      <c r="H266" s="1924">
        <v>475</v>
      </c>
      <c r="I266" s="1558"/>
      <c r="J266" s="40" t="s">
        <v>134</v>
      </c>
      <c r="K266" s="42"/>
      <c r="L266" s="364">
        <f>L261*0.7</f>
        <v>30.799999999999997</v>
      </c>
      <c r="M266" s="364">
        <f t="shared" ref="M266:P266" si="128">M261*0.7</f>
        <v>46.199999999999996</v>
      </c>
      <c r="N266" s="364">
        <f t="shared" si="128"/>
        <v>69.3</v>
      </c>
      <c r="O266" s="364">
        <f t="shared" si="128"/>
        <v>104.3</v>
      </c>
      <c r="P266" s="364">
        <f t="shared" si="128"/>
        <v>156.79999999999998</v>
      </c>
      <c r="Q266" s="1475">
        <f>L266*$H266</f>
        <v>14629.999999999998</v>
      </c>
      <c r="R266" s="1475">
        <f>M266*$H266</f>
        <v>21944.999999999996</v>
      </c>
      <c r="S266" s="1475">
        <f>N266*$H266</f>
        <v>32917.5</v>
      </c>
      <c r="T266" s="1475">
        <f>O266*$H266</f>
        <v>49542.5</v>
      </c>
      <c r="U266" s="1475">
        <f>P266*$H266</f>
        <v>74479.999999999985</v>
      </c>
      <c r="V266" s="1476">
        <f t="shared" si="125"/>
        <v>193515</v>
      </c>
    </row>
    <row r="267" spans="1:22" s="99" customFormat="1" ht="24" customHeight="1">
      <c r="A267" s="1860">
        <v>1</v>
      </c>
      <c r="B267" s="1860"/>
      <c r="C267" s="1860"/>
      <c r="D267" s="1860"/>
      <c r="E267" s="1839"/>
      <c r="F267" s="1841"/>
      <c r="G267" s="1643"/>
      <c r="H267" s="1924">
        <f>810*0.05</f>
        <v>40.5</v>
      </c>
      <c r="I267" s="1558"/>
      <c r="J267" s="40" t="s">
        <v>82</v>
      </c>
      <c r="K267" s="42"/>
      <c r="L267" s="364">
        <v>0</v>
      </c>
      <c r="M267" s="364">
        <v>0</v>
      </c>
      <c r="N267" s="364">
        <v>0</v>
      </c>
      <c r="O267" s="364">
        <v>0</v>
      </c>
      <c r="P267" s="364">
        <v>0</v>
      </c>
      <c r="Q267" s="1475">
        <f>L267*$H266</f>
        <v>0</v>
      </c>
      <c r="R267" s="1475">
        <f>M267*$H266</f>
        <v>0</v>
      </c>
      <c r="S267" s="1475">
        <f>N267*$H266</f>
        <v>0</v>
      </c>
      <c r="T267" s="1475">
        <f>O267*$H266</f>
        <v>0</v>
      </c>
      <c r="U267" s="1475">
        <f>P267*$H266</f>
        <v>0</v>
      </c>
      <c r="V267" s="1476">
        <f t="shared" si="125"/>
        <v>0</v>
      </c>
    </row>
    <row r="268" spans="1:22" s="99" customFormat="1" ht="24" customHeight="1">
      <c r="A268" s="1860">
        <v>1</v>
      </c>
      <c r="B268" s="1860"/>
      <c r="C268" s="1860"/>
      <c r="D268" s="1860"/>
      <c r="E268" s="1839"/>
      <c r="F268" s="1841"/>
      <c r="G268" s="1643"/>
      <c r="H268" s="1924"/>
      <c r="I268" s="1558"/>
      <c r="J268" s="40" t="s">
        <v>90</v>
      </c>
      <c r="K268" s="42"/>
      <c r="L268" s="364">
        <v>0</v>
      </c>
      <c r="M268" s="364">
        <v>0</v>
      </c>
      <c r="N268" s="364">
        <v>0</v>
      </c>
      <c r="O268" s="364">
        <v>0</v>
      </c>
      <c r="P268" s="364">
        <v>0</v>
      </c>
      <c r="Q268" s="1475">
        <f>L268*$H266</f>
        <v>0</v>
      </c>
      <c r="R268" s="1475">
        <f>M268*$H266</f>
        <v>0</v>
      </c>
      <c r="S268" s="1475">
        <f>N268*$H266</f>
        <v>0</v>
      </c>
      <c r="T268" s="1475">
        <f>O268*$H266</f>
        <v>0</v>
      </c>
      <c r="U268" s="1475">
        <f>P268*$H266</f>
        <v>0</v>
      </c>
      <c r="V268" s="1476">
        <f t="shared" si="125"/>
        <v>0</v>
      </c>
    </row>
    <row r="269" spans="1:22" s="99" customFormat="1" ht="24" customHeight="1">
      <c r="A269" s="1860">
        <v>1</v>
      </c>
      <c r="B269" s="1860"/>
      <c r="C269" s="1860"/>
      <c r="D269" s="1860"/>
      <c r="E269" s="1839"/>
      <c r="F269" s="1841"/>
      <c r="G269" s="1643"/>
      <c r="H269" s="1924"/>
      <c r="I269" s="1558"/>
      <c r="J269" s="40" t="s">
        <v>83</v>
      </c>
      <c r="K269" s="42"/>
      <c r="L269" s="364">
        <v>0</v>
      </c>
      <c r="M269" s="364">
        <v>0</v>
      </c>
      <c r="N269" s="364">
        <v>0</v>
      </c>
      <c r="O269" s="364">
        <v>0</v>
      </c>
      <c r="P269" s="364">
        <v>0</v>
      </c>
      <c r="Q269" s="1475">
        <f>L269*$H266</f>
        <v>0</v>
      </c>
      <c r="R269" s="1475">
        <f>M269*$H266</f>
        <v>0</v>
      </c>
      <c r="S269" s="1475">
        <f>N269*$H266</f>
        <v>0</v>
      </c>
      <c r="T269" s="1475">
        <f>O269*$H266</f>
        <v>0</v>
      </c>
      <c r="U269" s="1475">
        <f>P269*$H266</f>
        <v>0</v>
      </c>
      <c r="V269" s="1476">
        <f t="shared" si="125"/>
        <v>0</v>
      </c>
    </row>
    <row r="270" spans="1:22" s="99" customFormat="1" ht="24" customHeight="1">
      <c r="A270" s="1860">
        <v>1</v>
      </c>
      <c r="B270" s="1860"/>
      <c r="C270" s="1860"/>
      <c r="D270" s="1860"/>
      <c r="E270" s="1839"/>
      <c r="F270" s="1841"/>
      <c r="G270" s="1922"/>
      <c r="H270" s="1924"/>
      <c r="I270" s="2005"/>
      <c r="J270" s="40" t="s">
        <v>84</v>
      </c>
      <c r="K270" s="42"/>
      <c r="L270" s="364">
        <f>L261-L262</f>
        <v>0</v>
      </c>
      <c r="M270" s="364">
        <f t="shared" ref="M270:U270" si="129">M261-M262</f>
        <v>0</v>
      </c>
      <c r="N270" s="364">
        <f t="shared" si="129"/>
        <v>0</v>
      </c>
      <c r="O270" s="364">
        <f t="shared" si="129"/>
        <v>0</v>
      </c>
      <c r="P270" s="364">
        <f t="shared" si="129"/>
        <v>0</v>
      </c>
      <c r="Q270" s="1475">
        <f t="shared" si="129"/>
        <v>0</v>
      </c>
      <c r="R270" s="1475">
        <f t="shared" si="129"/>
        <v>0</v>
      </c>
      <c r="S270" s="1475">
        <f t="shared" si="129"/>
        <v>0</v>
      </c>
      <c r="T270" s="1475">
        <f t="shared" si="129"/>
        <v>0</v>
      </c>
      <c r="U270" s="1475">
        <f t="shared" si="129"/>
        <v>0</v>
      </c>
      <c r="V270" s="1476">
        <f t="shared" si="125"/>
        <v>0</v>
      </c>
    </row>
    <row r="271" spans="1:22" s="45" customFormat="1" ht="24" customHeight="1">
      <c r="A271" s="1860">
        <v>1</v>
      </c>
      <c r="B271" s="1860">
        <v>2</v>
      </c>
      <c r="C271" s="1860">
        <v>1</v>
      </c>
      <c r="D271" s="1860">
        <v>6</v>
      </c>
      <c r="E271" s="1839" t="s">
        <v>49</v>
      </c>
      <c r="F271" s="1841" t="str">
        <f>CONCATENATE(A271,".",B271,".",C271,".",D271,)</f>
        <v>1.2.1.6</v>
      </c>
      <c r="G271" s="1642" t="s">
        <v>7</v>
      </c>
      <c r="H271" s="1595" t="s">
        <v>409</v>
      </c>
      <c r="I271" s="1557" t="s">
        <v>1096</v>
      </c>
      <c r="J271" s="36" t="s">
        <v>79</v>
      </c>
      <c r="K271" s="884"/>
      <c r="L271" s="375">
        <v>1</v>
      </c>
      <c r="M271" s="375">
        <v>0</v>
      </c>
      <c r="N271" s="375">
        <v>0</v>
      </c>
      <c r="O271" s="375">
        <v>0</v>
      </c>
      <c r="P271" s="375">
        <v>0</v>
      </c>
      <c r="Q271" s="1475">
        <f>L271*H276</f>
        <v>85500</v>
      </c>
      <c r="R271" s="1475">
        <f>M271*H276</f>
        <v>0</v>
      </c>
      <c r="S271" s="1475">
        <f>N271*H276</f>
        <v>0</v>
      </c>
      <c r="T271" s="1475">
        <f>O271*H276</f>
        <v>0</v>
      </c>
      <c r="U271" s="1475">
        <f>P271*H276</f>
        <v>0</v>
      </c>
      <c r="V271" s="1476">
        <f t="shared" si="112"/>
        <v>85500</v>
      </c>
    </row>
    <row r="272" spans="1:22" s="39" customFormat="1" ht="24" customHeight="1">
      <c r="A272" s="1860">
        <v>1</v>
      </c>
      <c r="B272" s="1860"/>
      <c r="C272" s="1860"/>
      <c r="D272" s="1860"/>
      <c r="E272" s="1839"/>
      <c r="F272" s="1841"/>
      <c r="G272" s="1643"/>
      <c r="H272" s="1596"/>
      <c r="I272" s="1558"/>
      <c r="J272" s="40" t="s">
        <v>80</v>
      </c>
      <c r="K272" s="884"/>
      <c r="L272" s="364">
        <f t="shared" ref="L272:U272" si="130">SUM(L273:L279)</f>
        <v>1</v>
      </c>
      <c r="M272" s="364">
        <f t="shared" si="130"/>
        <v>0</v>
      </c>
      <c r="N272" s="364">
        <f t="shared" si="130"/>
        <v>0</v>
      </c>
      <c r="O272" s="364">
        <f t="shared" si="130"/>
        <v>0</v>
      </c>
      <c r="P272" s="364">
        <f t="shared" si="130"/>
        <v>0</v>
      </c>
      <c r="Q272" s="1475">
        <f t="shared" si="130"/>
        <v>85500</v>
      </c>
      <c r="R272" s="1475">
        <f t="shared" si="130"/>
        <v>0</v>
      </c>
      <c r="S272" s="1475">
        <f t="shared" si="130"/>
        <v>0</v>
      </c>
      <c r="T272" s="1475">
        <f t="shared" si="130"/>
        <v>0</v>
      </c>
      <c r="U272" s="1475">
        <f t="shared" si="130"/>
        <v>0</v>
      </c>
      <c r="V272" s="1476">
        <f t="shared" si="112"/>
        <v>85500</v>
      </c>
    </row>
    <row r="273" spans="1:22" s="39" customFormat="1" ht="24" customHeight="1">
      <c r="A273" s="1860">
        <v>1</v>
      </c>
      <c r="B273" s="1860"/>
      <c r="C273" s="1860"/>
      <c r="D273" s="1860"/>
      <c r="E273" s="1839"/>
      <c r="F273" s="1841"/>
      <c r="G273" s="1643"/>
      <c r="H273" s="1596"/>
      <c r="I273" s="1558"/>
      <c r="J273" s="40" t="s">
        <v>429</v>
      </c>
      <c r="K273" s="42"/>
      <c r="L273" s="364">
        <v>0</v>
      </c>
      <c r="M273" s="364">
        <v>0</v>
      </c>
      <c r="N273" s="364">
        <v>0</v>
      </c>
      <c r="O273" s="364">
        <v>0</v>
      </c>
      <c r="P273" s="364">
        <v>0</v>
      </c>
      <c r="Q273" s="1475">
        <f>L273*$H276</f>
        <v>0</v>
      </c>
      <c r="R273" s="1475">
        <f>M273*$H276</f>
        <v>0</v>
      </c>
      <c r="S273" s="1475">
        <f>N273*$H276</f>
        <v>0</v>
      </c>
      <c r="T273" s="1475">
        <f>O273*$H276</f>
        <v>0</v>
      </c>
      <c r="U273" s="1475">
        <f>P273*$H276</f>
        <v>0</v>
      </c>
      <c r="V273" s="1476">
        <f t="shared" si="112"/>
        <v>0</v>
      </c>
    </row>
    <row r="274" spans="1:22" s="39" customFormat="1" ht="24" customHeight="1">
      <c r="A274" s="1860">
        <v>1</v>
      </c>
      <c r="B274" s="1860"/>
      <c r="C274" s="1860"/>
      <c r="D274" s="1860"/>
      <c r="E274" s="1839"/>
      <c r="F274" s="1841"/>
      <c r="G274" s="1643"/>
      <c r="H274" s="1596"/>
      <c r="I274" s="1558"/>
      <c r="J274" s="40" t="s">
        <v>133</v>
      </c>
      <c r="K274" s="42"/>
      <c r="L274" s="364">
        <v>0</v>
      </c>
      <c r="M274" s="364">
        <v>0</v>
      </c>
      <c r="N274" s="364">
        <v>0</v>
      </c>
      <c r="O274" s="364">
        <v>0</v>
      </c>
      <c r="P274" s="364">
        <v>0</v>
      </c>
      <c r="Q274" s="1475">
        <f>L274*$H276</f>
        <v>0</v>
      </c>
      <c r="R274" s="1475">
        <f>M274*$H276</f>
        <v>0</v>
      </c>
      <c r="S274" s="1475">
        <f>N274*$H276</f>
        <v>0</v>
      </c>
      <c r="T274" s="1475">
        <f>O274*$H276</f>
        <v>0</v>
      </c>
      <c r="U274" s="1475">
        <f>P274*$H276</f>
        <v>0</v>
      </c>
      <c r="V274" s="1476">
        <f t="shared" si="112"/>
        <v>0</v>
      </c>
    </row>
    <row r="275" spans="1:22" s="39" customFormat="1" ht="24" customHeight="1">
      <c r="A275" s="1860">
        <v>1</v>
      </c>
      <c r="B275" s="1860"/>
      <c r="C275" s="1860"/>
      <c r="D275" s="1860"/>
      <c r="E275" s="1839"/>
      <c r="F275" s="1841"/>
      <c r="G275" s="1643"/>
      <c r="H275" s="1618"/>
      <c r="I275" s="1558"/>
      <c r="J275" s="40" t="s">
        <v>81</v>
      </c>
      <c r="K275" s="42"/>
      <c r="L275" s="364">
        <v>0</v>
      </c>
      <c r="M275" s="364">
        <v>0</v>
      </c>
      <c r="N275" s="364">
        <v>0</v>
      </c>
      <c r="O275" s="364">
        <v>0</v>
      </c>
      <c r="P275" s="364">
        <v>0</v>
      </c>
      <c r="Q275" s="1475">
        <f>L275*$H276</f>
        <v>0</v>
      </c>
      <c r="R275" s="1475">
        <f>M275*$H276</f>
        <v>0</v>
      </c>
      <c r="S275" s="1475">
        <f>N275*$H276</f>
        <v>0</v>
      </c>
      <c r="T275" s="1475">
        <f>O275*$H276</f>
        <v>0</v>
      </c>
      <c r="U275" s="1475">
        <f>P275*$H276</f>
        <v>0</v>
      </c>
      <c r="V275" s="1476">
        <f t="shared" si="112"/>
        <v>0</v>
      </c>
    </row>
    <row r="276" spans="1:22" s="39" customFormat="1" ht="24" customHeight="1">
      <c r="A276" s="1860">
        <v>1</v>
      </c>
      <c r="B276" s="1860"/>
      <c r="C276" s="1860"/>
      <c r="D276" s="1860"/>
      <c r="E276" s="1839"/>
      <c r="F276" s="1841"/>
      <c r="G276" s="1643"/>
      <c r="H276" s="1924">
        <f xml:space="preserve"> 5*17100</f>
        <v>85500</v>
      </c>
      <c r="I276" s="1558"/>
      <c r="J276" s="40" t="s">
        <v>134</v>
      </c>
      <c r="K276" s="42"/>
      <c r="L276" s="364">
        <v>0</v>
      </c>
      <c r="M276" s="364">
        <v>0</v>
      </c>
      <c r="N276" s="364">
        <v>0</v>
      </c>
      <c r="O276" s="364">
        <v>0</v>
      </c>
      <c r="P276" s="364">
        <v>0</v>
      </c>
      <c r="Q276" s="1475">
        <f>L276*$H276</f>
        <v>0</v>
      </c>
      <c r="R276" s="1475">
        <f>M276*$H276</f>
        <v>0</v>
      </c>
      <c r="S276" s="1475">
        <f>N276*$H276</f>
        <v>0</v>
      </c>
      <c r="T276" s="1475">
        <f>O276*$H276</f>
        <v>0</v>
      </c>
      <c r="U276" s="1475">
        <f>P276*$H276</f>
        <v>0</v>
      </c>
      <c r="V276" s="1476">
        <f t="shared" si="112"/>
        <v>0</v>
      </c>
    </row>
    <row r="277" spans="1:22" s="39" customFormat="1" ht="24" customHeight="1">
      <c r="A277" s="1860">
        <v>1</v>
      </c>
      <c r="B277" s="1860"/>
      <c r="C277" s="1860"/>
      <c r="D277" s="1860"/>
      <c r="E277" s="1839"/>
      <c r="F277" s="1841"/>
      <c r="G277" s="1643"/>
      <c r="H277" s="1924">
        <f>810*0.05</f>
        <v>40.5</v>
      </c>
      <c r="I277" s="1558"/>
      <c r="J277" s="40" t="s">
        <v>82</v>
      </c>
      <c r="K277" s="42"/>
      <c r="L277" s="820">
        <f>L271*0.7</f>
        <v>0.7</v>
      </c>
      <c r="M277" s="820">
        <f t="shared" ref="M277:N277" si="131">M271*0.7</f>
        <v>0</v>
      </c>
      <c r="N277" s="820">
        <f t="shared" si="131"/>
        <v>0</v>
      </c>
      <c r="O277" s="820">
        <v>0</v>
      </c>
      <c r="P277" s="820">
        <v>0</v>
      </c>
      <c r="Q277" s="1475">
        <f>L277*$H276</f>
        <v>59849.999999999993</v>
      </c>
      <c r="R277" s="1475">
        <v>0</v>
      </c>
      <c r="S277" s="1475">
        <v>0</v>
      </c>
      <c r="T277" s="1475">
        <f>O277*$H276</f>
        <v>0</v>
      </c>
      <c r="U277" s="1475">
        <f>P277*$H276</f>
        <v>0</v>
      </c>
      <c r="V277" s="1476">
        <f t="shared" si="112"/>
        <v>59849.999999999993</v>
      </c>
    </row>
    <row r="278" spans="1:22" s="39" customFormat="1" ht="24" customHeight="1">
      <c r="A278" s="1860">
        <v>1</v>
      </c>
      <c r="B278" s="1860"/>
      <c r="C278" s="1860"/>
      <c r="D278" s="1860"/>
      <c r="E278" s="1839"/>
      <c r="F278" s="1841"/>
      <c r="G278" s="1643"/>
      <c r="H278" s="1924"/>
      <c r="I278" s="1558"/>
      <c r="J278" s="40" t="s">
        <v>90</v>
      </c>
      <c r="K278" s="42"/>
      <c r="L278" s="820">
        <f>L271*0.3</f>
        <v>0.3</v>
      </c>
      <c r="M278" s="820">
        <f t="shared" ref="M278:N278" si="132">M271*0.3</f>
        <v>0</v>
      </c>
      <c r="N278" s="820">
        <f t="shared" si="132"/>
        <v>0</v>
      </c>
      <c r="O278" s="820">
        <v>0</v>
      </c>
      <c r="P278" s="820">
        <v>0</v>
      </c>
      <c r="Q278" s="1475">
        <f>L278*$H276</f>
        <v>25650</v>
      </c>
      <c r="R278" s="1475">
        <v>0</v>
      </c>
      <c r="S278" s="1475">
        <v>0</v>
      </c>
      <c r="T278" s="1475">
        <f>O278*$H276</f>
        <v>0</v>
      </c>
      <c r="U278" s="1475">
        <f>P278*$H276</f>
        <v>0</v>
      </c>
      <c r="V278" s="1476">
        <f t="shared" si="112"/>
        <v>25650</v>
      </c>
    </row>
    <row r="279" spans="1:22" s="39" customFormat="1" ht="24" customHeight="1">
      <c r="A279" s="1860">
        <v>1</v>
      </c>
      <c r="B279" s="1860"/>
      <c r="C279" s="1860"/>
      <c r="D279" s="1860"/>
      <c r="E279" s="1839"/>
      <c r="F279" s="1841"/>
      <c r="G279" s="1643"/>
      <c r="H279" s="1924"/>
      <c r="I279" s="1558"/>
      <c r="J279" s="40" t="s">
        <v>83</v>
      </c>
      <c r="K279" s="42"/>
      <c r="L279" s="364">
        <v>0</v>
      </c>
      <c r="M279" s="364">
        <v>0</v>
      </c>
      <c r="N279" s="364">
        <v>0</v>
      </c>
      <c r="O279" s="364">
        <v>0</v>
      </c>
      <c r="P279" s="364">
        <v>0</v>
      </c>
      <c r="Q279" s="1475">
        <f>L279*$H276</f>
        <v>0</v>
      </c>
      <c r="R279" s="1475">
        <f>M279*$H276</f>
        <v>0</v>
      </c>
      <c r="S279" s="1475">
        <f>N279*$H276</f>
        <v>0</v>
      </c>
      <c r="T279" s="1475">
        <f>O279*$H276</f>
        <v>0</v>
      </c>
      <c r="U279" s="1475">
        <f>P279*$H276</f>
        <v>0</v>
      </c>
      <c r="V279" s="1476">
        <f t="shared" si="112"/>
        <v>0</v>
      </c>
    </row>
    <row r="280" spans="1:22" s="39" customFormat="1" ht="24" customHeight="1">
      <c r="A280" s="1860">
        <v>1</v>
      </c>
      <c r="B280" s="1860"/>
      <c r="C280" s="1860"/>
      <c r="D280" s="1860"/>
      <c r="E280" s="1839"/>
      <c r="F280" s="1841"/>
      <c r="G280" s="1644"/>
      <c r="H280" s="1924"/>
      <c r="I280" s="1559"/>
      <c r="J280" s="40" t="s">
        <v>84</v>
      </c>
      <c r="K280" s="42"/>
      <c r="L280" s="364">
        <f>L271-L272</f>
        <v>0</v>
      </c>
      <c r="M280" s="364">
        <f t="shared" ref="M280:U280" si="133">M271-M272</f>
        <v>0</v>
      </c>
      <c r="N280" s="364">
        <f t="shared" si="133"/>
        <v>0</v>
      </c>
      <c r="O280" s="364">
        <f t="shared" si="133"/>
        <v>0</v>
      </c>
      <c r="P280" s="364">
        <f t="shared" si="133"/>
        <v>0</v>
      </c>
      <c r="Q280" s="1475">
        <f t="shared" si="133"/>
        <v>0</v>
      </c>
      <c r="R280" s="1475">
        <f t="shared" si="133"/>
        <v>0</v>
      </c>
      <c r="S280" s="1475">
        <f t="shared" si="133"/>
        <v>0</v>
      </c>
      <c r="T280" s="1475">
        <f t="shared" si="133"/>
        <v>0</v>
      </c>
      <c r="U280" s="1475">
        <f t="shared" si="133"/>
        <v>0</v>
      </c>
      <c r="V280" s="1476">
        <f t="shared" si="112"/>
        <v>0</v>
      </c>
    </row>
    <row r="281" spans="1:22" s="55" customFormat="1" ht="24" customHeight="1">
      <c r="A281" s="74">
        <v>1</v>
      </c>
      <c r="B281" s="74">
        <v>2</v>
      </c>
      <c r="C281" s="74">
        <v>2</v>
      </c>
      <c r="D281" s="74"/>
      <c r="E281" s="74" t="s">
        <v>13</v>
      </c>
      <c r="F281" s="854" t="str">
        <f>CONCATENATE(A281,".",B281,".",C281,)</f>
        <v>1.2.2</v>
      </c>
      <c r="G281" s="1630" t="s">
        <v>54</v>
      </c>
      <c r="H281" s="1631"/>
      <c r="I281" s="1632"/>
      <c r="J281" s="54"/>
      <c r="K281" s="885"/>
      <c r="L281" s="378"/>
      <c r="M281" s="378"/>
      <c r="N281" s="378"/>
      <c r="O281" s="385"/>
      <c r="P281" s="378"/>
      <c r="Q281" s="1497">
        <f>Q283+Q293+Q303</f>
        <v>39500</v>
      </c>
      <c r="R281" s="1497">
        <f t="shared" ref="R281:U281" si="134">R283+R293+R303</f>
        <v>69500</v>
      </c>
      <c r="S281" s="1497">
        <f t="shared" si="134"/>
        <v>19500</v>
      </c>
      <c r="T281" s="1497">
        <f t="shared" si="134"/>
        <v>19500</v>
      </c>
      <c r="U281" s="1497">
        <f t="shared" si="134"/>
        <v>19500</v>
      </c>
      <c r="V281" s="1497">
        <f t="shared" ref="V281:V301" si="135">SUM(Q281:U281)</f>
        <v>167500</v>
      </c>
    </row>
    <row r="282" spans="1:22" s="45" customFormat="1" ht="24" customHeight="1">
      <c r="A282" s="1860">
        <v>1</v>
      </c>
      <c r="B282" s="1860">
        <v>2</v>
      </c>
      <c r="C282" s="1860">
        <v>2</v>
      </c>
      <c r="D282" s="1860">
        <v>1</v>
      </c>
      <c r="E282" s="1839" t="s">
        <v>49</v>
      </c>
      <c r="F282" s="1841" t="str">
        <f>CONCATENATE(A282,".",B282,".",C282,".",D282,)</f>
        <v>1.2.2.1</v>
      </c>
      <c r="G282" s="1642" t="s">
        <v>3</v>
      </c>
      <c r="H282" s="1598" t="s">
        <v>143</v>
      </c>
      <c r="I282" s="1557" t="s">
        <v>410</v>
      </c>
      <c r="J282" s="36" t="s">
        <v>79</v>
      </c>
      <c r="K282" s="971">
        <v>150</v>
      </c>
      <c r="L282" s="883">
        <v>150</v>
      </c>
      <c r="M282" s="883">
        <v>150</v>
      </c>
      <c r="N282" s="883">
        <v>150</v>
      </c>
      <c r="O282" s="883">
        <v>150</v>
      </c>
      <c r="P282" s="883">
        <v>150</v>
      </c>
      <c r="Q282" s="1475">
        <f>L282*H287</f>
        <v>19500</v>
      </c>
      <c r="R282" s="1475">
        <f>M282*H287</f>
        <v>19500</v>
      </c>
      <c r="S282" s="1475">
        <f>N282*H287</f>
        <v>19500</v>
      </c>
      <c r="T282" s="1475">
        <f>O282*H287</f>
        <v>19500</v>
      </c>
      <c r="U282" s="1475">
        <f>P282*H287</f>
        <v>19500</v>
      </c>
      <c r="V282" s="1476">
        <f t="shared" si="135"/>
        <v>97500</v>
      </c>
    </row>
    <row r="283" spans="1:22" s="39" customFormat="1" ht="24" customHeight="1">
      <c r="A283" s="1860">
        <v>1</v>
      </c>
      <c r="B283" s="1860"/>
      <c r="C283" s="1860"/>
      <c r="D283" s="1860"/>
      <c r="E283" s="1839"/>
      <c r="F283" s="1841"/>
      <c r="G283" s="1643"/>
      <c r="H283" s="1599"/>
      <c r="I283" s="1558"/>
      <c r="J283" s="40" t="s">
        <v>80</v>
      </c>
      <c r="K283" s="42"/>
      <c r="L283" s="364">
        <f t="shared" ref="L283:P283" si="136">SUM(L284:L290)</f>
        <v>150</v>
      </c>
      <c r="M283" s="364">
        <f t="shared" si="136"/>
        <v>150</v>
      </c>
      <c r="N283" s="364">
        <f t="shared" si="136"/>
        <v>150</v>
      </c>
      <c r="O283" s="364">
        <f t="shared" si="136"/>
        <v>150</v>
      </c>
      <c r="P283" s="364">
        <f t="shared" si="136"/>
        <v>150</v>
      </c>
      <c r="Q283" s="1475">
        <f t="shared" ref="Q283:U283" si="137">SUM(Q284:Q290)</f>
        <v>19500</v>
      </c>
      <c r="R283" s="1475">
        <f t="shared" si="137"/>
        <v>19500</v>
      </c>
      <c r="S283" s="1475">
        <f t="shared" si="137"/>
        <v>19500</v>
      </c>
      <c r="T283" s="1475">
        <f t="shared" si="137"/>
        <v>19500</v>
      </c>
      <c r="U283" s="1475">
        <f t="shared" si="137"/>
        <v>19500</v>
      </c>
      <c r="V283" s="1476">
        <f t="shared" si="135"/>
        <v>97500</v>
      </c>
    </row>
    <row r="284" spans="1:22" s="39" customFormat="1" ht="24" customHeight="1">
      <c r="A284" s="1860">
        <v>1</v>
      </c>
      <c r="B284" s="1860"/>
      <c r="C284" s="1860"/>
      <c r="D284" s="1860"/>
      <c r="E284" s="1839"/>
      <c r="F284" s="1841"/>
      <c r="G284" s="1643"/>
      <c r="H284" s="1599"/>
      <c r="I284" s="1558"/>
      <c r="J284" s="40" t="s">
        <v>429</v>
      </c>
      <c r="K284" s="42"/>
      <c r="L284" s="364">
        <f>L282*0.7</f>
        <v>105</v>
      </c>
      <c r="M284" s="364">
        <f t="shared" ref="M284:P284" si="138">M282*0.7</f>
        <v>105</v>
      </c>
      <c r="N284" s="364">
        <f t="shared" si="138"/>
        <v>105</v>
      </c>
      <c r="O284" s="364">
        <f t="shared" si="138"/>
        <v>105</v>
      </c>
      <c r="P284" s="364">
        <f t="shared" si="138"/>
        <v>105</v>
      </c>
      <c r="Q284" s="1475">
        <f>L284*$H287</f>
        <v>13650</v>
      </c>
      <c r="R284" s="1475">
        <f>M284*$H287</f>
        <v>13650</v>
      </c>
      <c r="S284" s="1475">
        <f>N284*$H287</f>
        <v>13650</v>
      </c>
      <c r="T284" s="1475">
        <f>O284*$H287</f>
        <v>13650</v>
      </c>
      <c r="U284" s="1475">
        <f>P284*$H287</f>
        <v>13650</v>
      </c>
      <c r="V284" s="1476">
        <f t="shared" si="135"/>
        <v>68250</v>
      </c>
    </row>
    <row r="285" spans="1:22" s="39" customFormat="1" ht="24" customHeight="1">
      <c r="A285" s="1860">
        <v>1</v>
      </c>
      <c r="B285" s="1860"/>
      <c r="C285" s="1860"/>
      <c r="D285" s="1860"/>
      <c r="E285" s="1839"/>
      <c r="F285" s="1841"/>
      <c r="G285" s="1643"/>
      <c r="H285" s="1599"/>
      <c r="I285" s="1558"/>
      <c r="J285" s="40" t="s">
        <v>133</v>
      </c>
      <c r="K285" s="42"/>
      <c r="L285" s="364">
        <f>L282*0.3</f>
        <v>45</v>
      </c>
      <c r="M285" s="364">
        <f t="shared" ref="M285:P285" si="139">M282*0.3</f>
        <v>45</v>
      </c>
      <c r="N285" s="364">
        <f t="shared" si="139"/>
        <v>45</v>
      </c>
      <c r="O285" s="364">
        <f t="shared" si="139"/>
        <v>45</v>
      </c>
      <c r="P285" s="364">
        <f t="shared" si="139"/>
        <v>45</v>
      </c>
      <c r="Q285" s="1475">
        <f>L285*$H287</f>
        <v>5850</v>
      </c>
      <c r="R285" s="1475">
        <f>M285*$H287</f>
        <v>5850</v>
      </c>
      <c r="S285" s="1475">
        <f>N285*$H287</f>
        <v>5850</v>
      </c>
      <c r="T285" s="1475">
        <f>O285*$H287</f>
        <v>5850</v>
      </c>
      <c r="U285" s="1475">
        <f>P285*$H287</f>
        <v>5850</v>
      </c>
      <c r="V285" s="1476">
        <f t="shared" si="135"/>
        <v>29250</v>
      </c>
    </row>
    <row r="286" spans="1:22" s="39" customFormat="1" ht="24" customHeight="1">
      <c r="A286" s="1860">
        <v>1</v>
      </c>
      <c r="B286" s="1860"/>
      <c r="C286" s="1860"/>
      <c r="D286" s="1860"/>
      <c r="E286" s="1839"/>
      <c r="F286" s="1841"/>
      <c r="G286" s="1643"/>
      <c r="H286" s="1600"/>
      <c r="I286" s="1558"/>
      <c r="J286" s="40" t="s">
        <v>81</v>
      </c>
      <c r="K286" s="42"/>
      <c r="L286" s="364">
        <v>0</v>
      </c>
      <c r="M286" s="364">
        <v>0</v>
      </c>
      <c r="N286" s="364">
        <v>0</v>
      </c>
      <c r="O286" s="364">
        <v>0</v>
      </c>
      <c r="P286" s="364">
        <v>0</v>
      </c>
      <c r="Q286" s="1475">
        <f>L286*$H287</f>
        <v>0</v>
      </c>
      <c r="R286" s="1475">
        <f>M286*$H287</f>
        <v>0</v>
      </c>
      <c r="S286" s="1475">
        <f>N286*$H287</f>
        <v>0</v>
      </c>
      <c r="T286" s="1475">
        <f>O286*$H287</f>
        <v>0</v>
      </c>
      <c r="U286" s="1475">
        <f>P286*$H287</f>
        <v>0</v>
      </c>
      <c r="V286" s="1476">
        <f t="shared" si="135"/>
        <v>0</v>
      </c>
    </row>
    <row r="287" spans="1:22" s="39" customFormat="1" ht="24" customHeight="1">
      <c r="A287" s="1860">
        <v>1</v>
      </c>
      <c r="B287" s="1860"/>
      <c r="C287" s="1860"/>
      <c r="D287" s="1860"/>
      <c r="E287" s="1839"/>
      <c r="F287" s="1841"/>
      <c r="G287" s="1643"/>
      <c r="H287" s="1601">
        <v>130</v>
      </c>
      <c r="I287" s="1558"/>
      <c r="J287" s="40" t="s">
        <v>134</v>
      </c>
      <c r="K287" s="42"/>
      <c r="L287" s="364">
        <v>0</v>
      </c>
      <c r="M287" s="364">
        <v>0</v>
      </c>
      <c r="N287" s="364">
        <v>0</v>
      </c>
      <c r="O287" s="364">
        <v>0</v>
      </c>
      <c r="P287" s="364">
        <v>0</v>
      </c>
      <c r="Q287" s="1475">
        <f>L287*$H287</f>
        <v>0</v>
      </c>
      <c r="R287" s="1475">
        <f>M287*$H287</f>
        <v>0</v>
      </c>
      <c r="S287" s="1475">
        <f>N287*$H287</f>
        <v>0</v>
      </c>
      <c r="T287" s="1475">
        <f>O287*$H287</f>
        <v>0</v>
      </c>
      <c r="U287" s="1475">
        <f>P287*$H287</f>
        <v>0</v>
      </c>
      <c r="V287" s="1476">
        <f t="shared" si="135"/>
        <v>0</v>
      </c>
    </row>
    <row r="288" spans="1:22" s="39" customFormat="1" ht="24" customHeight="1">
      <c r="A288" s="1860">
        <v>1</v>
      </c>
      <c r="B288" s="1860"/>
      <c r="C288" s="1860"/>
      <c r="D288" s="1860"/>
      <c r="E288" s="1839"/>
      <c r="F288" s="1841"/>
      <c r="G288" s="1643"/>
      <c r="H288" s="1601">
        <f>810*0.05</f>
        <v>40.5</v>
      </c>
      <c r="I288" s="1558"/>
      <c r="J288" s="40" t="s">
        <v>82</v>
      </c>
      <c r="K288" s="42"/>
      <c r="L288" s="364">
        <v>0</v>
      </c>
      <c r="M288" s="364">
        <v>0</v>
      </c>
      <c r="N288" s="364">
        <v>0</v>
      </c>
      <c r="O288" s="364">
        <v>0</v>
      </c>
      <c r="P288" s="364">
        <v>0</v>
      </c>
      <c r="Q288" s="1475">
        <f>L288*$H287</f>
        <v>0</v>
      </c>
      <c r="R288" s="1475">
        <f>M288*$H287</f>
        <v>0</v>
      </c>
      <c r="S288" s="1475">
        <f>N288*$H287</f>
        <v>0</v>
      </c>
      <c r="T288" s="1475">
        <f>O288*$H287</f>
        <v>0</v>
      </c>
      <c r="U288" s="1475">
        <f>P288*$H287</f>
        <v>0</v>
      </c>
      <c r="V288" s="1476">
        <f t="shared" si="135"/>
        <v>0</v>
      </c>
    </row>
    <row r="289" spans="1:22" s="39" customFormat="1" ht="24" customHeight="1">
      <c r="A289" s="1860">
        <v>1</v>
      </c>
      <c r="B289" s="1860"/>
      <c r="C289" s="1860"/>
      <c r="D289" s="1860"/>
      <c r="E289" s="1839"/>
      <c r="F289" s="1841"/>
      <c r="G289" s="1643"/>
      <c r="H289" s="1601"/>
      <c r="I289" s="1558"/>
      <c r="J289" s="40" t="s">
        <v>90</v>
      </c>
      <c r="K289" s="42"/>
      <c r="L289" s="364">
        <v>0</v>
      </c>
      <c r="M289" s="364">
        <v>0</v>
      </c>
      <c r="N289" s="364">
        <v>0</v>
      </c>
      <c r="O289" s="364">
        <v>0</v>
      </c>
      <c r="P289" s="364">
        <v>0</v>
      </c>
      <c r="Q289" s="1475">
        <f>L289*$H287</f>
        <v>0</v>
      </c>
      <c r="R289" s="1475">
        <f>M289*$H287</f>
        <v>0</v>
      </c>
      <c r="S289" s="1475">
        <f>N289*$H287</f>
        <v>0</v>
      </c>
      <c r="T289" s="1475">
        <f>O289*$H287</f>
        <v>0</v>
      </c>
      <c r="U289" s="1475">
        <f>P289*$H287</f>
        <v>0</v>
      </c>
      <c r="V289" s="1476">
        <f t="shared" si="135"/>
        <v>0</v>
      </c>
    </row>
    <row r="290" spans="1:22" s="39" customFormat="1" ht="24" customHeight="1">
      <c r="A290" s="1860">
        <v>1</v>
      </c>
      <c r="B290" s="1860"/>
      <c r="C290" s="1860"/>
      <c r="D290" s="1860"/>
      <c r="E290" s="1839"/>
      <c r="F290" s="1841"/>
      <c r="G290" s="1643"/>
      <c r="H290" s="1601"/>
      <c r="I290" s="1558"/>
      <c r="J290" s="40" t="s">
        <v>83</v>
      </c>
      <c r="K290" s="42"/>
      <c r="L290" s="364">
        <v>0</v>
      </c>
      <c r="M290" s="364">
        <v>0</v>
      </c>
      <c r="N290" s="364">
        <v>0</v>
      </c>
      <c r="O290" s="364">
        <v>0</v>
      </c>
      <c r="P290" s="364">
        <v>0</v>
      </c>
      <c r="Q290" s="1475">
        <f>L290*$H287</f>
        <v>0</v>
      </c>
      <c r="R290" s="1475">
        <f>M290*$H287</f>
        <v>0</v>
      </c>
      <c r="S290" s="1475">
        <f>N290*$H287</f>
        <v>0</v>
      </c>
      <c r="T290" s="1475">
        <f>O290*$H287</f>
        <v>0</v>
      </c>
      <c r="U290" s="1475">
        <f>P290*$H287</f>
        <v>0</v>
      </c>
      <c r="V290" s="1476">
        <f t="shared" si="135"/>
        <v>0</v>
      </c>
    </row>
    <row r="291" spans="1:22" s="39" customFormat="1" ht="24" customHeight="1">
      <c r="A291" s="1860">
        <v>1</v>
      </c>
      <c r="B291" s="1860"/>
      <c r="C291" s="1860"/>
      <c r="D291" s="1860"/>
      <c r="E291" s="1839"/>
      <c r="F291" s="1841"/>
      <c r="G291" s="1644"/>
      <c r="H291" s="1601"/>
      <c r="I291" s="1559"/>
      <c r="J291" s="40" t="s">
        <v>84</v>
      </c>
      <c r="K291" s="42"/>
      <c r="L291" s="364">
        <f>L282-L283</f>
        <v>0</v>
      </c>
      <c r="M291" s="364">
        <f t="shared" ref="M291:U291" si="140">M282-M283</f>
        <v>0</v>
      </c>
      <c r="N291" s="364">
        <f t="shared" si="140"/>
        <v>0</v>
      </c>
      <c r="O291" s="364">
        <f t="shared" si="140"/>
        <v>0</v>
      </c>
      <c r="P291" s="364">
        <f t="shared" si="140"/>
        <v>0</v>
      </c>
      <c r="Q291" s="1475">
        <f t="shared" si="140"/>
        <v>0</v>
      </c>
      <c r="R291" s="1475">
        <f t="shared" si="140"/>
        <v>0</v>
      </c>
      <c r="S291" s="1475">
        <f t="shared" si="140"/>
        <v>0</v>
      </c>
      <c r="T291" s="1475">
        <f t="shared" si="140"/>
        <v>0</v>
      </c>
      <c r="U291" s="1475">
        <f t="shared" si="140"/>
        <v>0</v>
      </c>
      <c r="V291" s="1476">
        <f t="shared" si="135"/>
        <v>0</v>
      </c>
    </row>
    <row r="292" spans="1:22" s="45" customFormat="1" ht="24" customHeight="1">
      <c r="A292" s="1860">
        <v>1</v>
      </c>
      <c r="B292" s="1860">
        <v>2</v>
      </c>
      <c r="C292" s="1860">
        <v>2</v>
      </c>
      <c r="D292" s="1860">
        <v>2</v>
      </c>
      <c r="E292" s="1839" t="s">
        <v>49</v>
      </c>
      <c r="F292" s="1841" t="str">
        <f>CONCATENATE(A292,".",B292,".",C292,".",D292,)</f>
        <v>1.2.2.2</v>
      </c>
      <c r="G292" s="1642" t="s">
        <v>155</v>
      </c>
      <c r="H292" s="1595" t="s">
        <v>195</v>
      </c>
      <c r="I292" s="1557" t="s">
        <v>746</v>
      </c>
      <c r="J292" s="36" t="s">
        <v>79</v>
      </c>
      <c r="K292" s="882"/>
      <c r="L292" s="883">
        <v>10</v>
      </c>
      <c r="M292" s="883">
        <v>0</v>
      </c>
      <c r="N292" s="883">
        <v>10</v>
      </c>
      <c r="O292" s="883">
        <v>0</v>
      </c>
      <c r="P292" s="883">
        <v>0</v>
      </c>
      <c r="Q292" s="1475">
        <f>L292*H297</f>
        <v>20000</v>
      </c>
      <c r="R292" s="1475">
        <f>M292*H297</f>
        <v>0</v>
      </c>
      <c r="S292" s="1475">
        <f>N292*H297</f>
        <v>20000</v>
      </c>
      <c r="T292" s="1475">
        <f>O292*H297</f>
        <v>0</v>
      </c>
      <c r="U292" s="1475">
        <f>P292*H297</f>
        <v>0</v>
      </c>
      <c r="V292" s="1476">
        <f t="shared" si="135"/>
        <v>40000</v>
      </c>
    </row>
    <row r="293" spans="1:22" s="39" customFormat="1" ht="24" customHeight="1">
      <c r="A293" s="1860">
        <v>1</v>
      </c>
      <c r="B293" s="1860"/>
      <c r="C293" s="1860"/>
      <c r="D293" s="1860"/>
      <c r="E293" s="1839"/>
      <c r="F293" s="1841"/>
      <c r="G293" s="1643"/>
      <c r="H293" s="1596"/>
      <c r="I293" s="1558"/>
      <c r="J293" s="40" t="s">
        <v>80</v>
      </c>
      <c r="K293" s="42"/>
      <c r="L293" s="364">
        <f t="shared" ref="L293:P293" si="141">SUM(L294:L300)</f>
        <v>10</v>
      </c>
      <c r="M293" s="364">
        <f t="shared" si="141"/>
        <v>0</v>
      </c>
      <c r="N293" s="364">
        <f t="shared" si="141"/>
        <v>0</v>
      </c>
      <c r="O293" s="364">
        <f t="shared" si="141"/>
        <v>0</v>
      </c>
      <c r="P293" s="364">
        <f t="shared" si="141"/>
        <v>0</v>
      </c>
      <c r="Q293" s="1475">
        <f t="shared" ref="Q293:U293" si="142">SUM(Q294:Q300)</f>
        <v>20000</v>
      </c>
      <c r="R293" s="1475">
        <f t="shared" si="142"/>
        <v>0</v>
      </c>
      <c r="S293" s="1475">
        <f t="shared" si="142"/>
        <v>0</v>
      </c>
      <c r="T293" s="1475">
        <f t="shared" si="142"/>
        <v>0</v>
      </c>
      <c r="U293" s="1475">
        <f t="shared" si="142"/>
        <v>0</v>
      </c>
      <c r="V293" s="1476">
        <f t="shared" si="135"/>
        <v>20000</v>
      </c>
    </row>
    <row r="294" spans="1:22" s="39" customFormat="1" ht="24" customHeight="1">
      <c r="A294" s="1860">
        <v>1</v>
      </c>
      <c r="B294" s="1860"/>
      <c r="C294" s="1860"/>
      <c r="D294" s="1860"/>
      <c r="E294" s="1839"/>
      <c r="F294" s="1841"/>
      <c r="G294" s="1643"/>
      <c r="H294" s="1596"/>
      <c r="I294" s="1558"/>
      <c r="J294" s="40" t="s">
        <v>429</v>
      </c>
      <c r="K294" s="42"/>
      <c r="L294" s="364">
        <v>0</v>
      </c>
      <c r="M294" s="364">
        <v>0</v>
      </c>
      <c r="N294" s="364">
        <v>0</v>
      </c>
      <c r="O294" s="364">
        <v>0</v>
      </c>
      <c r="P294" s="364">
        <v>0</v>
      </c>
      <c r="Q294" s="1475">
        <f>L294*$H297</f>
        <v>0</v>
      </c>
      <c r="R294" s="1475">
        <f>M294*$H297</f>
        <v>0</v>
      </c>
      <c r="S294" s="1475">
        <f>N294*$H297</f>
        <v>0</v>
      </c>
      <c r="T294" s="1475">
        <f>O294*$H297</f>
        <v>0</v>
      </c>
      <c r="U294" s="1475">
        <f>P294*$H297</f>
        <v>0</v>
      </c>
      <c r="V294" s="1476">
        <f t="shared" si="135"/>
        <v>0</v>
      </c>
    </row>
    <row r="295" spans="1:22" s="39" customFormat="1" ht="24" customHeight="1">
      <c r="A295" s="1860">
        <v>1</v>
      </c>
      <c r="B295" s="1860"/>
      <c r="C295" s="1860"/>
      <c r="D295" s="1860"/>
      <c r="E295" s="1839"/>
      <c r="F295" s="1841"/>
      <c r="G295" s="1643"/>
      <c r="H295" s="1596"/>
      <c r="I295" s="1558"/>
      <c r="J295" s="40" t="s">
        <v>133</v>
      </c>
      <c r="K295" s="42"/>
      <c r="L295" s="364">
        <v>0</v>
      </c>
      <c r="M295" s="364">
        <v>0</v>
      </c>
      <c r="N295" s="364">
        <v>0</v>
      </c>
      <c r="O295" s="364">
        <v>0</v>
      </c>
      <c r="P295" s="364">
        <v>0</v>
      </c>
      <c r="Q295" s="1475">
        <f>L295*$H297</f>
        <v>0</v>
      </c>
      <c r="R295" s="1475">
        <f>M295*$H297</f>
        <v>0</v>
      </c>
      <c r="S295" s="1475">
        <f>N295*$H297</f>
        <v>0</v>
      </c>
      <c r="T295" s="1475">
        <f>O295*$H297</f>
        <v>0</v>
      </c>
      <c r="U295" s="1475">
        <f>P295*$H297</f>
        <v>0</v>
      </c>
      <c r="V295" s="1476">
        <f t="shared" si="135"/>
        <v>0</v>
      </c>
    </row>
    <row r="296" spans="1:22" s="39" customFormat="1" ht="24" customHeight="1">
      <c r="A296" s="1860">
        <v>1</v>
      </c>
      <c r="B296" s="1860"/>
      <c r="C296" s="1860"/>
      <c r="D296" s="1860"/>
      <c r="E296" s="1839"/>
      <c r="F296" s="1841"/>
      <c r="G296" s="1643"/>
      <c r="H296" s="1618"/>
      <c r="I296" s="1558"/>
      <c r="J296" s="40" t="s">
        <v>81</v>
      </c>
      <c r="K296" s="42"/>
      <c r="L296" s="364">
        <v>0</v>
      </c>
      <c r="M296" s="364">
        <v>0</v>
      </c>
      <c r="N296" s="364">
        <v>0</v>
      </c>
      <c r="O296" s="364">
        <v>0</v>
      </c>
      <c r="P296" s="364">
        <v>0</v>
      </c>
      <c r="Q296" s="1475">
        <f>L296*$H297</f>
        <v>0</v>
      </c>
      <c r="R296" s="1475">
        <f>M296*$H297</f>
        <v>0</v>
      </c>
      <c r="S296" s="1475">
        <f>N296*$H297</f>
        <v>0</v>
      </c>
      <c r="T296" s="1475">
        <f>O296*$H297</f>
        <v>0</v>
      </c>
      <c r="U296" s="1475">
        <f>P296*$H297</f>
        <v>0</v>
      </c>
      <c r="V296" s="1476">
        <f t="shared" si="135"/>
        <v>0</v>
      </c>
    </row>
    <row r="297" spans="1:22" s="39" customFormat="1" ht="24" customHeight="1">
      <c r="A297" s="1860">
        <v>1</v>
      </c>
      <c r="B297" s="1860"/>
      <c r="C297" s="1860"/>
      <c r="D297" s="1860"/>
      <c r="E297" s="1839"/>
      <c r="F297" s="1841"/>
      <c r="G297" s="1643"/>
      <c r="H297" s="1667">
        <f>'Budget assumption'!$C$4</f>
        <v>2000</v>
      </c>
      <c r="I297" s="1558"/>
      <c r="J297" s="40" t="s">
        <v>134</v>
      </c>
      <c r="K297" s="42"/>
      <c r="L297" s="364">
        <v>0</v>
      </c>
      <c r="M297" s="364">
        <v>0</v>
      </c>
      <c r="N297" s="364">
        <v>0</v>
      </c>
      <c r="O297" s="364">
        <v>0</v>
      </c>
      <c r="P297" s="364">
        <v>0</v>
      </c>
      <c r="Q297" s="1475">
        <f>L297*$H297</f>
        <v>0</v>
      </c>
      <c r="R297" s="1475">
        <f>M297*$H297</f>
        <v>0</v>
      </c>
      <c r="S297" s="1475">
        <f>N297*$H297</f>
        <v>0</v>
      </c>
      <c r="T297" s="1475">
        <f>O297*$H297</f>
        <v>0</v>
      </c>
      <c r="U297" s="1475">
        <f>P297*$H297</f>
        <v>0</v>
      </c>
      <c r="V297" s="1476">
        <f t="shared" si="135"/>
        <v>0</v>
      </c>
    </row>
    <row r="298" spans="1:22" s="39" customFormat="1" ht="24" customHeight="1">
      <c r="A298" s="1860">
        <v>1</v>
      </c>
      <c r="B298" s="1860"/>
      <c r="C298" s="1860"/>
      <c r="D298" s="1860"/>
      <c r="E298" s="1839"/>
      <c r="F298" s="1841"/>
      <c r="G298" s="1643"/>
      <c r="H298" s="1668"/>
      <c r="I298" s="1558"/>
      <c r="J298" s="40" t="s">
        <v>82</v>
      </c>
      <c r="K298" s="42"/>
      <c r="L298" s="364">
        <v>10</v>
      </c>
      <c r="M298" s="364">
        <v>0</v>
      </c>
      <c r="N298" s="364">
        <v>0</v>
      </c>
      <c r="O298" s="364">
        <v>0</v>
      </c>
      <c r="P298" s="364">
        <v>0</v>
      </c>
      <c r="Q298" s="1475">
        <f>L298*$H297</f>
        <v>20000</v>
      </c>
      <c r="R298" s="1475">
        <f>M298*$H297</f>
        <v>0</v>
      </c>
      <c r="S298" s="1475">
        <f>N298*$H297</f>
        <v>0</v>
      </c>
      <c r="T298" s="1475">
        <f>O298*$H297</f>
        <v>0</v>
      </c>
      <c r="U298" s="1475">
        <f>P298*$H297</f>
        <v>0</v>
      </c>
      <c r="V298" s="1476">
        <f t="shared" si="135"/>
        <v>20000</v>
      </c>
    </row>
    <row r="299" spans="1:22" s="39" customFormat="1" ht="24" customHeight="1">
      <c r="A299" s="1860">
        <v>1</v>
      </c>
      <c r="B299" s="1860"/>
      <c r="C299" s="1860"/>
      <c r="D299" s="1860"/>
      <c r="E299" s="1839"/>
      <c r="F299" s="1841"/>
      <c r="G299" s="1643"/>
      <c r="H299" s="1668"/>
      <c r="I299" s="1558"/>
      <c r="J299" s="40" t="s">
        <v>90</v>
      </c>
      <c r="K299" s="42"/>
      <c r="L299" s="364">
        <v>0</v>
      </c>
      <c r="M299" s="364">
        <v>0</v>
      </c>
      <c r="N299" s="364">
        <v>0</v>
      </c>
      <c r="O299" s="364">
        <v>0</v>
      </c>
      <c r="P299" s="364">
        <v>0</v>
      </c>
      <c r="Q299" s="1475">
        <f>L299*$H297</f>
        <v>0</v>
      </c>
      <c r="R299" s="1475">
        <f>M299*$H297</f>
        <v>0</v>
      </c>
      <c r="S299" s="1475">
        <f>N299*$H297</f>
        <v>0</v>
      </c>
      <c r="T299" s="1475">
        <f>O299*$H297</f>
        <v>0</v>
      </c>
      <c r="U299" s="1475">
        <f>P299*$H297</f>
        <v>0</v>
      </c>
      <c r="V299" s="1476">
        <f t="shared" si="135"/>
        <v>0</v>
      </c>
    </row>
    <row r="300" spans="1:22" s="39" customFormat="1" ht="24" customHeight="1">
      <c r="A300" s="1860">
        <v>1</v>
      </c>
      <c r="B300" s="1860"/>
      <c r="C300" s="1860"/>
      <c r="D300" s="1860"/>
      <c r="E300" s="1839"/>
      <c r="F300" s="1841"/>
      <c r="G300" s="1643"/>
      <c r="H300" s="1668"/>
      <c r="I300" s="1558"/>
      <c r="J300" s="40" t="s">
        <v>83</v>
      </c>
      <c r="K300" s="42"/>
      <c r="L300" s="364">
        <v>0</v>
      </c>
      <c r="M300" s="364">
        <v>0</v>
      </c>
      <c r="N300" s="364">
        <v>0</v>
      </c>
      <c r="O300" s="364">
        <v>0</v>
      </c>
      <c r="P300" s="364">
        <v>0</v>
      </c>
      <c r="Q300" s="1475">
        <f>L300*$H297</f>
        <v>0</v>
      </c>
      <c r="R300" s="1475">
        <f>M300*$H297</f>
        <v>0</v>
      </c>
      <c r="S300" s="1475">
        <f>N300*$H297</f>
        <v>0</v>
      </c>
      <c r="T300" s="1475">
        <f>O300*$H297</f>
        <v>0</v>
      </c>
      <c r="U300" s="1475">
        <f>P300*$H297</f>
        <v>0</v>
      </c>
      <c r="V300" s="1476">
        <f t="shared" si="135"/>
        <v>0</v>
      </c>
    </row>
    <row r="301" spans="1:22" s="39" customFormat="1" ht="24" customHeight="1" thickBot="1">
      <c r="A301" s="1860">
        <v>1</v>
      </c>
      <c r="B301" s="1860"/>
      <c r="C301" s="1860"/>
      <c r="D301" s="1860"/>
      <c r="E301" s="1839"/>
      <c r="F301" s="1841"/>
      <c r="G301" s="1644"/>
      <c r="H301" s="1669"/>
      <c r="I301" s="1559"/>
      <c r="J301" s="40" t="s">
        <v>84</v>
      </c>
      <c r="K301" s="42"/>
      <c r="L301" s="364">
        <f>L292-L293</f>
        <v>0</v>
      </c>
      <c r="M301" s="364">
        <f t="shared" ref="M301:P301" si="143">M292-M293</f>
        <v>0</v>
      </c>
      <c r="N301" s="364">
        <f t="shared" si="143"/>
        <v>10</v>
      </c>
      <c r="O301" s="364">
        <f t="shared" si="143"/>
        <v>0</v>
      </c>
      <c r="P301" s="364">
        <f t="shared" si="143"/>
        <v>0</v>
      </c>
      <c r="Q301" s="1475">
        <f t="shared" ref="Q301:U301" si="144">Q292-Q293</f>
        <v>0</v>
      </c>
      <c r="R301" s="1475">
        <f t="shared" si="144"/>
        <v>0</v>
      </c>
      <c r="S301" s="1475">
        <f t="shared" si="144"/>
        <v>20000</v>
      </c>
      <c r="T301" s="1475">
        <f t="shared" si="144"/>
        <v>0</v>
      </c>
      <c r="U301" s="1475">
        <f t="shared" si="144"/>
        <v>0</v>
      </c>
      <c r="V301" s="1476">
        <f t="shared" si="135"/>
        <v>20000</v>
      </c>
    </row>
    <row r="302" spans="1:22" s="45" customFormat="1" ht="24" customHeight="1">
      <c r="A302" s="1860">
        <v>1</v>
      </c>
      <c r="B302" s="1860">
        <v>2</v>
      </c>
      <c r="C302" s="1860">
        <v>2</v>
      </c>
      <c r="D302" s="1860">
        <v>3</v>
      </c>
      <c r="E302" s="1839" t="s">
        <v>49</v>
      </c>
      <c r="F302" s="1841" t="str">
        <f>CONCATENATE(A302,".",B302,".",C302,".",D302,)</f>
        <v>1.2.2.3</v>
      </c>
      <c r="G302" s="1642" t="s">
        <v>1132</v>
      </c>
      <c r="H302" s="1595" t="s">
        <v>411</v>
      </c>
      <c r="I302" s="1557" t="s">
        <v>1415</v>
      </c>
      <c r="J302" s="36" t="s">
        <v>79</v>
      </c>
      <c r="K302" s="882"/>
      <c r="L302" s="883">
        <v>0</v>
      </c>
      <c r="M302" s="883">
        <v>25</v>
      </c>
      <c r="N302" s="883">
        <v>0</v>
      </c>
      <c r="O302" s="883">
        <v>0</v>
      </c>
      <c r="P302" s="883">
        <v>0</v>
      </c>
      <c r="Q302" s="1475">
        <f>L302*H307</f>
        <v>0</v>
      </c>
      <c r="R302" s="1475">
        <f>M302*H307</f>
        <v>50000</v>
      </c>
      <c r="S302" s="1475">
        <f>N302*H307</f>
        <v>0</v>
      </c>
      <c r="T302" s="1475">
        <f>O302*H307</f>
        <v>0</v>
      </c>
      <c r="U302" s="1475">
        <f>P302*H307</f>
        <v>0</v>
      </c>
      <c r="V302" s="1476">
        <f t="shared" ref="V302:V356" si="145">SUM(Q302:U302)</f>
        <v>50000</v>
      </c>
    </row>
    <row r="303" spans="1:22" s="39" customFormat="1" ht="24" customHeight="1">
      <c r="A303" s="1860">
        <v>1</v>
      </c>
      <c r="B303" s="1860"/>
      <c r="C303" s="1860"/>
      <c r="D303" s="1860"/>
      <c r="E303" s="1839"/>
      <c r="F303" s="1841"/>
      <c r="G303" s="1643"/>
      <c r="H303" s="1596"/>
      <c r="I303" s="1558"/>
      <c r="J303" s="40" t="s">
        <v>80</v>
      </c>
      <c r="K303" s="42"/>
      <c r="L303" s="364">
        <f t="shared" ref="L303:U303" si="146">SUM(L304:L310)</f>
        <v>0</v>
      </c>
      <c r="M303" s="364">
        <f t="shared" si="146"/>
        <v>25</v>
      </c>
      <c r="N303" s="364">
        <f t="shared" si="146"/>
        <v>0</v>
      </c>
      <c r="O303" s="364">
        <f t="shared" si="146"/>
        <v>0</v>
      </c>
      <c r="P303" s="364">
        <f t="shared" si="146"/>
        <v>0</v>
      </c>
      <c r="Q303" s="1475">
        <f t="shared" si="146"/>
        <v>0</v>
      </c>
      <c r="R303" s="1475">
        <f t="shared" si="146"/>
        <v>50000</v>
      </c>
      <c r="S303" s="1475">
        <f t="shared" si="146"/>
        <v>0</v>
      </c>
      <c r="T303" s="1475">
        <f t="shared" si="146"/>
        <v>0</v>
      </c>
      <c r="U303" s="1475">
        <f t="shared" si="146"/>
        <v>0</v>
      </c>
      <c r="V303" s="1476">
        <f t="shared" si="145"/>
        <v>50000</v>
      </c>
    </row>
    <row r="304" spans="1:22" s="39" customFormat="1" ht="24" customHeight="1">
      <c r="A304" s="1860">
        <v>1</v>
      </c>
      <c r="B304" s="1860"/>
      <c r="C304" s="1860"/>
      <c r="D304" s="1860"/>
      <c r="E304" s="1839"/>
      <c r="F304" s="1841"/>
      <c r="G304" s="1643"/>
      <c r="H304" s="1596"/>
      <c r="I304" s="1558"/>
      <c r="J304" s="40" t="s">
        <v>429</v>
      </c>
      <c r="K304" s="42"/>
      <c r="L304" s="364">
        <v>0</v>
      </c>
      <c r="M304" s="364">
        <v>0</v>
      </c>
      <c r="N304" s="364">
        <v>0</v>
      </c>
      <c r="O304" s="364">
        <v>0</v>
      </c>
      <c r="P304" s="364">
        <v>0</v>
      </c>
      <c r="Q304" s="1475">
        <f>L304*$H307</f>
        <v>0</v>
      </c>
      <c r="R304" s="1475">
        <f>M304*$H307</f>
        <v>0</v>
      </c>
      <c r="S304" s="1475">
        <f>N304*$H307</f>
        <v>0</v>
      </c>
      <c r="T304" s="1475">
        <f>O304*$H307</f>
        <v>0</v>
      </c>
      <c r="U304" s="1475">
        <f>P304*$H307</f>
        <v>0</v>
      </c>
      <c r="V304" s="1476">
        <f t="shared" si="145"/>
        <v>0</v>
      </c>
    </row>
    <row r="305" spans="1:22" s="39" customFormat="1" ht="24" customHeight="1">
      <c r="A305" s="1860">
        <v>1</v>
      </c>
      <c r="B305" s="1860"/>
      <c r="C305" s="1860"/>
      <c r="D305" s="1860"/>
      <c r="E305" s="1839"/>
      <c r="F305" s="1841"/>
      <c r="G305" s="1643"/>
      <c r="H305" s="1596"/>
      <c r="I305" s="1558"/>
      <c r="J305" s="40" t="s">
        <v>133</v>
      </c>
      <c r="K305" s="42"/>
      <c r="L305" s="364">
        <v>0</v>
      </c>
      <c r="M305" s="364">
        <v>0</v>
      </c>
      <c r="N305" s="364">
        <v>0</v>
      </c>
      <c r="O305" s="364">
        <v>0</v>
      </c>
      <c r="P305" s="364">
        <v>0</v>
      </c>
      <c r="Q305" s="1475">
        <f>L305*$H307</f>
        <v>0</v>
      </c>
      <c r="R305" s="1475">
        <f>M305*$H307</f>
        <v>0</v>
      </c>
      <c r="S305" s="1475">
        <f>N305*$H307</f>
        <v>0</v>
      </c>
      <c r="T305" s="1475">
        <f>O305*$H307</f>
        <v>0</v>
      </c>
      <c r="U305" s="1475">
        <f>P305*$H307</f>
        <v>0</v>
      </c>
      <c r="V305" s="1476">
        <f t="shared" si="145"/>
        <v>0</v>
      </c>
    </row>
    <row r="306" spans="1:22" s="39" customFormat="1" ht="24" customHeight="1">
      <c r="A306" s="1860">
        <v>1</v>
      </c>
      <c r="B306" s="1860"/>
      <c r="C306" s="1860"/>
      <c r="D306" s="1860"/>
      <c r="E306" s="1839"/>
      <c r="F306" s="1841"/>
      <c r="G306" s="1643"/>
      <c r="H306" s="1618"/>
      <c r="I306" s="1558"/>
      <c r="J306" s="40" t="s">
        <v>81</v>
      </c>
      <c r="K306" s="42"/>
      <c r="L306" s="364">
        <v>0</v>
      </c>
      <c r="M306" s="364">
        <v>0</v>
      </c>
      <c r="N306" s="364">
        <v>0</v>
      </c>
      <c r="O306" s="364">
        <v>0</v>
      </c>
      <c r="P306" s="364">
        <v>0</v>
      </c>
      <c r="Q306" s="1475">
        <f>L306*$H307</f>
        <v>0</v>
      </c>
      <c r="R306" s="1475">
        <f>M306*$H307</f>
        <v>0</v>
      </c>
      <c r="S306" s="1475">
        <f>N306*$H307</f>
        <v>0</v>
      </c>
      <c r="T306" s="1475">
        <f>O306*$H307</f>
        <v>0</v>
      </c>
      <c r="U306" s="1475">
        <f>P306*$H307</f>
        <v>0</v>
      </c>
      <c r="V306" s="1476">
        <f t="shared" si="145"/>
        <v>0</v>
      </c>
    </row>
    <row r="307" spans="1:22" s="39" customFormat="1" ht="24" customHeight="1">
      <c r="A307" s="1860">
        <v>1</v>
      </c>
      <c r="B307" s="1860"/>
      <c r="C307" s="1860"/>
      <c r="D307" s="1860"/>
      <c r="E307" s="1839"/>
      <c r="F307" s="1841"/>
      <c r="G307" s="1643"/>
      <c r="H307" s="1667">
        <v>2000</v>
      </c>
      <c r="I307" s="1558"/>
      <c r="J307" s="40" t="s">
        <v>134</v>
      </c>
      <c r="K307" s="42"/>
      <c r="L307" s="364">
        <v>0</v>
      </c>
      <c r="M307" s="364">
        <v>0</v>
      </c>
      <c r="N307" s="364">
        <v>0</v>
      </c>
      <c r="O307" s="364">
        <v>0</v>
      </c>
      <c r="P307" s="364">
        <v>0</v>
      </c>
      <c r="Q307" s="1475">
        <f>L307*$H307</f>
        <v>0</v>
      </c>
      <c r="R307" s="1475">
        <f>M307*$H307</f>
        <v>0</v>
      </c>
      <c r="S307" s="1475">
        <f>N307*$H307</f>
        <v>0</v>
      </c>
      <c r="T307" s="1475">
        <f>O307*$H307</f>
        <v>0</v>
      </c>
      <c r="U307" s="1475">
        <f>P307*$H307</f>
        <v>0</v>
      </c>
      <c r="V307" s="1476">
        <f t="shared" si="145"/>
        <v>0</v>
      </c>
    </row>
    <row r="308" spans="1:22" s="39" customFormat="1" ht="24" customHeight="1">
      <c r="A308" s="1860">
        <v>1</v>
      </c>
      <c r="B308" s="1860"/>
      <c r="C308" s="1860"/>
      <c r="D308" s="1860"/>
      <c r="E308" s="1839"/>
      <c r="F308" s="1841"/>
      <c r="G308" s="1643"/>
      <c r="H308" s="1668"/>
      <c r="I308" s="1558"/>
      <c r="J308" s="40" t="s">
        <v>82</v>
      </c>
      <c r="K308" s="42"/>
      <c r="L308" s="364">
        <v>0</v>
      </c>
      <c r="M308" s="364">
        <v>25</v>
      </c>
      <c r="N308" s="364">
        <v>0</v>
      </c>
      <c r="O308" s="364">
        <v>0</v>
      </c>
      <c r="P308" s="364">
        <v>0</v>
      </c>
      <c r="Q308" s="1475">
        <f>L308*$H307</f>
        <v>0</v>
      </c>
      <c r="R308" s="1475">
        <f>M308*$H307</f>
        <v>50000</v>
      </c>
      <c r="S308" s="1475">
        <f>N308*$H307</f>
        <v>0</v>
      </c>
      <c r="T308" s="1475">
        <f>O308*$H307</f>
        <v>0</v>
      </c>
      <c r="U308" s="1475">
        <f>P308*$H307</f>
        <v>0</v>
      </c>
      <c r="V308" s="1476">
        <f t="shared" si="145"/>
        <v>50000</v>
      </c>
    </row>
    <row r="309" spans="1:22" s="39" customFormat="1" ht="24" customHeight="1">
      <c r="A309" s="1860">
        <v>1</v>
      </c>
      <c r="B309" s="1860"/>
      <c r="C309" s="1860"/>
      <c r="D309" s="1860"/>
      <c r="E309" s="1839"/>
      <c r="F309" s="1841"/>
      <c r="G309" s="1643"/>
      <c r="H309" s="1668"/>
      <c r="I309" s="1558"/>
      <c r="J309" s="40" t="s">
        <v>90</v>
      </c>
      <c r="K309" s="42"/>
      <c r="L309" s="364">
        <v>0</v>
      </c>
      <c r="M309" s="364">
        <v>0</v>
      </c>
      <c r="N309" s="364">
        <v>0</v>
      </c>
      <c r="O309" s="364">
        <v>0</v>
      </c>
      <c r="P309" s="364">
        <v>0</v>
      </c>
      <c r="Q309" s="1475">
        <f>L309*$H307</f>
        <v>0</v>
      </c>
      <c r="R309" s="1475">
        <f>M309*$H307</f>
        <v>0</v>
      </c>
      <c r="S309" s="1475">
        <f>N309*$H307</f>
        <v>0</v>
      </c>
      <c r="T309" s="1475">
        <f>O309*$H307</f>
        <v>0</v>
      </c>
      <c r="U309" s="1475">
        <f>P309*$H307</f>
        <v>0</v>
      </c>
      <c r="V309" s="1476">
        <f t="shared" si="145"/>
        <v>0</v>
      </c>
    </row>
    <row r="310" spans="1:22" s="39" customFormat="1" ht="24" customHeight="1">
      <c r="A310" s="1860">
        <v>1</v>
      </c>
      <c r="B310" s="1860"/>
      <c r="C310" s="1860"/>
      <c r="D310" s="1860"/>
      <c r="E310" s="1839"/>
      <c r="F310" s="1841"/>
      <c r="G310" s="1643"/>
      <c r="H310" s="1668"/>
      <c r="I310" s="1558"/>
      <c r="J310" s="40" t="s">
        <v>83</v>
      </c>
      <c r="K310" s="42"/>
      <c r="L310" s="364">
        <v>0</v>
      </c>
      <c r="M310" s="364">
        <v>0</v>
      </c>
      <c r="N310" s="364">
        <v>0</v>
      </c>
      <c r="O310" s="364">
        <v>0</v>
      </c>
      <c r="P310" s="364">
        <v>0</v>
      </c>
      <c r="Q310" s="1475">
        <f>L310*$H307</f>
        <v>0</v>
      </c>
      <c r="R310" s="1475">
        <f>M310*$H307</f>
        <v>0</v>
      </c>
      <c r="S310" s="1475">
        <f>N310*$H307</f>
        <v>0</v>
      </c>
      <c r="T310" s="1475">
        <f>O310*$H307</f>
        <v>0</v>
      </c>
      <c r="U310" s="1475">
        <f>P310*$H307</f>
        <v>0</v>
      </c>
      <c r="V310" s="1476">
        <f t="shared" si="145"/>
        <v>0</v>
      </c>
    </row>
    <row r="311" spans="1:22" s="39" customFormat="1" ht="24" customHeight="1" thickBot="1">
      <c r="A311" s="1860">
        <v>1</v>
      </c>
      <c r="B311" s="1860"/>
      <c r="C311" s="1860"/>
      <c r="D311" s="1860"/>
      <c r="E311" s="1839"/>
      <c r="F311" s="1841"/>
      <c r="G311" s="1644"/>
      <c r="H311" s="1669"/>
      <c r="I311" s="1559"/>
      <c r="J311" s="40" t="s">
        <v>84</v>
      </c>
      <c r="K311" s="42"/>
      <c r="L311" s="364">
        <f>L302-L303</f>
        <v>0</v>
      </c>
      <c r="M311" s="364">
        <f t="shared" ref="M311:U311" si="147">M302-M303</f>
        <v>0</v>
      </c>
      <c r="N311" s="364">
        <f t="shared" si="147"/>
        <v>0</v>
      </c>
      <c r="O311" s="364">
        <f t="shared" si="147"/>
        <v>0</v>
      </c>
      <c r="P311" s="364">
        <f t="shared" si="147"/>
        <v>0</v>
      </c>
      <c r="Q311" s="1475">
        <f t="shared" si="147"/>
        <v>0</v>
      </c>
      <c r="R311" s="1475">
        <f t="shared" si="147"/>
        <v>0</v>
      </c>
      <c r="S311" s="1475">
        <f t="shared" si="147"/>
        <v>0</v>
      </c>
      <c r="T311" s="1475">
        <f t="shared" si="147"/>
        <v>0</v>
      </c>
      <c r="U311" s="1475">
        <f t="shared" si="147"/>
        <v>0</v>
      </c>
      <c r="V311" s="1476">
        <f t="shared" si="145"/>
        <v>0</v>
      </c>
    </row>
    <row r="312" spans="1:22" s="56" customFormat="1" ht="24" customHeight="1">
      <c r="A312" s="74">
        <v>1</v>
      </c>
      <c r="B312" s="74">
        <v>2</v>
      </c>
      <c r="C312" s="74">
        <v>3</v>
      </c>
      <c r="D312" s="74"/>
      <c r="E312" s="74" t="s">
        <v>13</v>
      </c>
      <c r="F312" s="856" t="str">
        <f>CONCATENATE(A312,".",B312,".",C312,)</f>
        <v>1.2.3</v>
      </c>
      <c r="G312" s="1709" t="s">
        <v>55</v>
      </c>
      <c r="H312" s="1609"/>
      <c r="I312" s="1609"/>
      <c r="J312" s="1610"/>
      <c r="K312" s="885"/>
      <c r="L312" s="378"/>
      <c r="M312" s="378"/>
      <c r="N312" s="378"/>
      <c r="O312" s="385"/>
      <c r="P312" s="378"/>
      <c r="Q312" s="1497">
        <f>Q314</f>
        <v>592200</v>
      </c>
      <c r="R312" s="1497">
        <f t="shared" ref="R312:U312" si="148">R314</f>
        <v>592200</v>
      </c>
      <c r="S312" s="1497">
        <f t="shared" si="148"/>
        <v>592200</v>
      </c>
      <c r="T312" s="1497">
        <f t="shared" si="148"/>
        <v>0</v>
      </c>
      <c r="U312" s="1497">
        <f t="shared" si="148"/>
        <v>0</v>
      </c>
      <c r="V312" s="1497">
        <f t="shared" ref="V312" si="149">SUM(Q312:U312)</f>
        <v>1776600</v>
      </c>
    </row>
    <row r="313" spans="1:22" s="56" customFormat="1" ht="24" customHeight="1">
      <c r="A313" s="1860">
        <v>1</v>
      </c>
      <c r="B313" s="1860">
        <v>2</v>
      </c>
      <c r="C313" s="1860">
        <v>3</v>
      </c>
      <c r="D313" s="1954">
        <v>1</v>
      </c>
      <c r="E313" s="1839" t="s">
        <v>13</v>
      </c>
      <c r="F313" s="1841" t="str">
        <f>CONCATENATE(A313,".",B313,".",C313,".",D313,)</f>
        <v>1.2.3.1</v>
      </c>
      <c r="G313" s="1642" t="s">
        <v>55</v>
      </c>
      <c r="H313" s="1923" t="s">
        <v>86</v>
      </c>
      <c r="I313" s="1655" t="s">
        <v>1133</v>
      </c>
      <c r="J313" s="36" t="s">
        <v>79</v>
      </c>
      <c r="K313" s="972">
        <v>3</v>
      </c>
      <c r="L313" s="886">
        <v>3</v>
      </c>
      <c r="M313" s="886">
        <v>3</v>
      </c>
      <c r="N313" s="886">
        <v>3</v>
      </c>
      <c r="O313" s="886">
        <v>3</v>
      </c>
      <c r="P313" s="886">
        <v>3</v>
      </c>
      <c r="Q313" s="1475">
        <f>L313*H318</f>
        <v>592200</v>
      </c>
      <c r="R313" s="1475">
        <f>M313*H318</f>
        <v>592200</v>
      </c>
      <c r="S313" s="1475">
        <f>N313*H318</f>
        <v>592200</v>
      </c>
      <c r="T313" s="1475">
        <f>O313*H318</f>
        <v>592200</v>
      </c>
      <c r="U313" s="1475">
        <f>P313*H318</f>
        <v>592200</v>
      </c>
      <c r="V313" s="1476">
        <f t="shared" si="145"/>
        <v>2961000</v>
      </c>
    </row>
    <row r="314" spans="1:22" s="39" customFormat="1" ht="24" customHeight="1">
      <c r="A314" s="1860"/>
      <c r="B314" s="1860"/>
      <c r="C314" s="1860"/>
      <c r="D314" s="1954"/>
      <c r="E314" s="1839"/>
      <c r="F314" s="1841"/>
      <c r="G314" s="1643"/>
      <c r="H314" s="1923"/>
      <c r="I314" s="1656"/>
      <c r="J314" s="40" t="s">
        <v>80</v>
      </c>
      <c r="K314" s="42"/>
      <c r="L314" s="364">
        <f t="shared" ref="L314:P314" si="150">SUM(L315:L321)</f>
        <v>3</v>
      </c>
      <c r="M314" s="364">
        <f t="shared" si="150"/>
        <v>3</v>
      </c>
      <c r="N314" s="364">
        <f t="shared" si="150"/>
        <v>3</v>
      </c>
      <c r="O314" s="364">
        <f t="shared" si="150"/>
        <v>0</v>
      </c>
      <c r="P314" s="364">
        <f t="shared" si="150"/>
        <v>0</v>
      </c>
      <c r="Q314" s="1475">
        <f t="shared" ref="Q314:U314" si="151">SUM(Q315:Q321)</f>
        <v>592200</v>
      </c>
      <c r="R314" s="1475">
        <f t="shared" si="151"/>
        <v>592200</v>
      </c>
      <c r="S314" s="1475">
        <f t="shared" si="151"/>
        <v>592200</v>
      </c>
      <c r="T314" s="1475">
        <f t="shared" si="151"/>
        <v>0</v>
      </c>
      <c r="U314" s="1475">
        <f t="shared" si="151"/>
        <v>0</v>
      </c>
      <c r="V314" s="1476">
        <f t="shared" si="145"/>
        <v>1776600</v>
      </c>
    </row>
    <row r="315" spans="1:22" s="39" customFormat="1" ht="24" customHeight="1">
      <c r="A315" s="1860"/>
      <c r="B315" s="1860"/>
      <c r="C315" s="1860"/>
      <c r="D315" s="1954"/>
      <c r="E315" s="1839"/>
      <c r="F315" s="1841"/>
      <c r="G315" s="1643"/>
      <c r="H315" s="1923"/>
      <c r="I315" s="1656"/>
      <c r="J315" s="40" t="s">
        <v>429</v>
      </c>
      <c r="K315" s="42"/>
      <c r="L315" s="364">
        <v>0</v>
      </c>
      <c r="M315" s="364">
        <v>0</v>
      </c>
      <c r="N315" s="364">
        <v>0</v>
      </c>
      <c r="O315" s="364">
        <v>0</v>
      </c>
      <c r="P315" s="364">
        <v>0</v>
      </c>
      <c r="Q315" s="1475">
        <f>L315*$H318</f>
        <v>0</v>
      </c>
      <c r="R315" s="1475">
        <f>M315*$H318</f>
        <v>0</v>
      </c>
      <c r="S315" s="1475">
        <f>N315*$H318</f>
        <v>0</v>
      </c>
      <c r="T315" s="1475">
        <f>O315*$H318</f>
        <v>0</v>
      </c>
      <c r="U315" s="1475">
        <f>P315*$H318</f>
        <v>0</v>
      </c>
      <c r="V315" s="1476">
        <f t="shared" si="145"/>
        <v>0</v>
      </c>
    </row>
    <row r="316" spans="1:22" s="39" customFormat="1" ht="24" customHeight="1">
      <c r="A316" s="1860"/>
      <c r="B316" s="1860"/>
      <c r="C316" s="1860"/>
      <c r="D316" s="1954"/>
      <c r="E316" s="1839"/>
      <c r="F316" s="1841"/>
      <c r="G316" s="1643"/>
      <c r="H316" s="1923"/>
      <c r="I316" s="1656"/>
      <c r="J316" s="40" t="s">
        <v>133</v>
      </c>
      <c r="K316" s="42"/>
      <c r="L316" s="364">
        <v>0</v>
      </c>
      <c r="M316" s="364">
        <v>0</v>
      </c>
      <c r="N316" s="364">
        <v>0</v>
      </c>
      <c r="O316" s="364">
        <v>0</v>
      </c>
      <c r="P316" s="364">
        <v>0</v>
      </c>
      <c r="Q316" s="1475">
        <f>L316*$H318</f>
        <v>0</v>
      </c>
      <c r="R316" s="1475">
        <f>M316*$H318</f>
        <v>0</v>
      </c>
      <c r="S316" s="1475">
        <f>N316*$H318</f>
        <v>0</v>
      </c>
      <c r="T316" s="1475">
        <f>O316*$H318</f>
        <v>0</v>
      </c>
      <c r="U316" s="1475">
        <f>P316*$H318</f>
        <v>0</v>
      </c>
      <c r="V316" s="1476">
        <f t="shared" si="145"/>
        <v>0</v>
      </c>
    </row>
    <row r="317" spans="1:22" s="39" customFormat="1" ht="24" customHeight="1">
      <c r="A317" s="1860"/>
      <c r="B317" s="1860"/>
      <c r="C317" s="1860"/>
      <c r="D317" s="1954"/>
      <c r="E317" s="1839"/>
      <c r="F317" s="1841"/>
      <c r="G317" s="1643"/>
      <c r="H317" s="1923"/>
      <c r="I317" s="1656"/>
      <c r="J317" s="40" t="s">
        <v>81</v>
      </c>
      <c r="K317" s="42"/>
      <c r="L317" s="364">
        <v>0</v>
      </c>
      <c r="M317" s="364">
        <v>0</v>
      </c>
      <c r="N317" s="364">
        <v>0</v>
      </c>
      <c r="O317" s="364">
        <v>0</v>
      </c>
      <c r="P317" s="364">
        <v>0</v>
      </c>
      <c r="Q317" s="1475">
        <f>L317*$H318</f>
        <v>0</v>
      </c>
      <c r="R317" s="1475">
        <f>M317*$H318</f>
        <v>0</v>
      </c>
      <c r="S317" s="1475">
        <f>N317*$H318</f>
        <v>0</v>
      </c>
      <c r="T317" s="1475">
        <f>O317*$H318</f>
        <v>0</v>
      </c>
      <c r="U317" s="1475">
        <f>P317*$H318</f>
        <v>0</v>
      </c>
      <c r="V317" s="1476">
        <f t="shared" si="145"/>
        <v>0</v>
      </c>
    </row>
    <row r="318" spans="1:22" s="39" customFormat="1" ht="24" customHeight="1">
      <c r="A318" s="1860"/>
      <c r="B318" s="1860"/>
      <c r="C318" s="1860"/>
      <c r="D318" s="1954"/>
      <c r="E318" s="1839"/>
      <c r="F318" s="1841"/>
      <c r="G318" s="1643"/>
      <c r="H318" s="1730">
        <f>'Budget assumption'!$G$142</f>
        <v>197400</v>
      </c>
      <c r="I318" s="1656"/>
      <c r="J318" s="40" t="s">
        <v>134</v>
      </c>
      <c r="K318" s="42"/>
      <c r="L318" s="364">
        <v>0</v>
      </c>
      <c r="M318" s="364">
        <v>0</v>
      </c>
      <c r="N318" s="364">
        <v>0</v>
      </c>
      <c r="O318" s="364">
        <v>0</v>
      </c>
      <c r="P318" s="364">
        <v>0</v>
      </c>
      <c r="Q318" s="1475">
        <f>L318*$H318</f>
        <v>0</v>
      </c>
      <c r="R318" s="1475">
        <f>M318*$H318</f>
        <v>0</v>
      </c>
      <c r="S318" s="1475">
        <f>N318*$H318</f>
        <v>0</v>
      </c>
      <c r="T318" s="1475">
        <f>O318*$H318</f>
        <v>0</v>
      </c>
      <c r="U318" s="1475">
        <f>P318*$H318</f>
        <v>0</v>
      </c>
      <c r="V318" s="1476">
        <f t="shared" si="145"/>
        <v>0</v>
      </c>
    </row>
    <row r="319" spans="1:22" s="39" customFormat="1" ht="24" customHeight="1">
      <c r="A319" s="1860"/>
      <c r="B319" s="1860"/>
      <c r="C319" s="1860"/>
      <c r="D319" s="1954"/>
      <c r="E319" s="1839"/>
      <c r="F319" s="1841"/>
      <c r="G319" s="1643"/>
      <c r="H319" s="1731"/>
      <c r="I319" s="1656"/>
      <c r="J319" s="40" t="s">
        <v>82</v>
      </c>
      <c r="K319" s="42"/>
      <c r="L319" s="364">
        <v>2</v>
      </c>
      <c r="M319" s="364">
        <v>2</v>
      </c>
      <c r="N319" s="364">
        <v>2</v>
      </c>
      <c r="O319" s="364">
        <v>0</v>
      </c>
      <c r="P319" s="364">
        <v>0</v>
      </c>
      <c r="Q319" s="1475">
        <f>L319*$H318</f>
        <v>394800</v>
      </c>
      <c r="R319" s="1475">
        <f>M319*$H318</f>
        <v>394800</v>
      </c>
      <c r="S319" s="1475">
        <f>N319*$H318</f>
        <v>394800</v>
      </c>
      <c r="T319" s="1475">
        <f>O319*$H318</f>
        <v>0</v>
      </c>
      <c r="U319" s="1475">
        <f>P319*$H318</f>
        <v>0</v>
      </c>
      <c r="V319" s="1476">
        <f t="shared" si="145"/>
        <v>1184400</v>
      </c>
    </row>
    <row r="320" spans="1:22" s="39" customFormat="1" ht="24" customHeight="1">
      <c r="A320" s="1860"/>
      <c r="B320" s="1860"/>
      <c r="C320" s="1860"/>
      <c r="D320" s="1954"/>
      <c r="E320" s="1839"/>
      <c r="F320" s="1841"/>
      <c r="G320" s="1643"/>
      <c r="H320" s="1731"/>
      <c r="I320" s="1656"/>
      <c r="J320" s="40" t="s">
        <v>90</v>
      </c>
      <c r="K320" s="42"/>
      <c r="L320" s="364">
        <v>1</v>
      </c>
      <c r="M320" s="364">
        <v>1</v>
      </c>
      <c r="N320" s="364">
        <v>1</v>
      </c>
      <c r="O320" s="364">
        <v>0</v>
      </c>
      <c r="P320" s="364">
        <v>0</v>
      </c>
      <c r="Q320" s="1475">
        <f>L320*$H318</f>
        <v>197400</v>
      </c>
      <c r="R320" s="1475">
        <f>M320*$H318</f>
        <v>197400</v>
      </c>
      <c r="S320" s="1475">
        <f>N320*$H318</f>
        <v>197400</v>
      </c>
      <c r="T320" s="1475">
        <f>O320*$H318</f>
        <v>0</v>
      </c>
      <c r="U320" s="1475">
        <f>P320*$H318</f>
        <v>0</v>
      </c>
      <c r="V320" s="1476">
        <f t="shared" si="145"/>
        <v>592200</v>
      </c>
    </row>
    <row r="321" spans="1:22" s="39" customFormat="1" ht="24" customHeight="1">
      <c r="A321" s="1860"/>
      <c r="B321" s="1860"/>
      <c r="C321" s="1860"/>
      <c r="D321" s="1954"/>
      <c r="E321" s="1839"/>
      <c r="F321" s="1841"/>
      <c r="G321" s="1643"/>
      <c r="H321" s="1731"/>
      <c r="I321" s="1656"/>
      <c r="J321" s="40" t="s">
        <v>83</v>
      </c>
      <c r="K321" s="42"/>
      <c r="L321" s="364">
        <v>0</v>
      </c>
      <c r="M321" s="364">
        <v>0</v>
      </c>
      <c r="N321" s="364">
        <v>0</v>
      </c>
      <c r="O321" s="364">
        <v>0</v>
      </c>
      <c r="P321" s="364">
        <v>0</v>
      </c>
      <c r="Q321" s="1475">
        <f>L321*$H318</f>
        <v>0</v>
      </c>
      <c r="R321" s="1475">
        <f>M321*$H318</f>
        <v>0</v>
      </c>
      <c r="S321" s="1475">
        <f>N321*$H318</f>
        <v>0</v>
      </c>
      <c r="T321" s="1475">
        <f>O321*$H318</f>
        <v>0</v>
      </c>
      <c r="U321" s="1475">
        <f>P321*$H318</f>
        <v>0</v>
      </c>
      <c r="V321" s="1476">
        <f t="shared" si="145"/>
        <v>0</v>
      </c>
    </row>
    <row r="322" spans="1:22" s="39" customFormat="1" ht="24" customHeight="1">
      <c r="A322" s="1860"/>
      <c r="B322" s="1860"/>
      <c r="C322" s="1860"/>
      <c r="D322" s="1954"/>
      <c r="E322" s="1839"/>
      <c r="F322" s="1841"/>
      <c r="G322" s="1644"/>
      <c r="H322" s="1732"/>
      <c r="I322" s="1726"/>
      <c r="J322" s="40" t="s">
        <v>84</v>
      </c>
      <c r="K322" s="42"/>
      <c r="L322" s="364">
        <f t="shared" ref="L322:P322" si="152">L313-L314</f>
        <v>0</v>
      </c>
      <c r="M322" s="364">
        <f t="shared" si="152"/>
        <v>0</v>
      </c>
      <c r="N322" s="364">
        <f t="shared" si="152"/>
        <v>0</v>
      </c>
      <c r="O322" s="364">
        <f t="shared" si="152"/>
        <v>3</v>
      </c>
      <c r="P322" s="364">
        <f t="shared" si="152"/>
        <v>3</v>
      </c>
      <c r="Q322" s="1475">
        <f t="shared" ref="Q322:U322" si="153">Q313-Q314</f>
        <v>0</v>
      </c>
      <c r="R322" s="1475">
        <f t="shared" si="153"/>
        <v>0</v>
      </c>
      <c r="S322" s="1475">
        <f t="shared" si="153"/>
        <v>0</v>
      </c>
      <c r="T322" s="1475">
        <f t="shared" si="153"/>
        <v>592200</v>
      </c>
      <c r="U322" s="1475">
        <f t="shared" si="153"/>
        <v>592200</v>
      </c>
      <c r="V322" s="1476">
        <f t="shared" si="145"/>
        <v>1184400</v>
      </c>
    </row>
    <row r="323" spans="1:22" s="56" customFormat="1" ht="24" customHeight="1">
      <c r="A323" s="74">
        <v>1</v>
      </c>
      <c r="B323" s="74">
        <v>2</v>
      </c>
      <c r="C323" s="74">
        <v>4</v>
      </c>
      <c r="D323" s="74"/>
      <c r="E323" s="74" t="s">
        <v>13</v>
      </c>
      <c r="F323" s="856" t="str">
        <f>CONCATENATE(A323,".",B323,".",C323,)</f>
        <v>1.2.4</v>
      </c>
      <c r="G323" s="1710" t="s">
        <v>1042</v>
      </c>
      <c r="H323" s="1631"/>
      <c r="I323" s="1631"/>
      <c r="J323" s="1632"/>
      <c r="K323" s="885"/>
      <c r="L323" s="378"/>
      <c r="M323" s="378"/>
      <c r="N323" s="378"/>
      <c r="O323" s="385"/>
      <c r="P323" s="378"/>
      <c r="Q323" s="1497">
        <f>Q325</f>
        <v>1234234.8999999999</v>
      </c>
      <c r="R323" s="1497">
        <f t="shared" ref="R323:U323" si="154">R325</f>
        <v>1380124.5999999999</v>
      </c>
      <c r="S323" s="1497">
        <f t="shared" si="154"/>
        <v>1526014.2999999998</v>
      </c>
      <c r="T323" s="1497">
        <f t="shared" si="154"/>
        <v>1267391.6499999999</v>
      </c>
      <c r="U323" s="1497">
        <f t="shared" si="154"/>
        <v>1476419.8399999999</v>
      </c>
      <c r="V323" s="1497">
        <f t="shared" si="145"/>
        <v>6884185.2899999991</v>
      </c>
    </row>
    <row r="324" spans="1:22" s="56" customFormat="1" ht="24" customHeight="1">
      <c r="A324" s="1860">
        <v>1</v>
      </c>
      <c r="B324" s="1860">
        <v>2</v>
      </c>
      <c r="C324" s="1860">
        <v>4</v>
      </c>
      <c r="D324" s="1860">
        <v>1</v>
      </c>
      <c r="E324" s="1839" t="s">
        <v>49</v>
      </c>
      <c r="F324" s="1841" t="str">
        <f>CONCATENATE(A324,".",B324,".",C324,".",D324,)</f>
        <v>1.2.4.1</v>
      </c>
      <c r="G324" s="1915" t="s">
        <v>477</v>
      </c>
      <c r="H324" s="1822" t="s">
        <v>86</v>
      </c>
      <c r="I324" s="1916" t="s">
        <v>191</v>
      </c>
      <c r="J324" s="36" t="s">
        <v>79</v>
      </c>
      <c r="K324" s="887"/>
      <c r="L324" s="888">
        <f>ROUND((L158+L46+L5)*0.1,0)</f>
        <v>3071</v>
      </c>
      <c r="M324" s="888">
        <f>ROUND((M158+M46+M5)*0.1,0)</f>
        <v>3434</v>
      </c>
      <c r="N324" s="888">
        <f>ROUND((N158+N46+N5)*0.1,0)</f>
        <v>3797</v>
      </c>
      <c r="O324" s="888">
        <f>ROUND((O158+O46+O5)*0.1,0)</f>
        <v>4505</v>
      </c>
      <c r="P324" s="888">
        <f>ROUND((P158+P46+P5)*0.1,0)</f>
        <v>5248</v>
      </c>
      <c r="Q324" s="1475">
        <f>L324*H329</f>
        <v>1234234.8999999999</v>
      </c>
      <c r="R324" s="1475">
        <f>M324*H329</f>
        <v>1380124.5999999999</v>
      </c>
      <c r="S324" s="1475">
        <f>N324*H329</f>
        <v>1526014.2999999998</v>
      </c>
      <c r="T324" s="1475">
        <f>O324*H329</f>
        <v>1810559.5</v>
      </c>
      <c r="U324" s="1475">
        <f>P324*H329</f>
        <v>2109171.1999999997</v>
      </c>
      <c r="V324" s="1476">
        <f t="shared" si="145"/>
        <v>8060104.5</v>
      </c>
    </row>
    <row r="325" spans="1:22" s="39" customFormat="1" ht="24" customHeight="1">
      <c r="A325" s="1860">
        <v>1</v>
      </c>
      <c r="B325" s="1860"/>
      <c r="C325" s="1860"/>
      <c r="D325" s="1860"/>
      <c r="E325" s="1839"/>
      <c r="F325" s="1841"/>
      <c r="G325" s="1915"/>
      <c r="H325" s="1822"/>
      <c r="I325" s="1662"/>
      <c r="J325" s="40" t="s">
        <v>80</v>
      </c>
      <c r="K325" s="42"/>
      <c r="L325" s="364">
        <f t="shared" ref="L325:P325" si="155">SUM(L326:L332)</f>
        <v>3071</v>
      </c>
      <c r="M325" s="364">
        <f t="shared" si="155"/>
        <v>3434</v>
      </c>
      <c r="N325" s="364">
        <f t="shared" si="155"/>
        <v>3796.9999999999995</v>
      </c>
      <c r="O325" s="364">
        <f t="shared" si="155"/>
        <v>3153.5</v>
      </c>
      <c r="P325" s="364">
        <f t="shared" si="155"/>
        <v>3673.6</v>
      </c>
      <c r="Q325" s="1475">
        <f>SUM(Q326:Q332)</f>
        <v>1234234.8999999999</v>
      </c>
      <c r="R325" s="1475">
        <f t="shared" ref="R325:U325" si="156">SUM(R326:R332)</f>
        <v>1380124.5999999999</v>
      </c>
      <c r="S325" s="1475">
        <f t="shared" si="156"/>
        <v>1526014.2999999998</v>
      </c>
      <c r="T325" s="1475">
        <f t="shared" si="156"/>
        <v>1267391.6499999999</v>
      </c>
      <c r="U325" s="1475">
        <f t="shared" si="156"/>
        <v>1476419.8399999999</v>
      </c>
      <c r="V325" s="1476">
        <f t="shared" si="145"/>
        <v>6884185.2899999991</v>
      </c>
    </row>
    <row r="326" spans="1:22" s="39" customFormat="1" ht="24" customHeight="1">
      <c r="A326" s="1860">
        <v>1</v>
      </c>
      <c r="B326" s="1860"/>
      <c r="C326" s="1860"/>
      <c r="D326" s="1860"/>
      <c r="E326" s="1839"/>
      <c r="F326" s="1841"/>
      <c r="G326" s="1915"/>
      <c r="H326" s="1822"/>
      <c r="I326" s="1662"/>
      <c r="J326" s="40" t="s">
        <v>429</v>
      </c>
      <c r="K326" s="42"/>
      <c r="L326" s="364">
        <v>0</v>
      </c>
      <c r="M326" s="364">
        <v>0</v>
      </c>
      <c r="N326" s="364">
        <v>0</v>
      </c>
      <c r="O326" s="364">
        <v>0</v>
      </c>
      <c r="P326" s="364">
        <v>0</v>
      </c>
      <c r="Q326" s="1475">
        <f>L326*$H329</f>
        <v>0</v>
      </c>
      <c r="R326" s="1475">
        <f>M326*$H329</f>
        <v>0</v>
      </c>
      <c r="S326" s="1475">
        <f>N326*$H329</f>
        <v>0</v>
      </c>
      <c r="T326" s="1475">
        <f>O326*$H329</f>
        <v>0</v>
      </c>
      <c r="U326" s="1475">
        <f>P326*$H329</f>
        <v>0</v>
      </c>
      <c r="V326" s="1476">
        <f t="shared" si="145"/>
        <v>0</v>
      </c>
    </row>
    <row r="327" spans="1:22" s="39" customFormat="1" ht="24" customHeight="1">
      <c r="A327" s="1860">
        <v>1</v>
      </c>
      <c r="B327" s="1860"/>
      <c r="C327" s="1860"/>
      <c r="D327" s="1860"/>
      <c r="E327" s="1839"/>
      <c r="F327" s="1841"/>
      <c r="G327" s="1915"/>
      <c r="H327" s="1822"/>
      <c r="I327" s="1662"/>
      <c r="J327" s="40" t="s">
        <v>133</v>
      </c>
      <c r="K327" s="42"/>
      <c r="L327" s="364">
        <v>0</v>
      </c>
      <c r="M327" s="364">
        <v>0</v>
      </c>
      <c r="N327" s="364">
        <v>0</v>
      </c>
      <c r="O327" s="364">
        <v>0</v>
      </c>
      <c r="P327" s="364">
        <v>0</v>
      </c>
      <c r="Q327" s="1475">
        <f>L327*$H329</f>
        <v>0</v>
      </c>
      <c r="R327" s="1475">
        <f>M327*$H329</f>
        <v>0</v>
      </c>
      <c r="S327" s="1475">
        <f>N327*$H329</f>
        <v>0</v>
      </c>
      <c r="T327" s="1475">
        <f>O327*$H329</f>
        <v>0</v>
      </c>
      <c r="U327" s="1475">
        <f>P327*$H329</f>
        <v>0</v>
      </c>
      <c r="V327" s="1476">
        <f t="shared" si="145"/>
        <v>0</v>
      </c>
    </row>
    <row r="328" spans="1:22" s="39" customFormat="1" ht="24" customHeight="1">
      <c r="A328" s="1860">
        <v>1</v>
      </c>
      <c r="B328" s="1860"/>
      <c r="C328" s="1860"/>
      <c r="D328" s="1860"/>
      <c r="E328" s="1839"/>
      <c r="F328" s="1841"/>
      <c r="G328" s="1915"/>
      <c r="H328" s="1822"/>
      <c r="I328" s="1662"/>
      <c r="J328" s="40" t="s">
        <v>81</v>
      </c>
      <c r="K328" s="42"/>
      <c r="L328" s="364">
        <v>0</v>
      </c>
      <c r="M328" s="364">
        <v>0</v>
      </c>
      <c r="N328" s="364">
        <v>0</v>
      </c>
      <c r="O328" s="364">
        <v>0</v>
      </c>
      <c r="P328" s="364">
        <v>0</v>
      </c>
      <c r="Q328" s="1475">
        <f>L328*$H329</f>
        <v>0</v>
      </c>
      <c r="R328" s="1475">
        <f>M328*$H329</f>
        <v>0</v>
      </c>
      <c r="S328" s="1475">
        <f>N328*$H329</f>
        <v>0</v>
      </c>
      <c r="T328" s="1475">
        <f>O328*$H329</f>
        <v>0</v>
      </c>
      <c r="U328" s="1475">
        <f>P328*$H329</f>
        <v>0</v>
      </c>
      <c r="V328" s="1476">
        <f t="shared" si="145"/>
        <v>0</v>
      </c>
    </row>
    <row r="329" spans="1:22" s="39" customFormat="1" ht="24" customHeight="1">
      <c r="A329" s="1860">
        <v>1</v>
      </c>
      <c r="B329" s="1860"/>
      <c r="C329" s="1860"/>
      <c r="D329" s="1860"/>
      <c r="E329" s="1839"/>
      <c r="F329" s="1841"/>
      <c r="G329" s="1915"/>
      <c r="H329" s="1756">
        <f>'Budget assumption'!$F$206</f>
        <v>401.9</v>
      </c>
      <c r="I329" s="1662"/>
      <c r="J329" s="40" t="s">
        <v>134</v>
      </c>
      <c r="K329" s="42"/>
      <c r="L329" s="364">
        <v>0</v>
      </c>
      <c r="M329" s="364">
        <v>0</v>
      </c>
      <c r="N329" s="364">
        <v>0</v>
      </c>
      <c r="O329" s="364">
        <f>O324*0.7</f>
        <v>3153.5</v>
      </c>
      <c r="P329" s="364">
        <f>P324*0.7</f>
        <v>3673.6</v>
      </c>
      <c r="Q329" s="1475">
        <f>L329*$H329</f>
        <v>0</v>
      </c>
      <c r="R329" s="1475">
        <f>M329*$H329</f>
        <v>0</v>
      </c>
      <c r="S329" s="1475">
        <f>N329*$H329</f>
        <v>0</v>
      </c>
      <c r="T329" s="1475">
        <f>O329*$H329</f>
        <v>1267391.6499999999</v>
      </c>
      <c r="U329" s="1475">
        <f>P329*$H329</f>
        <v>1476419.8399999999</v>
      </c>
      <c r="V329" s="1476">
        <f t="shared" si="145"/>
        <v>2743811.4899999998</v>
      </c>
    </row>
    <row r="330" spans="1:22" s="39" customFormat="1" ht="24" customHeight="1">
      <c r="A330" s="1860">
        <v>1</v>
      </c>
      <c r="B330" s="1860"/>
      <c r="C330" s="1860"/>
      <c r="D330" s="1860"/>
      <c r="E330" s="1839"/>
      <c r="F330" s="1841"/>
      <c r="G330" s="1915"/>
      <c r="H330" s="1757">
        <f>810*0.05</f>
        <v>40.5</v>
      </c>
      <c r="I330" s="1662"/>
      <c r="J330" s="40" t="s">
        <v>82</v>
      </c>
      <c r="K330" s="42"/>
      <c r="L330" s="364">
        <f>L324*0.7</f>
        <v>2149.6999999999998</v>
      </c>
      <c r="M330" s="364">
        <f t="shared" ref="M330:N330" si="157">M324*0.7</f>
        <v>2403.7999999999997</v>
      </c>
      <c r="N330" s="364">
        <f t="shared" si="157"/>
        <v>2657.8999999999996</v>
      </c>
      <c r="O330" s="364">
        <v>0</v>
      </c>
      <c r="P330" s="364">
        <v>0</v>
      </c>
      <c r="Q330" s="1475">
        <f>L330*$H329</f>
        <v>863964.42999999993</v>
      </c>
      <c r="R330" s="1475">
        <f>M330*$H329</f>
        <v>966087.21999999986</v>
      </c>
      <c r="S330" s="1475">
        <f>N330*$H329</f>
        <v>1068210.0099999998</v>
      </c>
      <c r="T330" s="1475">
        <f>O330*$H329</f>
        <v>0</v>
      </c>
      <c r="U330" s="1475">
        <f>P330*$H329</f>
        <v>0</v>
      </c>
      <c r="V330" s="1476">
        <f t="shared" si="145"/>
        <v>2898261.6599999997</v>
      </c>
    </row>
    <row r="331" spans="1:22" s="39" customFormat="1" ht="24" customHeight="1">
      <c r="A331" s="1860">
        <v>1</v>
      </c>
      <c r="B331" s="1860"/>
      <c r="C331" s="1860"/>
      <c r="D331" s="1860"/>
      <c r="E331" s="1839"/>
      <c r="F331" s="1841"/>
      <c r="G331" s="1915"/>
      <c r="H331" s="1757"/>
      <c r="I331" s="1662"/>
      <c r="J331" s="40" t="s">
        <v>90</v>
      </c>
      <c r="K331" s="42"/>
      <c r="L331" s="364">
        <f>L324*0.3</f>
        <v>921.3</v>
      </c>
      <c r="M331" s="364">
        <f t="shared" ref="M331:N331" si="158">M324*0.3</f>
        <v>1030.2</v>
      </c>
      <c r="N331" s="364">
        <f t="shared" si="158"/>
        <v>1139.0999999999999</v>
      </c>
      <c r="O331" s="364">
        <v>0</v>
      </c>
      <c r="P331" s="364">
        <v>0</v>
      </c>
      <c r="Q331" s="1475">
        <f>L331*$H329</f>
        <v>370270.47</v>
      </c>
      <c r="R331" s="1475">
        <f>M331*$H329</f>
        <v>414037.38</v>
      </c>
      <c r="S331" s="1475">
        <f>N331*$H329</f>
        <v>457804.28999999992</v>
      </c>
      <c r="T331" s="1475">
        <f>O331*$H329</f>
        <v>0</v>
      </c>
      <c r="U331" s="1475">
        <f>P331*$H329</f>
        <v>0</v>
      </c>
      <c r="V331" s="1476">
        <f t="shared" si="145"/>
        <v>1242112.1399999999</v>
      </c>
    </row>
    <row r="332" spans="1:22" s="39" customFormat="1" ht="24" customHeight="1">
      <c r="A332" s="1860">
        <v>1</v>
      </c>
      <c r="B332" s="1860"/>
      <c r="C332" s="1860"/>
      <c r="D332" s="1860"/>
      <c r="E332" s="1839"/>
      <c r="F332" s="1841"/>
      <c r="G332" s="1915"/>
      <c r="H332" s="1757"/>
      <c r="I332" s="1662"/>
      <c r="J332" s="40" t="s">
        <v>83</v>
      </c>
      <c r="K332" s="42"/>
      <c r="L332" s="364">
        <v>0</v>
      </c>
      <c r="M332" s="364">
        <v>0</v>
      </c>
      <c r="N332" s="364">
        <v>0</v>
      </c>
      <c r="O332" s="364">
        <v>0</v>
      </c>
      <c r="P332" s="364">
        <v>0</v>
      </c>
      <c r="Q332" s="1475">
        <f>L332*$H329</f>
        <v>0</v>
      </c>
      <c r="R332" s="1475">
        <f>M332*$H329</f>
        <v>0</v>
      </c>
      <c r="S332" s="1475">
        <f>N332*$H329</f>
        <v>0</v>
      </c>
      <c r="T332" s="1475">
        <f>O332*$H329</f>
        <v>0</v>
      </c>
      <c r="U332" s="1475">
        <f>P332*$H329</f>
        <v>0</v>
      </c>
      <c r="V332" s="1476">
        <f t="shared" si="145"/>
        <v>0</v>
      </c>
    </row>
    <row r="333" spans="1:22" s="39" customFormat="1" ht="24" customHeight="1">
      <c r="A333" s="1860">
        <v>1</v>
      </c>
      <c r="B333" s="1860"/>
      <c r="C333" s="1860"/>
      <c r="D333" s="1860"/>
      <c r="E333" s="1839"/>
      <c r="F333" s="1841"/>
      <c r="G333" s="1915"/>
      <c r="H333" s="1758"/>
      <c r="I333" s="1917"/>
      <c r="J333" s="40" t="s">
        <v>84</v>
      </c>
      <c r="K333" s="42"/>
      <c r="L333" s="820">
        <f t="shared" ref="L333:P333" si="159">L324-L325</f>
        <v>0</v>
      </c>
      <c r="M333" s="820">
        <f t="shared" si="159"/>
        <v>0</v>
      </c>
      <c r="N333" s="820">
        <f t="shared" si="159"/>
        <v>0</v>
      </c>
      <c r="O333" s="364">
        <f t="shared" si="159"/>
        <v>1351.5</v>
      </c>
      <c r="P333" s="364">
        <f t="shared" si="159"/>
        <v>1574.4</v>
      </c>
      <c r="Q333" s="1475">
        <f>Q324-Q325</f>
        <v>0</v>
      </c>
      <c r="R333" s="1475">
        <f t="shared" ref="R333:U333" si="160">R324-R325</f>
        <v>0</v>
      </c>
      <c r="S333" s="1475">
        <f t="shared" si="160"/>
        <v>0</v>
      </c>
      <c r="T333" s="1475">
        <f t="shared" si="160"/>
        <v>543167.85000000009</v>
      </c>
      <c r="U333" s="1475">
        <f t="shared" si="160"/>
        <v>632751.35999999987</v>
      </c>
      <c r="V333" s="1476">
        <f t="shared" si="145"/>
        <v>1175919.21</v>
      </c>
    </row>
    <row r="334" spans="1:22" s="56" customFormat="1" ht="24" customHeight="1">
      <c r="A334" s="74">
        <v>1</v>
      </c>
      <c r="B334" s="74">
        <v>2</v>
      </c>
      <c r="C334" s="74">
        <v>5</v>
      </c>
      <c r="D334" s="74"/>
      <c r="E334" s="74" t="s">
        <v>13</v>
      </c>
      <c r="F334" s="54" t="str">
        <f>CONCATENATE(A334,".",B334,".",C334,)</f>
        <v>1.2.5</v>
      </c>
      <c r="G334" s="1630" t="s">
        <v>56</v>
      </c>
      <c r="H334" s="1631"/>
      <c r="I334" s="1631"/>
      <c r="J334" s="1632"/>
      <c r="K334" s="54"/>
      <c r="L334" s="889"/>
      <c r="M334" s="889"/>
      <c r="N334" s="889"/>
      <c r="O334" s="889"/>
      <c r="P334" s="889"/>
      <c r="Q334" s="1497">
        <f>Q336+Q346+Q356+Q366+Q376</f>
        <v>224439.2</v>
      </c>
      <c r="R334" s="1497">
        <f t="shared" ref="R334:U334" si="161">R336+R346+R356+R366+R376</f>
        <v>150989.6</v>
      </c>
      <c r="S334" s="1497">
        <f t="shared" si="161"/>
        <v>106629.6</v>
      </c>
      <c r="T334" s="1497">
        <f t="shared" si="161"/>
        <v>0</v>
      </c>
      <c r="U334" s="1497">
        <f t="shared" si="161"/>
        <v>0</v>
      </c>
      <c r="V334" s="1497">
        <f t="shared" si="145"/>
        <v>482058.4</v>
      </c>
    </row>
    <row r="335" spans="1:22" s="58" customFormat="1" ht="24" customHeight="1">
      <c r="A335" s="1860">
        <v>1</v>
      </c>
      <c r="B335" s="1860">
        <v>2</v>
      </c>
      <c r="C335" s="1860">
        <v>5</v>
      </c>
      <c r="D335" s="1860">
        <v>1</v>
      </c>
      <c r="E335" s="1839" t="s">
        <v>49</v>
      </c>
      <c r="F335" s="1841" t="str">
        <f>CONCATENATE(A335,".",B335,".",C335,".",D335,)</f>
        <v>1.2.5.1</v>
      </c>
      <c r="G335" s="1664" t="s">
        <v>1134</v>
      </c>
      <c r="H335" s="1601" t="s">
        <v>144</v>
      </c>
      <c r="I335" s="1956" t="s">
        <v>1059</v>
      </c>
      <c r="J335" s="36" t="s">
        <v>79</v>
      </c>
      <c r="K335" s="890"/>
      <c r="L335" s="364">
        <v>1</v>
      </c>
      <c r="M335" s="364">
        <v>1</v>
      </c>
      <c r="N335" s="364">
        <v>1</v>
      </c>
      <c r="O335" s="364">
        <v>0</v>
      </c>
      <c r="P335" s="364">
        <v>0</v>
      </c>
      <c r="Q335" s="1475">
        <f>L335*H340</f>
        <v>16947</v>
      </c>
      <c r="R335" s="1475">
        <f>M335*H340</f>
        <v>16947</v>
      </c>
      <c r="S335" s="1475">
        <f>N335*H340</f>
        <v>16947</v>
      </c>
      <c r="T335" s="1475">
        <f>O335*H340</f>
        <v>0</v>
      </c>
      <c r="U335" s="1475">
        <f>P335*H340</f>
        <v>0</v>
      </c>
      <c r="V335" s="1476">
        <f t="shared" si="145"/>
        <v>50841</v>
      </c>
    </row>
    <row r="336" spans="1:22" s="39" customFormat="1" ht="24" customHeight="1">
      <c r="A336" s="1860">
        <v>1</v>
      </c>
      <c r="B336" s="1860"/>
      <c r="C336" s="1860"/>
      <c r="D336" s="1860"/>
      <c r="E336" s="1839"/>
      <c r="F336" s="1841"/>
      <c r="G336" s="1665"/>
      <c r="H336" s="1601"/>
      <c r="I336" s="1656"/>
      <c r="J336" s="40" t="s">
        <v>80</v>
      </c>
      <c r="K336" s="42"/>
      <c r="L336" s="364">
        <f t="shared" ref="L336:U336" si="162">SUM(L338:L343)</f>
        <v>1</v>
      </c>
      <c r="M336" s="364">
        <f t="shared" si="162"/>
        <v>1</v>
      </c>
      <c r="N336" s="364">
        <f t="shared" si="162"/>
        <v>1</v>
      </c>
      <c r="O336" s="364">
        <f t="shared" si="162"/>
        <v>0</v>
      </c>
      <c r="P336" s="364">
        <f t="shared" si="162"/>
        <v>0</v>
      </c>
      <c r="Q336" s="1475">
        <f t="shared" si="162"/>
        <v>16947</v>
      </c>
      <c r="R336" s="1475">
        <f t="shared" si="162"/>
        <v>16947</v>
      </c>
      <c r="S336" s="1475">
        <f t="shared" si="162"/>
        <v>16947</v>
      </c>
      <c r="T336" s="1475">
        <f t="shared" si="162"/>
        <v>0</v>
      </c>
      <c r="U336" s="1475">
        <f t="shared" si="162"/>
        <v>0</v>
      </c>
      <c r="V336" s="1476">
        <f t="shared" si="145"/>
        <v>50841</v>
      </c>
    </row>
    <row r="337" spans="1:22" s="39" customFormat="1" ht="24" customHeight="1">
      <c r="A337" s="1860">
        <v>1</v>
      </c>
      <c r="B337" s="1860"/>
      <c r="C337" s="1860"/>
      <c r="D337" s="1860"/>
      <c r="E337" s="1839"/>
      <c r="F337" s="1841"/>
      <c r="G337" s="1665"/>
      <c r="H337" s="1601"/>
      <c r="I337" s="1656"/>
      <c r="J337" s="40" t="s">
        <v>429</v>
      </c>
      <c r="K337" s="42"/>
      <c r="L337" s="364">
        <v>0</v>
      </c>
      <c r="M337" s="364">
        <v>0</v>
      </c>
      <c r="N337" s="364">
        <v>0</v>
      </c>
      <c r="O337" s="364">
        <v>0</v>
      </c>
      <c r="P337" s="364">
        <v>0</v>
      </c>
      <c r="Q337" s="1475">
        <f>L337*$H340</f>
        <v>0</v>
      </c>
      <c r="R337" s="1475">
        <f>M337*$H340</f>
        <v>0</v>
      </c>
      <c r="S337" s="1475">
        <f>N337*$H340</f>
        <v>0</v>
      </c>
      <c r="T337" s="1475">
        <f>O337*$H340</f>
        <v>0</v>
      </c>
      <c r="U337" s="1475">
        <f>P337*$H340</f>
        <v>0</v>
      </c>
      <c r="V337" s="1476">
        <f t="shared" si="145"/>
        <v>0</v>
      </c>
    </row>
    <row r="338" spans="1:22" s="39" customFormat="1" ht="24" customHeight="1">
      <c r="A338" s="1860">
        <v>1</v>
      </c>
      <c r="B338" s="1860"/>
      <c r="C338" s="1860"/>
      <c r="D338" s="1860"/>
      <c r="E338" s="1839"/>
      <c r="F338" s="1841"/>
      <c r="G338" s="1665"/>
      <c r="H338" s="1601"/>
      <c r="I338" s="1656"/>
      <c r="J338" s="40" t="s">
        <v>133</v>
      </c>
      <c r="K338" s="42"/>
      <c r="L338" s="364">
        <v>0</v>
      </c>
      <c r="M338" s="364">
        <v>0</v>
      </c>
      <c r="N338" s="364">
        <v>0</v>
      </c>
      <c r="O338" s="364">
        <v>0</v>
      </c>
      <c r="P338" s="364">
        <v>0</v>
      </c>
      <c r="Q338" s="1475">
        <f>L338*$H340</f>
        <v>0</v>
      </c>
      <c r="R338" s="1475">
        <f>M338*$H340</f>
        <v>0</v>
      </c>
      <c r="S338" s="1475">
        <f>N338*$H340</f>
        <v>0</v>
      </c>
      <c r="T338" s="1475">
        <f>O338*$H340</f>
        <v>0</v>
      </c>
      <c r="U338" s="1475">
        <f>P338*$H340</f>
        <v>0</v>
      </c>
      <c r="V338" s="1476">
        <f t="shared" si="145"/>
        <v>0</v>
      </c>
    </row>
    <row r="339" spans="1:22" s="39" customFormat="1" ht="24" customHeight="1">
      <c r="A339" s="1860">
        <v>1</v>
      </c>
      <c r="B339" s="1860"/>
      <c r="C339" s="1860"/>
      <c r="D339" s="1860"/>
      <c r="E339" s="1839"/>
      <c r="F339" s="1841"/>
      <c r="G339" s="1665"/>
      <c r="H339" s="1601"/>
      <c r="I339" s="1656"/>
      <c r="J339" s="40" t="s">
        <v>81</v>
      </c>
      <c r="K339" s="42"/>
      <c r="L339" s="364">
        <v>0</v>
      </c>
      <c r="M339" s="364">
        <v>0</v>
      </c>
      <c r="N339" s="364">
        <v>0</v>
      </c>
      <c r="O339" s="364">
        <v>0</v>
      </c>
      <c r="P339" s="364">
        <v>0</v>
      </c>
      <c r="Q339" s="1475">
        <f>L339*$H340</f>
        <v>0</v>
      </c>
      <c r="R339" s="1475">
        <f>M339*$H340</f>
        <v>0</v>
      </c>
      <c r="S339" s="1475">
        <f>N339*$H340</f>
        <v>0</v>
      </c>
      <c r="T339" s="1475">
        <f>O339*$H340</f>
        <v>0</v>
      </c>
      <c r="U339" s="1475">
        <f>P339*$H340</f>
        <v>0</v>
      </c>
      <c r="V339" s="1476">
        <f t="shared" si="145"/>
        <v>0</v>
      </c>
    </row>
    <row r="340" spans="1:22" s="39" customFormat="1" ht="24" customHeight="1">
      <c r="A340" s="1860">
        <v>1</v>
      </c>
      <c r="B340" s="1860"/>
      <c r="C340" s="1860"/>
      <c r="D340" s="1860"/>
      <c r="E340" s="1839"/>
      <c r="F340" s="1841"/>
      <c r="G340" s="1665"/>
      <c r="H340" s="1595">
        <f>'Budget assumption'!$H$28</f>
        <v>16947</v>
      </c>
      <c r="I340" s="1656"/>
      <c r="J340" s="40" t="s">
        <v>134</v>
      </c>
      <c r="K340" s="42"/>
      <c r="L340" s="364">
        <v>0</v>
      </c>
      <c r="M340" s="364">
        <v>0</v>
      </c>
      <c r="N340" s="364">
        <v>0</v>
      </c>
      <c r="O340" s="364">
        <v>0</v>
      </c>
      <c r="P340" s="364">
        <v>0</v>
      </c>
      <c r="Q340" s="1475">
        <f>L340*$H340</f>
        <v>0</v>
      </c>
      <c r="R340" s="1475">
        <f>M340*$H340</f>
        <v>0</v>
      </c>
      <c r="S340" s="1475">
        <f>N340*$H340</f>
        <v>0</v>
      </c>
      <c r="T340" s="1475">
        <f>O340*$H340</f>
        <v>0</v>
      </c>
      <c r="U340" s="1475">
        <f>P340*$H340</f>
        <v>0</v>
      </c>
      <c r="V340" s="1476">
        <f t="shared" si="145"/>
        <v>0</v>
      </c>
    </row>
    <row r="341" spans="1:22" s="39" customFormat="1" ht="24" customHeight="1">
      <c r="A341" s="1860">
        <v>1</v>
      </c>
      <c r="B341" s="1860"/>
      <c r="C341" s="1860"/>
      <c r="D341" s="1860"/>
      <c r="E341" s="1839"/>
      <c r="F341" s="1841"/>
      <c r="G341" s="1665"/>
      <c r="H341" s="1596"/>
      <c r="I341" s="1656"/>
      <c r="J341" s="40" t="s">
        <v>82</v>
      </c>
      <c r="K341" s="42"/>
      <c r="L341" s="364">
        <v>1</v>
      </c>
      <c r="M341" s="364">
        <v>1</v>
      </c>
      <c r="N341" s="364">
        <v>1</v>
      </c>
      <c r="O341" s="364">
        <v>0</v>
      </c>
      <c r="P341" s="364">
        <v>0</v>
      </c>
      <c r="Q341" s="1475">
        <f>L341*$H340</f>
        <v>16947</v>
      </c>
      <c r="R341" s="1475">
        <f>M341*$H340</f>
        <v>16947</v>
      </c>
      <c r="S341" s="1475">
        <f>N341*$H340</f>
        <v>16947</v>
      </c>
      <c r="T341" s="1475">
        <f>O341*$H340</f>
        <v>0</v>
      </c>
      <c r="U341" s="1475">
        <f>P341*$H340</f>
        <v>0</v>
      </c>
      <c r="V341" s="1476">
        <f t="shared" si="145"/>
        <v>50841</v>
      </c>
    </row>
    <row r="342" spans="1:22" s="39" customFormat="1" ht="24" customHeight="1">
      <c r="A342" s="1860">
        <v>1</v>
      </c>
      <c r="B342" s="1860"/>
      <c r="C342" s="1860"/>
      <c r="D342" s="1860"/>
      <c r="E342" s="1839"/>
      <c r="F342" s="1841"/>
      <c r="G342" s="1665"/>
      <c r="H342" s="1596"/>
      <c r="I342" s="1656"/>
      <c r="J342" s="40" t="s">
        <v>90</v>
      </c>
      <c r="K342" s="42"/>
      <c r="L342" s="364">
        <v>0</v>
      </c>
      <c r="M342" s="364">
        <v>0</v>
      </c>
      <c r="N342" s="364">
        <v>0</v>
      </c>
      <c r="O342" s="364">
        <v>0</v>
      </c>
      <c r="P342" s="364">
        <v>0</v>
      </c>
      <c r="Q342" s="1475">
        <f>L342*$H340</f>
        <v>0</v>
      </c>
      <c r="R342" s="1475">
        <f>M342*$H340</f>
        <v>0</v>
      </c>
      <c r="S342" s="1475">
        <f>N342*$H340</f>
        <v>0</v>
      </c>
      <c r="T342" s="1475">
        <f>O342*$H340</f>
        <v>0</v>
      </c>
      <c r="U342" s="1475">
        <f>P342*$H340</f>
        <v>0</v>
      </c>
      <c r="V342" s="1476">
        <f t="shared" si="145"/>
        <v>0</v>
      </c>
    </row>
    <row r="343" spans="1:22" s="39" customFormat="1" ht="24" customHeight="1">
      <c r="A343" s="1860">
        <v>1</v>
      </c>
      <c r="B343" s="1860"/>
      <c r="C343" s="1860"/>
      <c r="D343" s="1860"/>
      <c r="E343" s="1839"/>
      <c r="F343" s="1841"/>
      <c r="G343" s="1665"/>
      <c r="H343" s="1596"/>
      <c r="I343" s="1656"/>
      <c r="J343" s="40" t="s">
        <v>83</v>
      </c>
      <c r="K343" s="42"/>
      <c r="L343" s="364">
        <v>0</v>
      </c>
      <c r="M343" s="364">
        <v>0</v>
      </c>
      <c r="N343" s="364">
        <v>0</v>
      </c>
      <c r="O343" s="364">
        <v>0</v>
      </c>
      <c r="P343" s="364">
        <v>0</v>
      </c>
      <c r="Q343" s="1475">
        <f>L343*$H340</f>
        <v>0</v>
      </c>
      <c r="R343" s="1475">
        <f>M343*$H340</f>
        <v>0</v>
      </c>
      <c r="S343" s="1475">
        <f>N343*$H340</f>
        <v>0</v>
      </c>
      <c r="T343" s="1475">
        <f>O343*$H340</f>
        <v>0</v>
      </c>
      <c r="U343" s="1475">
        <f>P343*$H340</f>
        <v>0</v>
      </c>
      <c r="V343" s="1476">
        <f t="shared" si="145"/>
        <v>0</v>
      </c>
    </row>
    <row r="344" spans="1:22" s="39" customFormat="1" ht="24" customHeight="1">
      <c r="A344" s="1860">
        <v>1</v>
      </c>
      <c r="B344" s="1860"/>
      <c r="C344" s="1860"/>
      <c r="D344" s="1860"/>
      <c r="E344" s="1839"/>
      <c r="F344" s="1841"/>
      <c r="G344" s="1666"/>
      <c r="H344" s="1618"/>
      <c r="I344" s="1726"/>
      <c r="J344" s="40" t="s">
        <v>84</v>
      </c>
      <c r="K344" s="42"/>
      <c r="L344" s="364">
        <f>L335-L336</f>
        <v>0</v>
      </c>
      <c r="M344" s="364">
        <f t="shared" ref="M344:U344" si="163">M335-M336</f>
        <v>0</v>
      </c>
      <c r="N344" s="364">
        <f t="shared" si="163"/>
        <v>0</v>
      </c>
      <c r="O344" s="364">
        <f t="shared" si="163"/>
        <v>0</v>
      </c>
      <c r="P344" s="364">
        <f t="shared" si="163"/>
        <v>0</v>
      </c>
      <c r="Q344" s="1475">
        <f t="shared" si="163"/>
        <v>0</v>
      </c>
      <c r="R344" s="1475">
        <f t="shared" si="163"/>
        <v>0</v>
      </c>
      <c r="S344" s="1475">
        <f t="shared" si="163"/>
        <v>0</v>
      </c>
      <c r="T344" s="1475">
        <f t="shared" si="163"/>
        <v>0</v>
      </c>
      <c r="U344" s="1475">
        <f t="shared" si="163"/>
        <v>0</v>
      </c>
      <c r="V344" s="1476">
        <f t="shared" si="145"/>
        <v>0</v>
      </c>
    </row>
    <row r="345" spans="1:22" s="39" customFormat="1" ht="24" customHeight="1">
      <c r="A345" s="1860">
        <v>1</v>
      </c>
      <c r="B345" s="1860">
        <v>1</v>
      </c>
      <c r="C345" s="1860">
        <v>5</v>
      </c>
      <c r="D345" s="1860">
        <v>2</v>
      </c>
      <c r="E345" s="1839" t="s">
        <v>15</v>
      </c>
      <c r="F345" s="1841" t="str">
        <f>CONCATENATE(A345,".",B345,".",C345,".",D345,)</f>
        <v>1.1.5.2</v>
      </c>
      <c r="G345" s="1912" t="s">
        <v>237</v>
      </c>
      <c r="H345" s="1601" t="s">
        <v>144</v>
      </c>
      <c r="I345" s="1655" t="s">
        <v>747</v>
      </c>
      <c r="J345" s="36" t="s">
        <v>79</v>
      </c>
      <c r="K345" s="891"/>
      <c r="L345" s="383">
        <v>1</v>
      </c>
      <c r="M345" s="383">
        <v>1</v>
      </c>
      <c r="N345" s="383">
        <v>0</v>
      </c>
      <c r="O345" s="383">
        <v>0</v>
      </c>
      <c r="P345" s="383">
        <v>0</v>
      </c>
      <c r="Q345" s="1475">
        <f>L345*H350</f>
        <v>44360</v>
      </c>
      <c r="R345" s="1475">
        <f>M345*H350</f>
        <v>44360</v>
      </c>
      <c r="S345" s="1475">
        <f>N345*H350</f>
        <v>0</v>
      </c>
      <c r="T345" s="1475">
        <f>O345*H350</f>
        <v>0</v>
      </c>
      <c r="U345" s="1475">
        <f>P345*H350</f>
        <v>0</v>
      </c>
      <c r="V345" s="1476">
        <f t="shared" ref="V345:V354" si="164">SUM(Q345:U345)</f>
        <v>88720</v>
      </c>
    </row>
    <row r="346" spans="1:22" s="39" customFormat="1" ht="24" customHeight="1">
      <c r="A346" s="1860">
        <v>3</v>
      </c>
      <c r="B346" s="1860"/>
      <c r="C346" s="1860"/>
      <c r="D346" s="1860"/>
      <c r="E346" s="1839"/>
      <c r="F346" s="1841"/>
      <c r="G346" s="1913"/>
      <c r="H346" s="1601"/>
      <c r="I346" s="1656"/>
      <c r="J346" s="40" t="s">
        <v>80</v>
      </c>
      <c r="K346" s="42"/>
      <c r="L346" s="364">
        <f t="shared" ref="L346:P346" si="165">SUM(L347:L353)</f>
        <v>1</v>
      </c>
      <c r="M346" s="364">
        <f t="shared" si="165"/>
        <v>1</v>
      </c>
      <c r="N346" s="364">
        <f t="shared" si="165"/>
        <v>0</v>
      </c>
      <c r="O346" s="364">
        <f t="shared" si="165"/>
        <v>0</v>
      </c>
      <c r="P346" s="364">
        <f t="shared" si="165"/>
        <v>0</v>
      </c>
      <c r="Q346" s="1475">
        <f t="shared" ref="Q346:U346" si="166">SUM(Q347:Q353)</f>
        <v>44360</v>
      </c>
      <c r="R346" s="1475">
        <f t="shared" si="166"/>
        <v>44360</v>
      </c>
      <c r="S346" s="1475">
        <f t="shared" si="166"/>
        <v>0</v>
      </c>
      <c r="T346" s="1475">
        <f t="shared" si="166"/>
        <v>0</v>
      </c>
      <c r="U346" s="1475">
        <f t="shared" si="166"/>
        <v>0</v>
      </c>
      <c r="V346" s="1476">
        <f t="shared" si="164"/>
        <v>88720</v>
      </c>
    </row>
    <row r="347" spans="1:22" s="39" customFormat="1" ht="24" customHeight="1">
      <c r="A347" s="1860">
        <v>3</v>
      </c>
      <c r="B347" s="1860"/>
      <c r="C347" s="1860"/>
      <c r="D347" s="1860"/>
      <c r="E347" s="1839"/>
      <c r="F347" s="1841"/>
      <c r="G347" s="1913"/>
      <c r="H347" s="1601"/>
      <c r="I347" s="1656"/>
      <c r="J347" s="40" t="s">
        <v>429</v>
      </c>
      <c r="K347" s="42"/>
      <c r="L347" s="364">
        <v>0</v>
      </c>
      <c r="M347" s="364">
        <v>0</v>
      </c>
      <c r="N347" s="364">
        <v>0</v>
      </c>
      <c r="O347" s="364">
        <v>0</v>
      </c>
      <c r="P347" s="364">
        <v>0</v>
      </c>
      <c r="Q347" s="1475">
        <f>L347*$H350</f>
        <v>0</v>
      </c>
      <c r="R347" s="1475">
        <f>M347*$H350</f>
        <v>0</v>
      </c>
      <c r="S347" s="1475">
        <f>N347*$H350</f>
        <v>0</v>
      </c>
      <c r="T347" s="1475">
        <f>O347*$H350</f>
        <v>0</v>
      </c>
      <c r="U347" s="1475">
        <f>P347*$H350</f>
        <v>0</v>
      </c>
      <c r="V347" s="1476">
        <f t="shared" si="164"/>
        <v>0</v>
      </c>
    </row>
    <row r="348" spans="1:22" s="39" customFormat="1" ht="24" customHeight="1">
      <c r="A348" s="1860">
        <v>3</v>
      </c>
      <c r="B348" s="1860"/>
      <c r="C348" s="1860"/>
      <c r="D348" s="1860"/>
      <c r="E348" s="1839"/>
      <c r="F348" s="1841"/>
      <c r="G348" s="1913"/>
      <c r="H348" s="1601"/>
      <c r="I348" s="1656"/>
      <c r="J348" s="40" t="s">
        <v>133</v>
      </c>
      <c r="K348" s="42"/>
      <c r="L348" s="364">
        <v>0</v>
      </c>
      <c r="M348" s="364">
        <v>0</v>
      </c>
      <c r="N348" s="364">
        <v>0</v>
      </c>
      <c r="O348" s="364">
        <v>0</v>
      </c>
      <c r="P348" s="364">
        <v>0</v>
      </c>
      <c r="Q348" s="1475">
        <f>L348*$H350</f>
        <v>0</v>
      </c>
      <c r="R348" s="1475">
        <f>M348*$H350</f>
        <v>0</v>
      </c>
      <c r="S348" s="1475">
        <f>N348*$H350</f>
        <v>0</v>
      </c>
      <c r="T348" s="1475">
        <f>O348*$H350</f>
        <v>0</v>
      </c>
      <c r="U348" s="1475">
        <f>P348*$H350</f>
        <v>0</v>
      </c>
      <c r="V348" s="1476">
        <f t="shared" si="164"/>
        <v>0</v>
      </c>
    </row>
    <row r="349" spans="1:22" s="39" customFormat="1" ht="24" customHeight="1">
      <c r="A349" s="1860">
        <v>3</v>
      </c>
      <c r="B349" s="1860"/>
      <c r="C349" s="1860"/>
      <c r="D349" s="1860"/>
      <c r="E349" s="1839"/>
      <c r="F349" s="1841"/>
      <c r="G349" s="1913"/>
      <c r="H349" s="1601"/>
      <c r="I349" s="1656"/>
      <c r="J349" s="40" t="s">
        <v>81</v>
      </c>
      <c r="K349" s="42"/>
      <c r="L349" s="364">
        <v>0</v>
      </c>
      <c r="M349" s="364">
        <v>0</v>
      </c>
      <c r="N349" s="364">
        <v>0</v>
      </c>
      <c r="O349" s="364">
        <v>0</v>
      </c>
      <c r="P349" s="364">
        <v>0</v>
      </c>
      <c r="Q349" s="1475">
        <f>L349*$H350</f>
        <v>0</v>
      </c>
      <c r="R349" s="1475">
        <f>M349*$H350</f>
        <v>0</v>
      </c>
      <c r="S349" s="1475">
        <f>N349*$H350</f>
        <v>0</v>
      </c>
      <c r="T349" s="1475">
        <f>O349*$H350</f>
        <v>0</v>
      </c>
      <c r="U349" s="1475">
        <f>P349*$H350</f>
        <v>0</v>
      </c>
      <c r="V349" s="1476">
        <f t="shared" si="164"/>
        <v>0</v>
      </c>
    </row>
    <row r="350" spans="1:22" s="39" customFormat="1" ht="24" customHeight="1">
      <c r="A350" s="1860">
        <v>3</v>
      </c>
      <c r="B350" s="1860"/>
      <c r="C350" s="1860"/>
      <c r="D350" s="1860"/>
      <c r="E350" s="1839"/>
      <c r="F350" s="1841"/>
      <c r="G350" s="1913"/>
      <c r="H350" s="1595">
        <f>2*5*'Budget assumption'!C4+'Budget assumption'!G15*2</f>
        <v>44360</v>
      </c>
      <c r="I350" s="1656"/>
      <c r="J350" s="40" t="s">
        <v>134</v>
      </c>
      <c r="K350" s="42"/>
      <c r="L350" s="364">
        <v>0</v>
      </c>
      <c r="M350" s="364">
        <v>0</v>
      </c>
      <c r="N350" s="364">
        <v>0</v>
      </c>
      <c r="O350" s="364">
        <v>0</v>
      </c>
      <c r="P350" s="364">
        <v>0</v>
      </c>
      <c r="Q350" s="1475">
        <f>L350*$H350</f>
        <v>0</v>
      </c>
      <c r="R350" s="1475">
        <f>M350*$H350</f>
        <v>0</v>
      </c>
      <c r="S350" s="1475">
        <f>N350*$H350</f>
        <v>0</v>
      </c>
      <c r="T350" s="1475">
        <f>O350*$H350</f>
        <v>0</v>
      </c>
      <c r="U350" s="1475">
        <f>P350*$H350</f>
        <v>0</v>
      </c>
      <c r="V350" s="1476">
        <f t="shared" si="164"/>
        <v>0</v>
      </c>
    </row>
    <row r="351" spans="1:22" s="39" customFormat="1" ht="24" customHeight="1">
      <c r="A351" s="1860">
        <v>3</v>
      </c>
      <c r="B351" s="1860"/>
      <c r="C351" s="1860"/>
      <c r="D351" s="1860"/>
      <c r="E351" s="1839"/>
      <c r="F351" s="1841"/>
      <c r="G351" s="1913"/>
      <c r="H351" s="1596"/>
      <c r="I351" s="1656"/>
      <c r="J351" s="40" t="s">
        <v>82</v>
      </c>
      <c r="K351" s="42"/>
      <c r="L351" s="364">
        <v>1</v>
      </c>
      <c r="M351" s="364">
        <v>1</v>
      </c>
      <c r="N351" s="364">
        <v>0</v>
      </c>
      <c r="O351" s="364">
        <v>0</v>
      </c>
      <c r="P351" s="364">
        <v>0</v>
      </c>
      <c r="Q351" s="1475">
        <f>L351*$H350</f>
        <v>44360</v>
      </c>
      <c r="R351" s="1475">
        <f>M351*$H350</f>
        <v>44360</v>
      </c>
      <c r="S351" s="1475">
        <f>N351*$H350</f>
        <v>0</v>
      </c>
      <c r="T351" s="1475">
        <f>O351*$H350</f>
        <v>0</v>
      </c>
      <c r="U351" s="1475">
        <f>P351*$H350</f>
        <v>0</v>
      </c>
      <c r="V351" s="1476">
        <f t="shared" si="164"/>
        <v>88720</v>
      </c>
    </row>
    <row r="352" spans="1:22" s="39" customFormat="1" ht="24" customHeight="1">
      <c r="A352" s="1860">
        <v>3</v>
      </c>
      <c r="B352" s="1860"/>
      <c r="C352" s="1860"/>
      <c r="D352" s="1860"/>
      <c r="E352" s="1839"/>
      <c r="F352" s="1841"/>
      <c r="G352" s="1913"/>
      <c r="H352" s="1596"/>
      <c r="I352" s="1656"/>
      <c r="J352" s="40" t="s">
        <v>90</v>
      </c>
      <c r="K352" s="42"/>
      <c r="L352" s="364">
        <v>0</v>
      </c>
      <c r="M352" s="364">
        <v>0</v>
      </c>
      <c r="N352" s="364">
        <v>0</v>
      </c>
      <c r="O352" s="364">
        <v>0</v>
      </c>
      <c r="P352" s="364">
        <v>0</v>
      </c>
      <c r="Q352" s="1475">
        <f>L352*$H350</f>
        <v>0</v>
      </c>
      <c r="R352" s="1475">
        <f>M352*$H350</f>
        <v>0</v>
      </c>
      <c r="S352" s="1475">
        <f>N352*$H350</f>
        <v>0</v>
      </c>
      <c r="T352" s="1475">
        <f>O352*$H350</f>
        <v>0</v>
      </c>
      <c r="U352" s="1475">
        <f>P352*$H350</f>
        <v>0</v>
      </c>
      <c r="V352" s="1476">
        <f t="shared" si="164"/>
        <v>0</v>
      </c>
    </row>
    <row r="353" spans="1:22" s="39" customFormat="1" ht="24" customHeight="1">
      <c r="A353" s="1860">
        <v>3</v>
      </c>
      <c r="B353" s="1860"/>
      <c r="C353" s="1860"/>
      <c r="D353" s="1860"/>
      <c r="E353" s="1839"/>
      <c r="F353" s="1841"/>
      <c r="G353" s="1913"/>
      <c r="H353" s="1596"/>
      <c r="I353" s="1656"/>
      <c r="J353" s="40" t="s">
        <v>83</v>
      </c>
      <c r="K353" s="42"/>
      <c r="L353" s="364">
        <v>0</v>
      </c>
      <c r="M353" s="364">
        <v>0</v>
      </c>
      <c r="N353" s="364">
        <v>0</v>
      </c>
      <c r="O353" s="364">
        <v>0</v>
      </c>
      <c r="P353" s="364">
        <v>0</v>
      </c>
      <c r="Q353" s="1475">
        <f>L353*$H350</f>
        <v>0</v>
      </c>
      <c r="R353" s="1475">
        <f>M353*$H350</f>
        <v>0</v>
      </c>
      <c r="S353" s="1475">
        <f>N353*$H350</f>
        <v>0</v>
      </c>
      <c r="T353" s="1475">
        <f>O353*$H350</f>
        <v>0</v>
      </c>
      <c r="U353" s="1475">
        <f>P353*$H350</f>
        <v>0</v>
      </c>
      <c r="V353" s="1476">
        <f t="shared" si="164"/>
        <v>0</v>
      </c>
    </row>
    <row r="354" spans="1:22" s="39" customFormat="1" ht="24" customHeight="1">
      <c r="A354" s="1860">
        <v>3</v>
      </c>
      <c r="B354" s="1860"/>
      <c r="C354" s="1860"/>
      <c r="D354" s="1860"/>
      <c r="E354" s="1839"/>
      <c r="F354" s="1841"/>
      <c r="G354" s="1914"/>
      <c r="H354" s="1618"/>
      <c r="I354" s="1657"/>
      <c r="J354" s="40" t="s">
        <v>84</v>
      </c>
      <c r="K354" s="42"/>
      <c r="L354" s="364">
        <f t="shared" ref="L354:P354" si="167">L345-L346</f>
        <v>0</v>
      </c>
      <c r="M354" s="364">
        <f t="shared" si="167"/>
        <v>0</v>
      </c>
      <c r="N354" s="364">
        <f t="shared" si="167"/>
        <v>0</v>
      </c>
      <c r="O354" s="364">
        <f t="shared" si="167"/>
        <v>0</v>
      </c>
      <c r="P354" s="364">
        <f t="shared" si="167"/>
        <v>0</v>
      </c>
      <c r="Q354" s="1475">
        <f t="shared" ref="Q354:U354" si="168">Q345-Q346</f>
        <v>0</v>
      </c>
      <c r="R354" s="1475">
        <f t="shared" si="168"/>
        <v>0</v>
      </c>
      <c r="S354" s="1475">
        <f t="shared" si="168"/>
        <v>0</v>
      </c>
      <c r="T354" s="1475">
        <f t="shared" si="168"/>
        <v>0</v>
      </c>
      <c r="U354" s="1475">
        <f t="shared" si="168"/>
        <v>0</v>
      </c>
      <c r="V354" s="1476">
        <f t="shared" si="164"/>
        <v>0</v>
      </c>
    </row>
    <row r="355" spans="1:22" s="59" customFormat="1" ht="24" customHeight="1">
      <c r="A355" s="1860">
        <v>1</v>
      </c>
      <c r="B355" s="1860">
        <v>2</v>
      </c>
      <c r="C355" s="1860">
        <v>5</v>
      </c>
      <c r="D355" s="1860">
        <v>3</v>
      </c>
      <c r="E355" s="1839" t="s">
        <v>49</v>
      </c>
      <c r="F355" s="1841" t="str">
        <f>CONCATENATE(A355,".",B355,".",C355,".",D355,)</f>
        <v>1.2.5.3</v>
      </c>
      <c r="G355" s="1909" t="s">
        <v>538</v>
      </c>
      <c r="H355" s="1601" t="s">
        <v>539</v>
      </c>
      <c r="I355" s="1717" t="s">
        <v>748</v>
      </c>
      <c r="J355" s="36" t="s">
        <v>79</v>
      </c>
      <c r="K355" s="891"/>
      <c r="L355" s="379">
        <v>3000</v>
      </c>
      <c r="M355" s="379">
        <f>L355*1.1</f>
        <v>3300.0000000000005</v>
      </c>
      <c r="N355" s="379">
        <f>M355*1.1</f>
        <v>3630.0000000000009</v>
      </c>
      <c r="O355" s="379">
        <f>N355*1.1</f>
        <v>3993.0000000000014</v>
      </c>
      <c r="P355" s="379">
        <f>O355*1.1</f>
        <v>4392.300000000002</v>
      </c>
      <c r="Q355" s="1475">
        <f>L355*H360</f>
        <v>2400000</v>
      </c>
      <c r="R355" s="1475">
        <f>M355*H360</f>
        <v>2640000.0000000005</v>
      </c>
      <c r="S355" s="1475">
        <f>N355*H360</f>
        <v>2904000.0000000009</v>
      </c>
      <c r="T355" s="1475">
        <f>O355*H360</f>
        <v>3194400.0000000009</v>
      </c>
      <c r="U355" s="1475">
        <f>P355*H360</f>
        <v>3513840.0000000014</v>
      </c>
      <c r="V355" s="1476">
        <f t="shared" si="145"/>
        <v>14652240.000000004</v>
      </c>
    </row>
    <row r="356" spans="1:22" s="39" customFormat="1" ht="24" customHeight="1">
      <c r="A356" s="1860">
        <v>1</v>
      </c>
      <c r="B356" s="1860"/>
      <c r="C356" s="1860"/>
      <c r="D356" s="1860"/>
      <c r="E356" s="1839"/>
      <c r="F356" s="1841"/>
      <c r="G356" s="1910"/>
      <c r="H356" s="1601"/>
      <c r="I356" s="1718"/>
      <c r="J356" s="40" t="s">
        <v>80</v>
      </c>
      <c r="K356" s="42"/>
      <c r="L356" s="364">
        <f t="shared" ref="L356:P356" si="169">SUM(L357:L363)</f>
        <v>0</v>
      </c>
      <c r="M356" s="364">
        <f t="shared" si="169"/>
        <v>0</v>
      </c>
      <c r="N356" s="364">
        <f t="shared" si="169"/>
        <v>0</v>
      </c>
      <c r="O356" s="364">
        <f t="shared" si="169"/>
        <v>0</v>
      </c>
      <c r="P356" s="364">
        <f t="shared" si="169"/>
        <v>0</v>
      </c>
      <c r="Q356" s="1475">
        <f t="shared" ref="Q356:U356" si="170">SUM(Q357:Q363)</f>
        <v>0</v>
      </c>
      <c r="R356" s="1475">
        <f t="shared" si="170"/>
        <v>0</v>
      </c>
      <c r="S356" s="1475">
        <f t="shared" si="170"/>
        <v>0</v>
      </c>
      <c r="T356" s="1475">
        <f t="shared" si="170"/>
        <v>0</v>
      </c>
      <c r="U356" s="1475">
        <f t="shared" si="170"/>
        <v>0</v>
      </c>
      <c r="V356" s="1476">
        <f t="shared" si="145"/>
        <v>0</v>
      </c>
    </row>
    <row r="357" spans="1:22" s="39" customFormat="1" ht="24" customHeight="1">
      <c r="A357" s="1860">
        <v>1</v>
      </c>
      <c r="B357" s="1860"/>
      <c r="C357" s="1860"/>
      <c r="D357" s="1860"/>
      <c r="E357" s="1839"/>
      <c r="F357" s="1841"/>
      <c r="G357" s="1910"/>
      <c r="H357" s="1601"/>
      <c r="I357" s="1718"/>
      <c r="J357" s="40" t="s">
        <v>429</v>
      </c>
      <c r="K357" s="42"/>
      <c r="L357" s="364">
        <v>0</v>
      </c>
      <c r="M357" s="364">
        <v>0</v>
      </c>
      <c r="N357" s="364">
        <v>0</v>
      </c>
      <c r="O357" s="364">
        <v>0</v>
      </c>
      <c r="P357" s="364">
        <v>0</v>
      </c>
      <c r="Q357" s="1475">
        <f>L357*$H360</f>
        <v>0</v>
      </c>
      <c r="R357" s="1475">
        <f>M357*$H360</f>
        <v>0</v>
      </c>
      <c r="S357" s="1475">
        <f>N357*$H360</f>
        <v>0</v>
      </c>
      <c r="T357" s="1475">
        <f>O357*$H360</f>
        <v>0</v>
      </c>
      <c r="U357" s="1475">
        <f>P357*$H360</f>
        <v>0</v>
      </c>
      <c r="V357" s="1476">
        <f t="shared" ref="V357:V396" si="171">SUM(Q357:U357)</f>
        <v>0</v>
      </c>
    </row>
    <row r="358" spans="1:22" s="39" customFormat="1" ht="24" customHeight="1">
      <c r="A358" s="1860">
        <v>1</v>
      </c>
      <c r="B358" s="1860"/>
      <c r="C358" s="1860"/>
      <c r="D358" s="1860"/>
      <c r="E358" s="1839"/>
      <c r="F358" s="1841"/>
      <c r="G358" s="1910"/>
      <c r="H358" s="1601"/>
      <c r="I358" s="1718"/>
      <c r="J358" s="40" t="s">
        <v>133</v>
      </c>
      <c r="K358" s="42"/>
      <c r="L358" s="364">
        <v>0</v>
      </c>
      <c r="M358" s="364">
        <v>0</v>
      </c>
      <c r="N358" s="364">
        <v>0</v>
      </c>
      <c r="O358" s="364">
        <v>0</v>
      </c>
      <c r="P358" s="364">
        <v>0</v>
      </c>
      <c r="Q358" s="1475">
        <f>L358*$H360</f>
        <v>0</v>
      </c>
      <c r="R358" s="1475">
        <f>M358*$H360</f>
        <v>0</v>
      </c>
      <c r="S358" s="1475">
        <f>N358*$H360</f>
        <v>0</v>
      </c>
      <c r="T358" s="1475">
        <f>O358*$H360</f>
        <v>0</v>
      </c>
      <c r="U358" s="1475">
        <f>P358*$H360</f>
        <v>0</v>
      </c>
      <c r="V358" s="1476">
        <f t="shared" si="171"/>
        <v>0</v>
      </c>
    </row>
    <row r="359" spans="1:22" s="39" customFormat="1" ht="24" customHeight="1">
      <c r="A359" s="1860">
        <v>1</v>
      </c>
      <c r="B359" s="1860"/>
      <c r="C359" s="1860"/>
      <c r="D359" s="1860"/>
      <c r="E359" s="1839"/>
      <c r="F359" s="1841"/>
      <c r="G359" s="1910"/>
      <c r="H359" s="1601"/>
      <c r="I359" s="1718"/>
      <c r="J359" s="40" t="s">
        <v>81</v>
      </c>
      <c r="K359" s="42"/>
      <c r="L359" s="364">
        <v>0</v>
      </c>
      <c r="M359" s="364">
        <v>0</v>
      </c>
      <c r="N359" s="364">
        <v>0</v>
      </c>
      <c r="O359" s="364">
        <v>0</v>
      </c>
      <c r="P359" s="364">
        <v>0</v>
      </c>
      <c r="Q359" s="1475">
        <f>L359*$H360</f>
        <v>0</v>
      </c>
      <c r="R359" s="1475">
        <f>M359*$H360</f>
        <v>0</v>
      </c>
      <c r="S359" s="1475">
        <f>N359*$H360</f>
        <v>0</v>
      </c>
      <c r="T359" s="1475">
        <f>O359*$H360</f>
        <v>0</v>
      </c>
      <c r="U359" s="1475">
        <f>P359*$H360</f>
        <v>0</v>
      </c>
      <c r="V359" s="1476">
        <f t="shared" si="171"/>
        <v>0</v>
      </c>
    </row>
    <row r="360" spans="1:22" s="39" customFormat="1" ht="24" customHeight="1">
      <c r="A360" s="1860">
        <v>1</v>
      </c>
      <c r="B360" s="1860"/>
      <c r="C360" s="1860"/>
      <c r="D360" s="1860"/>
      <c r="E360" s="1839"/>
      <c r="F360" s="1841"/>
      <c r="G360" s="1910"/>
      <c r="H360" s="1595">
        <f>'Budget assumption'!$C$201</f>
        <v>800</v>
      </c>
      <c r="I360" s="1718"/>
      <c r="J360" s="40" t="s">
        <v>134</v>
      </c>
      <c r="K360" s="42"/>
      <c r="L360" s="364">
        <v>0</v>
      </c>
      <c r="M360" s="364">
        <v>0</v>
      </c>
      <c r="N360" s="364">
        <v>0</v>
      </c>
      <c r="O360" s="364">
        <v>0</v>
      </c>
      <c r="P360" s="364">
        <v>0</v>
      </c>
      <c r="Q360" s="1475">
        <f>L360*$H360</f>
        <v>0</v>
      </c>
      <c r="R360" s="1475">
        <f>M360*$H360</f>
        <v>0</v>
      </c>
      <c r="S360" s="1475">
        <f>N360*$H360</f>
        <v>0</v>
      </c>
      <c r="T360" s="1475">
        <f>O360*$H360</f>
        <v>0</v>
      </c>
      <c r="U360" s="1475">
        <f>P360*$H360</f>
        <v>0</v>
      </c>
      <c r="V360" s="1476">
        <f t="shared" si="171"/>
        <v>0</v>
      </c>
    </row>
    <row r="361" spans="1:22" s="39" customFormat="1" ht="24" customHeight="1">
      <c r="A361" s="1860">
        <v>1</v>
      </c>
      <c r="B361" s="1860"/>
      <c r="C361" s="1860"/>
      <c r="D361" s="1860"/>
      <c r="E361" s="1839"/>
      <c r="F361" s="1841"/>
      <c r="G361" s="1910"/>
      <c r="H361" s="1596"/>
      <c r="I361" s="1718"/>
      <c r="J361" s="40" t="s">
        <v>82</v>
      </c>
      <c r="K361" s="42"/>
      <c r="L361" s="379">
        <v>0</v>
      </c>
      <c r="M361" s="379">
        <v>0</v>
      </c>
      <c r="N361" s="379">
        <v>0</v>
      </c>
      <c r="O361" s="379">
        <v>0</v>
      </c>
      <c r="P361" s="379">
        <v>0</v>
      </c>
      <c r="Q361" s="1475">
        <f>L361*$H360</f>
        <v>0</v>
      </c>
      <c r="R361" s="1475">
        <f>M361*$H360</f>
        <v>0</v>
      </c>
      <c r="S361" s="1475">
        <f>N361*$H360</f>
        <v>0</v>
      </c>
      <c r="T361" s="1475">
        <f>O361*$H360</f>
        <v>0</v>
      </c>
      <c r="U361" s="1475">
        <f>P361*$H360</f>
        <v>0</v>
      </c>
      <c r="V361" s="1476">
        <f t="shared" si="171"/>
        <v>0</v>
      </c>
    </row>
    <row r="362" spans="1:22" s="39" customFormat="1" ht="24" customHeight="1">
      <c r="A362" s="1860">
        <v>1</v>
      </c>
      <c r="B362" s="1860"/>
      <c r="C362" s="1860"/>
      <c r="D362" s="1860"/>
      <c r="E362" s="1839"/>
      <c r="F362" s="1841"/>
      <c r="G362" s="1910"/>
      <c r="H362" s="1596"/>
      <c r="I362" s="1718"/>
      <c r="J362" s="40" t="s">
        <v>90</v>
      </c>
      <c r="K362" s="42"/>
      <c r="L362" s="364">
        <v>0</v>
      </c>
      <c r="M362" s="364">
        <v>0</v>
      </c>
      <c r="N362" s="364">
        <v>0</v>
      </c>
      <c r="O362" s="364">
        <v>0</v>
      </c>
      <c r="P362" s="364">
        <v>0</v>
      </c>
      <c r="Q362" s="1475">
        <f>L362*$H360</f>
        <v>0</v>
      </c>
      <c r="R362" s="1475">
        <f>M362*$H360</f>
        <v>0</v>
      </c>
      <c r="S362" s="1475">
        <f>N362*$H360</f>
        <v>0</v>
      </c>
      <c r="T362" s="1475">
        <f>O362*$H360</f>
        <v>0</v>
      </c>
      <c r="U362" s="1475">
        <f>P362*$H360</f>
        <v>0</v>
      </c>
      <c r="V362" s="1476">
        <f t="shared" si="171"/>
        <v>0</v>
      </c>
    </row>
    <row r="363" spans="1:22" s="39" customFormat="1" ht="24" customHeight="1">
      <c r="A363" s="1860">
        <v>1</v>
      </c>
      <c r="B363" s="1860"/>
      <c r="C363" s="1860"/>
      <c r="D363" s="1860"/>
      <c r="E363" s="1839"/>
      <c r="F363" s="1841"/>
      <c r="G363" s="1910"/>
      <c r="H363" s="1596"/>
      <c r="I363" s="1718"/>
      <c r="J363" s="40" t="s">
        <v>83</v>
      </c>
      <c r="K363" s="42"/>
      <c r="L363" s="364">
        <v>0</v>
      </c>
      <c r="M363" s="364">
        <v>0</v>
      </c>
      <c r="N363" s="364">
        <v>0</v>
      </c>
      <c r="O363" s="364">
        <v>0</v>
      </c>
      <c r="P363" s="364">
        <v>0</v>
      </c>
      <c r="Q363" s="1475">
        <f>L363*$H360</f>
        <v>0</v>
      </c>
      <c r="R363" s="1475">
        <f>M363*$H360</f>
        <v>0</v>
      </c>
      <c r="S363" s="1475">
        <f>N363*$H360</f>
        <v>0</v>
      </c>
      <c r="T363" s="1475">
        <f>O363*$H360</f>
        <v>0</v>
      </c>
      <c r="U363" s="1475">
        <f>P363*$H360</f>
        <v>0</v>
      </c>
      <c r="V363" s="1476">
        <f t="shared" si="171"/>
        <v>0</v>
      </c>
    </row>
    <row r="364" spans="1:22" s="39" customFormat="1" ht="24" customHeight="1">
      <c r="A364" s="1860">
        <v>1</v>
      </c>
      <c r="B364" s="1860"/>
      <c r="C364" s="1860"/>
      <c r="D364" s="1860"/>
      <c r="E364" s="1839"/>
      <c r="F364" s="1841"/>
      <c r="G364" s="1911"/>
      <c r="H364" s="1618"/>
      <c r="I364" s="1855"/>
      <c r="J364" s="40" t="s">
        <v>84</v>
      </c>
      <c r="K364" s="42"/>
      <c r="L364" s="364">
        <f>L355-L356</f>
        <v>3000</v>
      </c>
      <c r="M364" s="364">
        <f t="shared" ref="M364:P364" si="172">M355-M356</f>
        <v>3300.0000000000005</v>
      </c>
      <c r="N364" s="364">
        <f t="shared" si="172"/>
        <v>3630.0000000000009</v>
      </c>
      <c r="O364" s="364">
        <f t="shared" si="172"/>
        <v>3993.0000000000014</v>
      </c>
      <c r="P364" s="364">
        <f t="shared" si="172"/>
        <v>4392.300000000002</v>
      </c>
      <c r="Q364" s="1475">
        <f t="shared" ref="Q364:U364" si="173">Q355-Q356</f>
        <v>2400000</v>
      </c>
      <c r="R364" s="1475">
        <f t="shared" si="173"/>
        <v>2640000.0000000005</v>
      </c>
      <c r="S364" s="1475">
        <f t="shared" si="173"/>
        <v>2904000.0000000009</v>
      </c>
      <c r="T364" s="1475">
        <f t="shared" si="173"/>
        <v>3194400.0000000009</v>
      </c>
      <c r="U364" s="1475">
        <f t="shared" si="173"/>
        <v>3513840.0000000014</v>
      </c>
      <c r="V364" s="1476">
        <f t="shared" si="171"/>
        <v>14652240.000000004</v>
      </c>
    </row>
    <row r="365" spans="1:22" s="59" customFormat="1" ht="24" customHeight="1">
      <c r="A365" s="1860">
        <v>1</v>
      </c>
      <c r="B365" s="1860">
        <v>2</v>
      </c>
      <c r="C365" s="1860">
        <v>5</v>
      </c>
      <c r="D365" s="1860">
        <v>4</v>
      </c>
      <c r="E365" s="1839" t="s">
        <v>49</v>
      </c>
      <c r="F365" s="1957" t="str">
        <f>CONCATENATE(A365,".",B365,".",C365,".",D365,)</f>
        <v>1.2.5.4</v>
      </c>
      <c r="G365" s="1761" t="s">
        <v>1180</v>
      </c>
      <c r="H365" s="1685" t="s">
        <v>142</v>
      </c>
      <c r="I365" s="1714" t="s">
        <v>1136</v>
      </c>
      <c r="J365" s="36" t="s">
        <v>79</v>
      </c>
      <c r="K365" s="891"/>
      <c r="L365" s="379">
        <v>1</v>
      </c>
      <c r="M365" s="379">
        <v>0</v>
      </c>
      <c r="N365" s="379">
        <v>0</v>
      </c>
      <c r="O365" s="379">
        <v>1</v>
      </c>
      <c r="P365" s="379">
        <v>0</v>
      </c>
      <c r="Q365" s="1475">
        <f>L365*H370</f>
        <v>73449.600000000006</v>
      </c>
      <c r="R365" s="1475">
        <f>M365*H370</f>
        <v>0</v>
      </c>
      <c r="S365" s="1475">
        <f>N365*H370</f>
        <v>0</v>
      </c>
      <c r="T365" s="1475">
        <f>O365*H370</f>
        <v>73449.600000000006</v>
      </c>
      <c r="U365" s="1475">
        <f>P365*H370</f>
        <v>0</v>
      </c>
      <c r="V365" s="1476">
        <f t="shared" ref="V365:V366" si="174">SUM(Q365:U365)</f>
        <v>146899.20000000001</v>
      </c>
    </row>
    <row r="366" spans="1:22" s="39" customFormat="1" ht="24" customHeight="1">
      <c r="A366" s="1860">
        <v>1</v>
      </c>
      <c r="B366" s="1860"/>
      <c r="C366" s="1860"/>
      <c r="D366" s="1860"/>
      <c r="E366" s="1839"/>
      <c r="F366" s="1957"/>
      <c r="G366" s="1762"/>
      <c r="H366" s="1685"/>
      <c r="I366" s="1715"/>
      <c r="J366" s="40" t="s">
        <v>80</v>
      </c>
      <c r="K366" s="42"/>
      <c r="L366" s="364">
        <f t="shared" ref="L366:P366" si="175">SUM(L367:L373)</f>
        <v>1</v>
      </c>
      <c r="M366" s="364">
        <f t="shared" si="175"/>
        <v>0</v>
      </c>
      <c r="N366" s="364">
        <f t="shared" si="175"/>
        <v>0</v>
      </c>
      <c r="O366" s="364">
        <f t="shared" si="175"/>
        <v>0</v>
      </c>
      <c r="P366" s="364">
        <f t="shared" si="175"/>
        <v>0</v>
      </c>
      <c r="Q366" s="1475">
        <f t="shared" ref="Q366:U366" si="176">SUM(Q367:Q373)</f>
        <v>73449.600000000006</v>
      </c>
      <c r="R366" s="1475">
        <f t="shared" si="176"/>
        <v>0</v>
      </c>
      <c r="S366" s="1475">
        <f t="shared" si="176"/>
        <v>0</v>
      </c>
      <c r="T366" s="1475">
        <f t="shared" si="176"/>
        <v>0</v>
      </c>
      <c r="U366" s="1475">
        <f t="shared" si="176"/>
        <v>0</v>
      </c>
      <c r="V366" s="1476">
        <f t="shared" si="174"/>
        <v>73449.600000000006</v>
      </c>
    </row>
    <row r="367" spans="1:22" s="39" customFormat="1" ht="24" customHeight="1">
      <c r="A367" s="1860">
        <v>1</v>
      </c>
      <c r="B367" s="1860"/>
      <c r="C367" s="1860"/>
      <c r="D367" s="1860"/>
      <c r="E367" s="1839"/>
      <c r="F367" s="1957"/>
      <c r="G367" s="1762"/>
      <c r="H367" s="1685"/>
      <c r="I367" s="1715"/>
      <c r="J367" s="40" t="s">
        <v>429</v>
      </c>
      <c r="K367" s="42"/>
      <c r="L367" s="364">
        <v>0</v>
      </c>
      <c r="M367" s="364">
        <v>0</v>
      </c>
      <c r="N367" s="364">
        <v>0</v>
      </c>
      <c r="O367" s="364">
        <v>0</v>
      </c>
      <c r="P367" s="364">
        <v>0</v>
      </c>
      <c r="Q367" s="1475">
        <f>L367*$H370</f>
        <v>0</v>
      </c>
      <c r="R367" s="1475">
        <f>M367*$H370</f>
        <v>0</v>
      </c>
      <c r="S367" s="1475">
        <f>N367*$H370</f>
        <v>0</v>
      </c>
      <c r="T367" s="1475">
        <f>O367*$H370</f>
        <v>0</v>
      </c>
      <c r="U367" s="1475">
        <f>P367*$H370</f>
        <v>0</v>
      </c>
      <c r="V367" s="1476">
        <f t="shared" ref="V367:V374" si="177">SUM(Q367:U367)</f>
        <v>0</v>
      </c>
    </row>
    <row r="368" spans="1:22" s="39" customFormat="1" ht="24" customHeight="1">
      <c r="A368" s="1860">
        <v>1</v>
      </c>
      <c r="B368" s="1860"/>
      <c r="C368" s="1860"/>
      <c r="D368" s="1860"/>
      <c r="E368" s="1839"/>
      <c r="F368" s="1957"/>
      <c r="G368" s="1762"/>
      <c r="H368" s="1685"/>
      <c r="I368" s="1715"/>
      <c r="J368" s="40" t="s">
        <v>133</v>
      </c>
      <c r="K368" s="42"/>
      <c r="L368" s="364">
        <v>0</v>
      </c>
      <c r="M368" s="364">
        <v>0</v>
      </c>
      <c r="N368" s="364">
        <v>0</v>
      </c>
      <c r="O368" s="364">
        <v>0</v>
      </c>
      <c r="P368" s="364">
        <v>0</v>
      </c>
      <c r="Q368" s="1475">
        <f>L368*$H370</f>
        <v>0</v>
      </c>
      <c r="R368" s="1475">
        <f>M368*$H370</f>
        <v>0</v>
      </c>
      <c r="S368" s="1475">
        <f>N368*$H370</f>
        <v>0</v>
      </c>
      <c r="T368" s="1475">
        <f>O368*$H370</f>
        <v>0</v>
      </c>
      <c r="U368" s="1475">
        <f>P368*$H370</f>
        <v>0</v>
      </c>
      <c r="V368" s="1476">
        <f t="shared" si="177"/>
        <v>0</v>
      </c>
    </row>
    <row r="369" spans="1:22" s="39" customFormat="1" ht="24" customHeight="1">
      <c r="A369" s="1860">
        <v>1</v>
      </c>
      <c r="B369" s="1860"/>
      <c r="C369" s="1860"/>
      <c r="D369" s="1860"/>
      <c r="E369" s="1839"/>
      <c r="F369" s="1957"/>
      <c r="G369" s="1762"/>
      <c r="H369" s="1685"/>
      <c r="I369" s="1715"/>
      <c r="J369" s="40" t="s">
        <v>81</v>
      </c>
      <c r="K369" s="42"/>
      <c r="L369" s="364">
        <v>0</v>
      </c>
      <c r="M369" s="364">
        <v>0</v>
      </c>
      <c r="N369" s="364">
        <v>0</v>
      </c>
      <c r="O369" s="364">
        <v>0</v>
      </c>
      <c r="P369" s="364">
        <v>0</v>
      </c>
      <c r="Q369" s="1475">
        <f>L369*$H370</f>
        <v>0</v>
      </c>
      <c r="R369" s="1475">
        <f>M369*$H370</f>
        <v>0</v>
      </c>
      <c r="S369" s="1475">
        <f>N369*$H370</f>
        <v>0</v>
      </c>
      <c r="T369" s="1475">
        <f>O369*$H370</f>
        <v>0</v>
      </c>
      <c r="U369" s="1475">
        <f>P369*$H370</f>
        <v>0</v>
      </c>
      <c r="V369" s="1476">
        <f t="shared" si="177"/>
        <v>0</v>
      </c>
    </row>
    <row r="370" spans="1:22" s="39" customFormat="1" ht="24" customHeight="1">
      <c r="A370" s="1860">
        <v>1</v>
      </c>
      <c r="B370" s="1860"/>
      <c r="C370" s="1860"/>
      <c r="D370" s="1860"/>
      <c r="E370" s="1839"/>
      <c r="F370" s="1957"/>
      <c r="G370" s="1762"/>
      <c r="H370" s="1756">
        <f>'Budget assumption'!H58</f>
        <v>73449.600000000006</v>
      </c>
      <c r="I370" s="1715"/>
      <c r="J370" s="40" t="s">
        <v>134</v>
      </c>
      <c r="K370" s="42"/>
      <c r="L370" s="364">
        <v>0</v>
      </c>
      <c r="M370" s="364">
        <v>0</v>
      </c>
      <c r="N370" s="364">
        <v>0</v>
      </c>
      <c r="O370" s="364">
        <v>0</v>
      </c>
      <c r="P370" s="364">
        <v>0</v>
      </c>
      <c r="Q370" s="1475">
        <f>L370*$H370</f>
        <v>0</v>
      </c>
      <c r="R370" s="1475">
        <f>M370*$H370</f>
        <v>0</v>
      </c>
      <c r="S370" s="1475">
        <f>N370*$H370</f>
        <v>0</v>
      </c>
      <c r="T370" s="1475">
        <f>O370*$H370</f>
        <v>0</v>
      </c>
      <c r="U370" s="1475">
        <f>P370*$H370</f>
        <v>0</v>
      </c>
      <c r="V370" s="1476">
        <f t="shared" si="177"/>
        <v>0</v>
      </c>
    </row>
    <row r="371" spans="1:22" s="39" customFormat="1" ht="24" customHeight="1">
      <c r="A371" s="1860">
        <v>1</v>
      </c>
      <c r="B371" s="1860"/>
      <c r="C371" s="1860"/>
      <c r="D371" s="1860"/>
      <c r="E371" s="1839"/>
      <c r="F371" s="1957"/>
      <c r="G371" s="1762"/>
      <c r="H371" s="1757"/>
      <c r="I371" s="1715"/>
      <c r="J371" s="40" t="s">
        <v>82</v>
      </c>
      <c r="K371" s="42"/>
      <c r="L371" s="379">
        <v>1</v>
      </c>
      <c r="M371" s="379">
        <v>0</v>
      </c>
      <c r="N371" s="379">
        <v>0</v>
      </c>
      <c r="O371" s="379">
        <v>0</v>
      </c>
      <c r="P371" s="379">
        <v>0</v>
      </c>
      <c r="Q371" s="1475">
        <f>L371*$H370</f>
        <v>73449.600000000006</v>
      </c>
      <c r="R371" s="1475">
        <f>M371*$H370</f>
        <v>0</v>
      </c>
      <c r="S371" s="1475">
        <f>N371*$H370</f>
        <v>0</v>
      </c>
      <c r="T371" s="1475">
        <f>O371*$H370</f>
        <v>0</v>
      </c>
      <c r="U371" s="1475">
        <f>P371*$H370</f>
        <v>0</v>
      </c>
      <c r="V371" s="1476">
        <f t="shared" si="177"/>
        <v>73449.600000000006</v>
      </c>
    </row>
    <row r="372" spans="1:22" s="39" customFormat="1" ht="24" customHeight="1">
      <c r="A372" s="1860">
        <v>1</v>
      </c>
      <c r="B372" s="1860"/>
      <c r="C372" s="1860"/>
      <c r="D372" s="1860"/>
      <c r="E372" s="1839"/>
      <c r="F372" s="1957"/>
      <c r="G372" s="1762"/>
      <c r="H372" s="1757"/>
      <c r="I372" s="1715"/>
      <c r="J372" s="40" t="s">
        <v>90</v>
      </c>
      <c r="K372" s="42"/>
      <c r="L372" s="364">
        <v>0</v>
      </c>
      <c r="M372" s="364">
        <v>0</v>
      </c>
      <c r="N372" s="364">
        <v>0</v>
      </c>
      <c r="O372" s="364">
        <v>0</v>
      </c>
      <c r="P372" s="364">
        <v>0</v>
      </c>
      <c r="Q372" s="1475">
        <f>L372*$H370</f>
        <v>0</v>
      </c>
      <c r="R372" s="1475">
        <f>M372*$H370</f>
        <v>0</v>
      </c>
      <c r="S372" s="1475">
        <f>N372*$H370</f>
        <v>0</v>
      </c>
      <c r="T372" s="1475">
        <f>O372*$H370</f>
        <v>0</v>
      </c>
      <c r="U372" s="1475">
        <f>P372*$H370</f>
        <v>0</v>
      </c>
      <c r="V372" s="1476">
        <f t="shared" si="177"/>
        <v>0</v>
      </c>
    </row>
    <row r="373" spans="1:22" s="39" customFormat="1" ht="24" customHeight="1">
      <c r="A373" s="1860">
        <v>1</v>
      </c>
      <c r="B373" s="1860"/>
      <c r="C373" s="1860"/>
      <c r="D373" s="1860"/>
      <c r="E373" s="1839"/>
      <c r="F373" s="1957"/>
      <c r="G373" s="1762"/>
      <c r="H373" s="1757"/>
      <c r="I373" s="1715"/>
      <c r="J373" s="40" t="s">
        <v>83</v>
      </c>
      <c r="K373" s="42"/>
      <c r="L373" s="364">
        <v>0</v>
      </c>
      <c r="M373" s="364">
        <v>0</v>
      </c>
      <c r="N373" s="364">
        <v>0</v>
      </c>
      <c r="O373" s="364">
        <v>0</v>
      </c>
      <c r="P373" s="364">
        <v>0</v>
      </c>
      <c r="Q373" s="1475">
        <f>L373*$H370</f>
        <v>0</v>
      </c>
      <c r="R373" s="1475">
        <f>M373*$H370</f>
        <v>0</v>
      </c>
      <c r="S373" s="1475">
        <f>N373*$H370</f>
        <v>0</v>
      </c>
      <c r="T373" s="1475">
        <f>O373*$H370</f>
        <v>0</v>
      </c>
      <c r="U373" s="1475">
        <f>P373*$H370</f>
        <v>0</v>
      </c>
      <c r="V373" s="1476">
        <f t="shared" si="177"/>
        <v>0</v>
      </c>
    </row>
    <row r="374" spans="1:22" s="39" customFormat="1" ht="24" customHeight="1">
      <c r="A374" s="1860">
        <v>1</v>
      </c>
      <c r="B374" s="1860"/>
      <c r="C374" s="1860"/>
      <c r="D374" s="1860"/>
      <c r="E374" s="1839"/>
      <c r="F374" s="1957"/>
      <c r="G374" s="1763"/>
      <c r="H374" s="1758"/>
      <c r="I374" s="1755"/>
      <c r="J374" s="40" t="s">
        <v>84</v>
      </c>
      <c r="K374" s="42"/>
      <c r="L374" s="364">
        <f>L365-L366</f>
        <v>0</v>
      </c>
      <c r="M374" s="364">
        <f t="shared" ref="M374:U374" si="178">M365-M366</f>
        <v>0</v>
      </c>
      <c r="N374" s="364">
        <f t="shared" si="178"/>
        <v>0</v>
      </c>
      <c r="O374" s="364">
        <f t="shared" si="178"/>
        <v>1</v>
      </c>
      <c r="P374" s="364">
        <f t="shared" si="178"/>
        <v>0</v>
      </c>
      <c r="Q374" s="1475">
        <f t="shared" si="178"/>
        <v>0</v>
      </c>
      <c r="R374" s="1475">
        <f t="shared" si="178"/>
        <v>0</v>
      </c>
      <c r="S374" s="1475">
        <f t="shared" si="178"/>
        <v>0</v>
      </c>
      <c r="T374" s="1475">
        <f t="shared" si="178"/>
        <v>73449.600000000006</v>
      </c>
      <c r="U374" s="1475">
        <f t="shared" si="178"/>
        <v>0</v>
      </c>
      <c r="V374" s="1476">
        <f t="shared" si="177"/>
        <v>73449.600000000006</v>
      </c>
    </row>
    <row r="375" spans="1:22" s="59" customFormat="1" ht="24" customHeight="1">
      <c r="A375" s="1860">
        <v>1</v>
      </c>
      <c r="B375" s="1860">
        <v>2</v>
      </c>
      <c r="C375" s="1860">
        <v>5</v>
      </c>
      <c r="D375" s="1860">
        <v>5</v>
      </c>
      <c r="E375" s="1839" t="s">
        <v>49</v>
      </c>
      <c r="F375" s="1957" t="str">
        <f>CONCATENATE(A375,".",B375,".",C375,".",D375,)</f>
        <v>1.2.5.5</v>
      </c>
      <c r="G375" s="1761" t="s">
        <v>1181</v>
      </c>
      <c r="H375" s="1685" t="s">
        <v>142</v>
      </c>
      <c r="I375" s="1714" t="s">
        <v>1135</v>
      </c>
      <c r="J375" s="36" t="s">
        <v>79</v>
      </c>
      <c r="K375" s="891"/>
      <c r="L375" s="379">
        <v>2</v>
      </c>
      <c r="M375" s="379">
        <v>2</v>
      </c>
      <c r="N375" s="379">
        <v>2</v>
      </c>
      <c r="O375" s="379">
        <v>2</v>
      </c>
      <c r="P375" s="379">
        <v>2</v>
      </c>
      <c r="Q375" s="1475">
        <f>L375*H380</f>
        <v>89682.6</v>
      </c>
      <c r="R375" s="1475">
        <f>M375*H380</f>
        <v>89682.6</v>
      </c>
      <c r="S375" s="1475">
        <f>N375*H380</f>
        <v>89682.6</v>
      </c>
      <c r="T375" s="1475">
        <f>O375*H380</f>
        <v>89682.6</v>
      </c>
      <c r="U375" s="1475">
        <f>P375*H380</f>
        <v>89682.6</v>
      </c>
      <c r="V375" s="1476">
        <f t="shared" ref="V375:V376" si="179">SUM(Q375:U375)</f>
        <v>448413</v>
      </c>
    </row>
    <row r="376" spans="1:22" s="39" customFormat="1" ht="24" customHeight="1">
      <c r="A376" s="1860">
        <v>1</v>
      </c>
      <c r="B376" s="1860"/>
      <c r="C376" s="1860"/>
      <c r="D376" s="1860"/>
      <c r="E376" s="1839"/>
      <c r="F376" s="1957"/>
      <c r="G376" s="1762"/>
      <c r="H376" s="1685"/>
      <c r="I376" s="1715"/>
      <c r="J376" s="40" t="s">
        <v>80</v>
      </c>
      <c r="K376" s="42"/>
      <c r="L376" s="364">
        <f t="shared" ref="L376:N376" si="180">SUM(L377:L383)</f>
        <v>2</v>
      </c>
      <c r="M376" s="364">
        <f t="shared" si="180"/>
        <v>2</v>
      </c>
      <c r="N376" s="364">
        <f t="shared" si="180"/>
        <v>2</v>
      </c>
      <c r="O376" s="364">
        <f>SUM(O377:O383)</f>
        <v>0</v>
      </c>
      <c r="P376" s="364">
        <f>SUM(P377:P383)</f>
        <v>0</v>
      </c>
      <c r="Q376" s="1475">
        <f t="shared" ref="Q376:U376" si="181">SUM(Q377:Q383)</f>
        <v>89682.6</v>
      </c>
      <c r="R376" s="1475">
        <f t="shared" si="181"/>
        <v>89682.6</v>
      </c>
      <c r="S376" s="1475">
        <f t="shared" si="181"/>
        <v>89682.6</v>
      </c>
      <c r="T376" s="1475">
        <f t="shared" si="181"/>
        <v>0</v>
      </c>
      <c r="U376" s="1475">
        <f t="shared" si="181"/>
        <v>0</v>
      </c>
      <c r="V376" s="1476">
        <f t="shared" si="179"/>
        <v>269047.80000000005</v>
      </c>
    </row>
    <row r="377" spans="1:22" s="39" customFormat="1" ht="24" customHeight="1">
      <c r="A377" s="1860">
        <v>1</v>
      </c>
      <c r="B377" s="1860"/>
      <c r="C377" s="1860"/>
      <c r="D377" s="1860"/>
      <c r="E377" s="1839"/>
      <c r="F377" s="1957"/>
      <c r="G377" s="1762"/>
      <c r="H377" s="1685"/>
      <c r="I377" s="1715"/>
      <c r="J377" s="40" t="s">
        <v>429</v>
      </c>
      <c r="K377" s="42"/>
      <c r="L377" s="364">
        <v>0</v>
      </c>
      <c r="M377" s="364">
        <v>0</v>
      </c>
      <c r="N377" s="364">
        <v>0</v>
      </c>
      <c r="O377" s="364">
        <v>0</v>
      </c>
      <c r="P377" s="364">
        <v>0</v>
      </c>
      <c r="Q377" s="1475">
        <f>L377*$H380</f>
        <v>0</v>
      </c>
      <c r="R377" s="1475">
        <f>M377*$H380</f>
        <v>0</v>
      </c>
      <c r="S377" s="1475">
        <f>N377*$H380</f>
        <v>0</v>
      </c>
      <c r="T377" s="1475">
        <f>O377*$H380</f>
        <v>0</v>
      </c>
      <c r="U377" s="1475">
        <f>P377*$H380</f>
        <v>0</v>
      </c>
      <c r="V377" s="1476">
        <f t="shared" ref="V377:V384" si="182">SUM(Q377:U377)</f>
        <v>0</v>
      </c>
    </row>
    <row r="378" spans="1:22" s="39" customFormat="1" ht="24" customHeight="1">
      <c r="A378" s="1860">
        <v>1</v>
      </c>
      <c r="B378" s="1860"/>
      <c r="C378" s="1860"/>
      <c r="D378" s="1860"/>
      <c r="E378" s="1839"/>
      <c r="F378" s="1957"/>
      <c r="G378" s="1762"/>
      <c r="H378" s="1685"/>
      <c r="I378" s="1715"/>
      <c r="J378" s="40" t="s">
        <v>133</v>
      </c>
      <c r="K378" s="42"/>
      <c r="L378" s="364">
        <v>0</v>
      </c>
      <c r="M378" s="364">
        <v>0</v>
      </c>
      <c r="N378" s="364">
        <v>0</v>
      </c>
      <c r="O378" s="364">
        <v>0</v>
      </c>
      <c r="P378" s="364">
        <v>0</v>
      </c>
      <c r="Q378" s="1475">
        <f>L378*$H380</f>
        <v>0</v>
      </c>
      <c r="R378" s="1475">
        <f>M378*$H380</f>
        <v>0</v>
      </c>
      <c r="S378" s="1475">
        <f>N378*$H380</f>
        <v>0</v>
      </c>
      <c r="T378" s="1475">
        <f>O378*$H380</f>
        <v>0</v>
      </c>
      <c r="U378" s="1475">
        <f>P378*$H380</f>
        <v>0</v>
      </c>
      <c r="V378" s="1476">
        <f t="shared" si="182"/>
        <v>0</v>
      </c>
    </row>
    <row r="379" spans="1:22" s="39" customFormat="1" ht="24" customHeight="1">
      <c r="A379" s="1860">
        <v>1</v>
      </c>
      <c r="B379" s="1860"/>
      <c r="C379" s="1860"/>
      <c r="D379" s="1860"/>
      <c r="E379" s="1839"/>
      <c r="F379" s="1957"/>
      <c r="G379" s="1762"/>
      <c r="H379" s="1685"/>
      <c r="I379" s="1715"/>
      <c r="J379" s="40" t="s">
        <v>81</v>
      </c>
      <c r="K379" s="42"/>
      <c r="L379" s="364">
        <v>0</v>
      </c>
      <c r="M379" s="364">
        <v>0</v>
      </c>
      <c r="N379" s="364">
        <v>0</v>
      </c>
      <c r="O379" s="364">
        <v>0</v>
      </c>
      <c r="P379" s="364">
        <v>0</v>
      </c>
      <c r="Q379" s="1475">
        <f>L379*$H380</f>
        <v>0</v>
      </c>
      <c r="R379" s="1475">
        <f>M379*$H380</f>
        <v>0</v>
      </c>
      <c r="S379" s="1475">
        <f>N379*$H380</f>
        <v>0</v>
      </c>
      <c r="T379" s="1475">
        <f>O379*$H380</f>
        <v>0</v>
      </c>
      <c r="U379" s="1475">
        <f>P379*$H380</f>
        <v>0</v>
      </c>
      <c r="V379" s="1476">
        <f t="shared" si="182"/>
        <v>0</v>
      </c>
    </row>
    <row r="380" spans="1:22" s="39" customFormat="1" ht="24" customHeight="1">
      <c r="A380" s="1860">
        <v>1</v>
      </c>
      <c r="B380" s="1860"/>
      <c r="C380" s="1860"/>
      <c r="D380" s="1860"/>
      <c r="E380" s="1839"/>
      <c r="F380" s="1957"/>
      <c r="G380" s="1762"/>
      <c r="H380" s="1756">
        <f>'Budget assumption'!H43</f>
        <v>44841.3</v>
      </c>
      <c r="I380" s="1715"/>
      <c r="J380" s="40" t="s">
        <v>134</v>
      </c>
      <c r="K380" s="42"/>
      <c r="L380" s="364">
        <v>0</v>
      </c>
      <c r="M380" s="364">
        <v>0</v>
      </c>
      <c r="N380" s="364">
        <v>0</v>
      </c>
      <c r="O380" s="364">
        <v>0</v>
      </c>
      <c r="P380" s="364">
        <v>0</v>
      </c>
      <c r="Q380" s="1475">
        <f>L380*$H380</f>
        <v>0</v>
      </c>
      <c r="R380" s="1475">
        <f>M380*$H380</f>
        <v>0</v>
      </c>
      <c r="S380" s="1475">
        <f>N380*$H380</f>
        <v>0</v>
      </c>
      <c r="T380" s="1475">
        <f>O380*$H380</f>
        <v>0</v>
      </c>
      <c r="U380" s="1475">
        <f>P380*$H380</f>
        <v>0</v>
      </c>
      <c r="V380" s="1476">
        <f t="shared" si="182"/>
        <v>0</v>
      </c>
    </row>
    <row r="381" spans="1:22" s="39" customFormat="1" ht="24" customHeight="1">
      <c r="A381" s="1860">
        <v>1</v>
      </c>
      <c r="B381" s="1860"/>
      <c r="C381" s="1860"/>
      <c r="D381" s="1860"/>
      <c r="E381" s="1839"/>
      <c r="F381" s="1957"/>
      <c r="G381" s="1762"/>
      <c r="H381" s="1757"/>
      <c r="I381" s="1715"/>
      <c r="J381" s="40" t="s">
        <v>82</v>
      </c>
      <c r="K381" s="42"/>
      <c r="L381" s="379">
        <v>2</v>
      </c>
      <c r="M381" s="379">
        <v>2</v>
      </c>
      <c r="N381" s="379">
        <v>2</v>
      </c>
      <c r="O381" s="379">
        <v>0</v>
      </c>
      <c r="P381" s="379">
        <v>0</v>
      </c>
      <c r="Q381" s="1475">
        <f>L381*$H380</f>
        <v>89682.6</v>
      </c>
      <c r="R381" s="1475">
        <f>M381*$H380</f>
        <v>89682.6</v>
      </c>
      <c r="S381" s="1475">
        <f>N381*$H380</f>
        <v>89682.6</v>
      </c>
      <c r="T381" s="1475">
        <f>O381*$H380</f>
        <v>0</v>
      </c>
      <c r="U381" s="1475">
        <f>P381*$H380</f>
        <v>0</v>
      </c>
      <c r="V381" s="1476">
        <f t="shared" si="182"/>
        <v>269047.80000000005</v>
      </c>
    </row>
    <row r="382" spans="1:22" s="39" customFormat="1" ht="24" customHeight="1">
      <c r="A382" s="1860">
        <v>1</v>
      </c>
      <c r="B382" s="1860"/>
      <c r="C382" s="1860"/>
      <c r="D382" s="1860"/>
      <c r="E382" s="1839"/>
      <c r="F382" s="1957"/>
      <c r="G382" s="1762"/>
      <c r="H382" s="1757"/>
      <c r="I382" s="1715"/>
      <c r="J382" s="40" t="s">
        <v>90</v>
      </c>
      <c r="K382" s="42"/>
      <c r="L382" s="364">
        <v>0</v>
      </c>
      <c r="M382" s="364">
        <v>0</v>
      </c>
      <c r="N382" s="364">
        <v>0</v>
      </c>
      <c r="O382" s="364">
        <v>0</v>
      </c>
      <c r="P382" s="364">
        <v>0</v>
      </c>
      <c r="Q382" s="1475">
        <f>L382*$H380</f>
        <v>0</v>
      </c>
      <c r="R382" s="1475">
        <f>M382*$H380</f>
        <v>0</v>
      </c>
      <c r="S382" s="1475">
        <f>N382*$H380</f>
        <v>0</v>
      </c>
      <c r="T382" s="1475">
        <f>O382*$H380</f>
        <v>0</v>
      </c>
      <c r="U382" s="1475">
        <f>P382*$H380</f>
        <v>0</v>
      </c>
      <c r="V382" s="1476">
        <f t="shared" si="182"/>
        <v>0</v>
      </c>
    </row>
    <row r="383" spans="1:22" s="39" customFormat="1" ht="24" customHeight="1">
      <c r="A383" s="1860">
        <v>1</v>
      </c>
      <c r="B383" s="1860"/>
      <c r="C383" s="1860"/>
      <c r="D383" s="1860"/>
      <c r="E383" s="1839"/>
      <c r="F383" s="1957"/>
      <c r="G383" s="1762"/>
      <c r="H383" s="1757"/>
      <c r="I383" s="1715"/>
      <c r="J383" s="40" t="s">
        <v>83</v>
      </c>
      <c r="K383" s="42"/>
      <c r="L383" s="364">
        <v>0</v>
      </c>
      <c r="M383" s="364">
        <v>0</v>
      </c>
      <c r="N383" s="364">
        <v>0</v>
      </c>
      <c r="O383" s="364">
        <v>0</v>
      </c>
      <c r="P383" s="364">
        <v>0</v>
      </c>
      <c r="Q383" s="1475">
        <f>L383*$H380</f>
        <v>0</v>
      </c>
      <c r="R383" s="1475">
        <f>M383*$H380</f>
        <v>0</v>
      </c>
      <c r="S383" s="1475">
        <f>N383*$H380</f>
        <v>0</v>
      </c>
      <c r="T383" s="1475">
        <f>O383*$H380</f>
        <v>0</v>
      </c>
      <c r="U383" s="1475">
        <f>P383*$H380</f>
        <v>0</v>
      </c>
      <c r="V383" s="1476">
        <f t="shared" si="182"/>
        <v>0</v>
      </c>
    </row>
    <row r="384" spans="1:22" s="39" customFormat="1" ht="24" customHeight="1">
      <c r="A384" s="1860">
        <v>1</v>
      </c>
      <c r="B384" s="1860"/>
      <c r="C384" s="1860"/>
      <c r="D384" s="1860"/>
      <c r="E384" s="1839"/>
      <c r="F384" s="1957"/>
      <c r="G384" s="1763"/>
      <c r="H384" s="1758"/>
      <c r="I384" s="1755"/>
      <c r="J384" s="40" t="s">
        <v>84</v>
      </c>
      <c r="K384" s="42"/>
      <c r="L384" s="364">
        <f>L375-L376</f>
        <v>0</v>
      </c>
      <c r="M384" s="364">
        <f t="shared" ref="M384:U384" si="183">M375-M376</f>
        <v>0</v>
      </c>
      <c r="N384" s="364">
        <f t="shared" si="183"/>
        <v>0</v>
      </c>
      <c r="O384" s="364">
        <f t="shared" si="183"/>
        <v>2</v>
      </c>
      <c r="P384" s="364">
        <f t="shared" si="183"/>
        <v>2</v>
      </c>
      <c r="Q384" s="1475">
        <f t="shared" si="183"/>
        <v>0</v>
      </c>
      <c r="R384" s="1475">
        <f t="shared" si="183"/>
        <v>0</v>
      </c>
      <c r="S384" s="1475">
        <f t="shared" si="183"/>
        <v>0</v>
      </c>
      <c r="T384" s="1475">
        <f t="shared" si="183"/>
        <v>89682.6</v>
      </c>
      <c r="U384" s="1475">
        <f t="shared" si="183"/>
        <v>89682.6</v>
      </c>
      <c r="V384" s="1476">
        <f t="shared" si="182"/>
        <v>179365.2</v>
      </c>
    </row>
    <row r="385" spans="1:22" s="59" customFormat="1" ht="24" customHeight="1">
      <c r="A385" s="1860">
        <v>1</v>
      </c>
      <c r="B385" s="1860">
        <v>2</v>
      </c>
      <c r="C385" s="1860">
        <v>5</v>
      </c>
      <c r="D385" s="1860">
        <v>6</v>
      </c>
      <c r="E385" s="1839" t="s">
        <v>49</v>
      </c>
      <c r="F385" s="1957" t="str">
        <f>CONCATENATE(A385,".",B385,".",C385,".",D385,)</f>
        <v>1.2.5.6</v>
      </c>
      <c r="G385" s="1930" t="s">
        <v>1182</v>
      </c>
      <c r="H385" s="1685" t="s">
        <v>1183</v>
      </c>
      <c r="I385" s="1714"/>
      <c r="J385" s="36" t="s">
        <v>79</v>
      </c>
      <c r="K385" s="891"/>
      <c r="L385" s="379">
        <v>720</v>
      </c>
      <c r="M385" s="379">
        <v>720</v>
      </c>
      <c r="N385" s="379">
        <v>720</v>
      </c>
      <c r="O385" s="379">
        <v>720</v>
      </c>
      <c r="P385" s="379">
        <v>720</v>
      </c>
      <c r="Q385" s="1475">
        <f>L385*H390</f>
        <v>780480</v>
      </c>
      <c r="R385" s="1475">
        <f>M385*H390</f>
        <v>780480</v>
      </c>
      <c r="S385" s="1475">
        <f>N385*H390</f>
        <v>780480</v>
      </c>
      <c r="T385" s="1475">
        <f>O385*H390</f>
        <v>780480</v>
      </c>
      <c r="U385" s="1475">
        <f>P385*H390</f>
        <v>780480</v>
      </c>
      <c r="V385" s="1476">
        <f t="shared" ref="V385:V386" si="184">SUM(Q385:U385)</f>
        <v>3902400</v>
      </c>
    </row>
    <row r="386" spans="1:22" s="39" customFormat="1" ht="24" customHeight="1">
      <c r="A386" s="1860">
        <v>1</v>
      </c>
      <c r="B386" s="1860"/>
      <c r="C386" s="1860"/>
      <c r="D386" s="1860"/>
      <c r="E386" s="1839"/>
      <c r="F386" s="1957"/>
      <c r="G386" s="1931"/>
      <c r="H386" s="1685"/>
      <c r="I386" s="1715"/>
      <c r="J386" s="40" t="s">
        <v>80</v>
      </c>
      <c r="K386" s="42"/>
      <c r="L386" s="364">
        <f t="shared" ref="L386:N386" si="185">SUM(L387:L393)</f>
        <v>0</v>
      </c>
      <c r="M386" s="364">
        <f t="shared" si="185"/>
        <v>0</v>
      </c>
      <c r="N386" s="364">
        <f t="shared" si="185"/>
        <v>0</v>
      </c>
      <c r="O386" s="364">
        <f>SUM(O387:O393)</f>
        <v>0</v>
      </c>
      <c r="P386" s="364">
        <f>SUM(P387:P393)</f>
        <v>0</v>
      </c>
      <c r="Q386" s="1475">
        <f t="shared" ref="Q386:U386" si="186">SUM(Q387:Q393)</f>
        <v>0</v>
      </c>
      <c r="R386" s="1475">
        <f t="shared" si="186"/>
        <v>0</v>
      </c>
      <c r="S386" s="1475">
        <f t="shared" si="186"/>
        <v>0</v>
      </c>
      <c r="T386" s="1475">
        <f t="shared" si="186"/>
        <v>0</v>
      </c>
      <c r="U386" s="1475">
        <f t="shared" si="186"/>
        <v>0</v>
      </c>
      <c r="V386" s="1476">
        <f t="shared" si="184"/>
        <v>0</v>
      </c>
    </row>
    <row r="387" spans="1:22" s="39" customFormat="1" ht="24" customHeight="1">
      <c r="A387" s="1860">
        <v>1</v>
      </c>
      <c r="B387" s="1860"/>
      <c r="C387" s="1860"/>
      <c r="D387" s="1860"/>
      <c r="E387" s="1839"/>
      <c r="F387" s="1957"/>
      <c r="G387" s="1931"/>
      <c r="H387" s="1685"/>
      <c r="I387" s="1715"/>
      <c r="J387" s="40" t="s">
        <v>429</v>
      </c>
      <c r="K387" s="42"/>
      <c r="L387" s="364">
        <v>0</v>
      </c>
      <c r="M387" s="364">
        <v>0</v>
      </c>
      <c r="N387" s="364">
        <v>0</v>
      </c>
      <c r="O387" s="364">
        <v>0</v>
      </c>
      <c r="P387" s="364">
        <v>0</v>
      </c>
      <c r="Q387" s="1475">
        <f>L387*$H390</f>
        <v>0</v>
      </c>
      <c r="R387" s="1475">
        <f>M387*$H390</f>
        <v>0</v>
      </c>
      <c r="S387" s="1475">
        <f>N387*$H390</f>
        <v>0</v>
      </c>
      <c r="T387" s="1475">
        <f>O387*$H390</f>
        <v>0</v>
      </c>
      <c r="U387" s="1475">
        <f>P387*$H390</f>
        <v>0</v>
      </c>
      <c r="V387" s="1476">
        <f t="shared" ref="V387:V394" si="187">SUM(Q387:U387)</f>
        <v>0</v>
      </c>
    </row>
    <row r="388" spans="1:22" s="39" customFormat="1" ht="24" customHeight="1">
      <c r="A388" s="1860">
        <v>1</v>
      </c>
      <c r="B388" s="1860"/>
      <c r="C388" s="1860"/>
      <c r="D388" s="1860"/>
      <c r="E388" s="1839"/>
      <c r="F388" s="1957"/>
      <c r="G388" s="1931"/>
      <c r="H388" s="1685"/>
      <c r="I388" s="1715"/>
      <c r="J388" s="40" t="s">
        <v>133</v>
      </c>
      <c r="K388" s="42"/>
      <c r="L388" s="364">
        <v>0</v>
      </c>
      <c r="M388" s="364">
        <v>0</v>
      </c>
      <c r="N388" s="364">
        <v>0</v>
      </c>
      <c r="O388" s="364">
        <v>0</v>
      </c>
      <c r="P388" s="364">
        <v>0</v>
      </c>
      <c r="Q388" s="1475">
        <f>L388*$H390</f>
        <v>0</v>
      </c>
      <c r="R388" s="1475">
        <f>M388*$H390</f>
        <v>0</v>
      </c>
      <c r="S388" s="1475">
        <f>N388*$H390</f>
        <v>0</v>
      </c>
      <c r="T388" s="1475">
        <f>O388*$H390</f>
        <v>0</v>
      </c>
      <c r="U388" s="1475">
        <f>P388*$H390</f>
        <v>0</v>
      </c>
      <c r="V388" s="1476">
        <f t="shared" si="187"/>
        <v>0</v>
      </c>
    </row>
    <row r="389" spans="1:22" s="39" customFormat="1" ht="24" customHeight="1">
      <c r="A389" s="1860">
        <v>1</v>
      </c>
      <c r="B389" s="1860"/>
      <c r="C389" s="1860"/>
      <c r="D389" s="1860"/>
      <c r="E389" s="1839"/>
      <c r="F389" s="1957"/>
      <c r="G389" s="1931"/>
      <c r="H389" s="1685"/>
      <c r="I389" s="1715"/>
      <c r="J389" s="40" t="s">
        <v>81</v>
      </c>
      <c r="K389" s="42"/>
      <c r="L389" s="364">
        <v>0</v>
      </c>
      <c r="M389" s="364">
        <v>0</v>
      </c>
      <c r="N389" s="364">
        <v>0</v>
      </c>
      <c r="O389" s="364">
        <v>0</v>
      </c>
      <c r="P389" s="364">
        <v>0</v>
      </c>
      <c r="Q389" s="1475">
        <f>L389*$H390</f>
        <v>0</v>
      </c>
      <c r="R389" s="1475">
        <f>M389*$H390</f>
        <v>0</v>
      </c>
      <c r="S389" s="1475">
        <f>N389*$H390</f>
        <v>0</v>
      </c>
      <c r="T389" s="1475">
        <f>O389*$H390</f>
        <v>0</v>
      </c>
      <c r="U389" s="1475">
        <f>P389*$H390</f>
        <v>0</v>
      </c>
      <c r="V389" s="1476">
        <f t="shared" si="187"/>
        <v>0</v>
      </c>
    </row>
    <row r="390" spans="1:22" s="39" customFormat="1" ht="24" customHeight="1">
      <c r="A390" s="1860">
        <v>1</v>
      </c>
      <c r="B390" s="1860"/>
      <c r="C390" s="1860"/>
      <c r="D390" s="1860"/>
      <c r="E390" s="1839"/>
      <c r="F390" s="1957"/>
      <c r="G390" s="1931"/>
      <c r="H390" s="1756">
        <v>1084</v>
      </c>
      <c r="I390" s="1715"/>
      <c r="J390" s="40" t="s">
        <v>134</v>
      </c>
      <c r="K390" s="42"/>
      <c r="L390" s="364">
        <v>0</v>
      </c>
      <c r="M390" s="364">
        <v>0</v>
      </c>
      <c r="N390" s="364">
        <v>0</v>
      </c>
      <c r="O390" s="364">
        <v>0</v>
      </c>
      <c r="P390" s="364">
        <v>0</v>
      </c>
      <c r="Q390" s="1475">
        <f>L390*$H390</f>
        <v>0</v>
      </c>
      <c r="R390" s="1475">
        <f>M390*$H390</f>
        <v>0</v>
      </c>
      <c r="S390" s="1475">
        <f>N390*$H390</f>
        <v>0</v>
      </c>
      <c r="T390" s="1475">
        <f>O390*$H390</f>
        <v>0</v>
      </c>
      <c r="U390" s="1475">
        <f>P390*$H390</f>
        <v>0</v>
      </c>
      <c r="V390" s="1476">
        <f t="shared" si="187"/>
        <v>0</v>
      </c>
    </row>
    <row r="391" spans="1:22" s="39" customFormat="1" ht="24" customHeight="1">
      <c r="A391" s="1860">
        <v>1</v>
      </c>
      <c r="B391" s="1860"/>
      <c r="C391" s="1860"/>
      <c r="D391" s="1860"/>
      <c r="E391" s="1839"/>
      <c r="F391" s="1957"/>
      <c r="G391" s="1931"/>
      <c r="H391" s="1757"/>
      <c r="I391" s="1715"/>
      <c r="J391" s="40" t="s">
        <v>82</v>
      </c>
      <c r="K391" s="42"/>
      <c r="L391" s="379">
        <v>0</v>
      </c>
      <c r="M391" s="379">
        <v>0</v>
      </c>
      <c r="N391" s="379">
        <v>0</v>
      </c>
      <c r="O391" s="379">
        <v>0</v>
      </c>
      <c r="P391" s="379">
        <v>0</v>
      </c>
      <c r="Q391" s="1475">
        <f>L391*$H390</f>
        <v>0</v>
      </c>
      <c r="R391" s="1475">
        <f>M391*$H390</f>
        <v>0</v>
      </c>
      <c r="S391" s="1475">
        <f>N391*$H390</f>
        <v>0</v>
      </c>
      <c r="T391" s="1475">
        <f>O391*$H390</f>
        <v>0</v>
      </c>
      <c r="U391" s="1475">
        <f>P391*$H390</f>
        <v>0</v>
      </c>
      <c r="V391" s="1476">
        <f t="shared" si="187"/>
        <v>0</v>
      </c>
    </row>
    <row r="392" spans="1:22" s="39" customFormat="1" ht="24" customHeight="1">
      <c r="A392" s="1860">
        <v>1</v>
      </c>
      <c r="B392" s="1860"/>
      <c r="C392" s="1860"/>
      <c r="D392" s="1860"/>
      <c r="E392" s="1839"/>
      <c r="F392" s="1957"/>
      <c r="G392" s="1931"/>
      <c r="H392" s="1757"/>
      <c r="I392" s="1715"/>
      <c r="J392" s="40" t="s">
        <v>90</v>
      </c>
      <c r="K392" s="42"/>
      <c r="L392" s="364">
        <v>0</v>
      </c>
      <c r="M392" s="364">
        <v>0</v>
      </c>
      <c r="N392" s="364">
        <v>0</v>
      </c>
      <c r="O392" s="364">
        <v>0</v>
      </c>
      <c r="P392" s="364">
        <v>0</v>
      </c>
      <c r="Q392" s="1475">
        <f>L392*$H390</f>
        <v>0</v>
      </c>
      <c r="R392" s="1475">
        <f>M392*$H390</f>
        <v>0</v>
      </c>
      <c r="S392" s="1475">
        <f>N392*$H390</f>
        <v>0</v>
      </c>
      <c r="T392" s="1475">
        <f>O392*$H390</f>
        <v>0</v>
      </c>
      <c r="U392" s="1475">
        <f>P392*$H390</f>
        <v>0</v>
      </c>
      <c r="V392" s="1476">
        <f t="shared" si="187"/>
        <v>0</v>
      </c>
    </row>
    <row r="393" spans="1:22" s="39" customFormat="1" ht="24" customHeight="1">
      <c r="A393" s="1860">
        <v>1</v>
      </c>
      <c r="B393" s="1860"/>
      <c r="C393" s="1860"/>
      <c r="D393" s="1860"/>
      <c r="E393" s="1839"/>
      <c r="F393" s="1957"/>
      <c r="G393" s="1931"/>
      <c r="H393" s="1757"/>
      <c r="I393" s="1715"/>
      <c r="J393" s="40" t="s">
        <v>83</v>
      </c>
      <c r="K393" s="42"/>
      <c r="L393" s="364">
        <v>0</v>
      </c>
      <c r="M393" s="364">
        <v>0</v>
      </c>
      <c r="N393" s="364">
        <v>0</v>
      </c>
      <c r="O393" s="364">
        <v>0</v>
      </c>
      <c r="P393" s="364">
        <v>0</v>
      </c>
      <c r="Q393" s="1475">
        <f>L393*$H390</f>
        <v>0</v>
      </c>
      <c r="R393" s="1475">
        <f>M393*$H390</f>
        <v>0</v>
      </c>
      <c r="S393" s="1475">
        <f>N393*$H390</f>
        <v>0</v>
      </c>
      <c r="T393" s="1475">
        <f>O393*$H390</f>
        <v>0</v>
      </c>
      <c r="U393" s="1475">
        <f>P393*$H390</f>
        <v>0</v>
      </c>
      <c r="V393" s="1476">
        <f t="shared" si="187"/>
        <v>0</v>
      </c>
    </row>
    <row r="394" spans="1:22" s="39" customFormat="1" ht="24" customHeight="1">
      <c r="A394" s="1860">
        <v>1</v>
      </c>
      <c r="B394" s="1860"/>
      <c r="C394" s="1860"/>
      <c r="D394" s="1860"/>
      <c r="E394" s="1839"/>
      <c r="F394" s="1957"/>
      <c r="G394" s="1932"/>
      <c r="H394" s="1758"/>
      <c r="I394" s="1755"/>
      <c r="J394" s="40" t="s">
        <v>84</v>
      </c>
      <c r="K394" s="42"/>
      <c r="L394" s="364">
        <f>L385-L386</f>
        <v>720</v>
      </c>
      <c r="M394" s="364">
        <f t="shared" ref="M394:U394" si="188">M385-M386</f>
        <v>720</v>
      </c>
      <c r="N394" s="364">
        <f t="shared" si="188"/>
        <v>720</v>
      </c>
      <c r="O394" s="364">
        <f t="shared" si="188"/>
        <v>720</v>
      </c>
      <c r="P394" s="364">
        <f t="shared" si="188"/>
        <v>720</v>
      </c>
      <c r="Q394" s="1475">
        <f t="shared" si="188"/>
        <v>780480</v>
      </c>
      <c r="R394" s="1475">
        <f t="shared" si="188"/>
        <v>780480</v>
      </c>
      <c r="S394" s="1475">
        <f t="shared" si="188"/>
        <v>780480</v>
      </c>
      <c r="T394" s="1475">
        <f t="shared" si="188"/>
        <v>780480</v>
      </c>
      <c r="U394" s="1475">
        <f t="shared" si="188"/>
        <v>780480</v>
      </c>
      <c r="V394" s="1476">
        <f t="shared" si="187"/>
        <v>3902400</v>
      </c>
    </row>
    <row r="395" spans="1:22" s="34" customFormat="1" ht="24" customHeight="1">
      <c r="A395" s="82">
        <v>1</v>
      </c>
      <c r="B395" s="82">
        <v>3</v>
      </c>
      <c r="C395" s="82"/>
      <c r="D395" s="82"/>
      <c r="E395" s="82" t="s">
        <v>12</v>
      </c>
      <c r="F395" s="140" t="str">
        <f>CONCATENATE(A395,".",B395)</f>
        <v>1.3</v>
      </c>
      <c r="G395" s="1703" t="s">
        <v>316</v>
      </c>
      <c r="H395" s="1704"/>
      <c r="I395" s="1704"/>
      <c r="J395" s="1705"/>
      <c r="K395" s="880"/>
      <c r="L395" s="881"/>
      <c r="M395" s="881"/>
      <c r="N395" s="881"/>
      <c r="O395" s="881"/>
      <c r="P395" s="881"/>
      <c r="Q395" s="1495">
        <f>Q396+Q457+Q478</f>
        <v>4137796</v>
      </c>
      <c r="R395" s="1495">
        <f>R396+R457+R478</f>
        <v>3914110</v>
      </c>
      <c r="S395" s="1495">
        <f>S396+S457+S478</f>
        <v>4077906</v>
      </c>
      <c r="T395" s="1495">
        <f>T396+T457+T478</f>
        <v>3968240</v>
      </c>
      <c r="U395" s="1495">
        <f>U396+U457+U478</f>
        <v>4002010</v>
      </c>
      <c r="V395" s="1495">
        <f t="shared" si="171"/>
        <v>20100062</v>
      </c>
    </row>
    <row r="396" spans="1:22" s="53" customFormat="1" ht="24" customHeight="1">
      <c r="A396" s="74">
        <v>1</v>
      </c>
      <c r="B396" s="74">
        <v>3</v>
      </c>
      <c r="C396" s="74">
        <v>1</v>
      </c>
      <c r="D396" s="74"/>
      <c r="E396" s="74" t="s">
        <v>13</v>
      </c>
      <c r="F396" s="52" t="str">
        <f>CONCATENATE(A396,".",B396,".",C396,)</f>
        <v>1.3.1</v>
      </c>
      <c r="G396" s="1919" t="s">
        <v>317</v>
      </c>
      <c r="H396" s="1920"/>
      <c r="I396" s="1920"/>
      <c r="J396" s="1921"/>
      <c r="K396" s="52"/>
      <c r="L396" s="380"/>
      <c r="M396" s="380"/>
      <c r="N396" s="380"/>
      <c r="O396" s="380"/>
      <c r="P396" s="380"/>
      <c r="Q396" s="1498">
        <f>Q398+Q408+Q418+Q428+Q438+Q448</f>
        <v>2074506</v>
      </c>
      <c r="R396" s="1498">
        <f t="shared" ref="R396:U396" si="189">R398+R408+R418+R428+R438+R448</f>
        <v>1866950</v>
      </c>
      <c r="S396" s="1498">
        <f t="shared" si="189"/>
        <v>2042726</v>
      </c>
      <c r="T396" s="1498">
        <f t="shared" si="189"/>
        <v>1947350</v>
      </c>
      <c r="U396" s="1498">
        <f t="shared" si="189"/>
        <v>1987550</v>
      </c>
      <c r="V396" s="1498">
        <f t="shared" si="171"/>
        <v>9919082</v>
      </c>
    </row>
    <row r="397" spans="1:22" s="45" customFormat="1" ht="24" customHeight="1">
      <c r="A397" s="1860">
        <v>1</v>
      </c>
      <c r="B397" s="1860">
        <v>3</v>
      </c>
      <c r="C397" s="1860">
        <v>1</v>
      </c>
      <c r="D397" s="1860">
        <v>1</v>
      </c>
      <c r="E397" s="1839" t="s">
        <v>49</v>
      </c>
      <c r="F397" s="1841" t="str">
        <f>CONCATENATE(A397,".",B397,".",C397,".",D397,)</f>
        <v>1.3.1.1</v>
      </c>
      <c r="G397" s="1642" t="s">
        <v>397</v>
      </c>
      <c r="H397" s="1595" t="s">
        <v>142</v>
      </c>
      <c r="I397" s="1655" t="s">
        <v>749</v>
      </c>
      <c r="J397" s="36" t="s">
        <v>79</v>
      </c>
      <c r="K397" s="892"/>
      <c r="L397" s="893">
        <v>8</v>
      </c>
      <c r="M397" s="893">
        <v>0</v>
      </c>
      <c r="N397" s="893">
        <v>8</v>
      </c>
      <c r="O397" s="893">
        <v>0</v>
      </c>
      <c r="P397" s="893">
        <v>8</v>
      </c>
      <c r="Q397" s="1475">
        <f>L397*H402</f>
        <v>135576</v>
      </c>
      <c r="R397" s="1475">
        <f>M397*H402</f>
        <v>0</v>
      </c>
      <c r="S397" s="1475">
        <f>N397*H402</f>
        <v>135576</v>
      </c>
      <c r="T397" s="1475">
        <f>O397*H402</f>
        <v>0</v>
      </c>
      <c r="U397" s="1475">
        <f>P397*H402</f>
        <v>135576</v>
      </c>
      <c r="V397" s="1476">
        <f>SUM(Q397:U397)</f>
        <v>406728</v>
      </c>
    </row>
    <row r="398" spans="1:22" s="39" customFormat="1" ht="24" customHeight="1">
      <c r="A398" s="1860">
        <v>1</v>
      </c>
      <c r="B398" s="1860"/>
      <c r="C398" s="1860"/>
      <c r="D398" s="1860"/>
      <c r="E398" s="1839"/>
      <c r="F398" s="1841"/>
      <c r="G398" s="1643"/>
      <c r="H398" s="1596"/>
      <c r="I398" s="1656"/>
      <c r="J398" s="40" t="s">
        <v>80</v>
      </c>
      <c r="K398" s="42"/>
      <c r="L398" s="364">
        <f t="shared" ref="L398:P398" si="190">SUM(L399:L405)</f>
        <v>8</v>
      </c>
      <c r="M398" s="364">
        <f t="shared" si="190"/>
        <v>0</v>
      </c>
      <c r="N398" s="364">
        <f t="shared" si="190"/>
        <v>8</v>
      </c>
      <c r="O398" s="364">
        <f t="shared" si="190"/>
        <v>0</v>
      </c>
      <c r="P398" s="364">
        <f t="shared" si="190"/>
        <v>0</v>
      </c>
      <c r="Q398" s="1475">
        <f t="shared" ref="Q398:U398" si="191">SUM(Q399:Q405)</f>
        <v>135576</v>
      </c>
      <c r="R398" s="1475">
        <f t="shared" si="191"/>
        <v>0</v>
      </c>
      <c r="S398" s="1475">
        <f t="shared" si="191"/>
        <v>135576</v>
      </c>
      <c r="T398" s="1475">
        <f t="shared" si="191"/>
        <v>0</v>
      </c>
      <c r="U398" s="1475">
        <f t="shared" si="191"/>
        <v>0</v>
      </c>
      <c r="V398" s="1476">
        <f>SUM(Q398:U398)</f>
        <v>271152</v>
      </c>
    </row>
    <row r="399" spans="1:22" s="39" customFormat="1" ht="24" customHeight="1">
      <c r="A399" s="1860">
        <v>1</v>
      </c>
      <c r="B399" s="1860"/>
      <c r="C399" s="1860"/>
      <c r="D399" s="1860"/>
      <c r="E399" s="1839"/>
      <c r="F399" s="1841"/>
      <c r="G399" s="1643"/>
      <c r="H399" s="1596"/>
      <c r="I399" s="1656"/>
      <c r="J399" s="40" t="s">
        <v>429</v>
      </c>
      <c r="K399" s="42"/>
      <c r="L399" s="364">
        <v>0</v>
      </c>
      <c r="M399" s="364">
        <v>0</v>
      </c>
      <c r="N399" s="364">
        <v>0</v>
      </c>
      <c r="O399" s="364">
        <v>0</v>
      </c>
      <c r="P399" s="364">
        <v>0</v>
      </c>
      <c r="Q399" s="1475">
        <f>L399*$H402</f>
        <v>0</v>
      </c>
      <c r="R399" s="1475">
        <f>M399*$H402</f>
        <v>0</v>
      </c>
      <c r="S399" s="1475">
        <f>N399*$H402</f>
        <v>0</v>
      </c>
      <c r="T399" s="1475">
        <f>O399*$H402</f>
        <v>0</v>
      </c>
      <c r="U399" s="1475">
        <f>P399*$H402</f>
        <v>0</v>
      </c>
      <c r="V399" s="1476">
        <f>SUM(Q399:U399)</f>
        <v>0</v>
      </c>
    </row>
    <row r="400" spans="1:22" s="39" customFormat="1" ht="24" customHeight="1">
      <c r="A400" s="1860">
        <v>1</v>
      </c>
      <c r="B400" s="1860"/>
      <c r="C400" s="1860"/>
      <c r="D400" s="1860"/>
      <c r="E400" s="1839"/>
      <c r="F400" s="1841"/>
      <c r="G400" s="1643"/>
      <c r="H400" s="1596"/>
      <c r="I400" s="1656"/>
      <c r="J400" s="40" t="s">
        <v>133</v>
      </c>
      <c r="K400" s="42"/>
      <c r="L400" s="364">
        <v>0</v>
      </c>
      <c r="M400" s="364">
        <v>0</v>
      </c>
      <c r="N400" s="364">
        <v>0</v>
      </c>
      <c r="O400" s="364">
        <v>0</v>
      </c>
      <c r="P400" s="364">
        <v>0</v>
      </c>
      <c r="Q400" s="1475">
        <f>L400*$H402</f>
        <v>0</v>
      </c>
      <c r="R400" s="1475">
        <f>M400*$H402</f>
        <v>0</v>
      </c>
      <c r="S400" s="1475">
        <f>N400*$H402</f>
        <v>0</v>
      </c>
      <c r="T400" s="1475">
        <f>O400*$H402</f>
        <v>0</v>
      </c>
      <c r="U400" s="1475">
        <f>P400*$H402</f>
        <v>0</v>
      </c>
      <c r="V400" s="1476">
        <f t="shared" ref="V400:V433" si="192">SUM(Q400:U400)</f>
        <v>0</v>
      </c>
    </row>
    <row r="401" spans="1:22" s="39" customFormat="1" ht="24" customHeight="1">
      <c r="A401" s="1860">
        <v>1</v>
      </c>
      <c r="B401" s="1860"/>
      <c r="C401" s="1860"/>
      <c r="D401" s="1860"/>
      <c r="E401" s="1839"/>
      <c r="F401" s="1841"/>
      <c r="G401" s="1643"/>
      <c r="H401" s="1618"/>
      <c r="I401" s="1656"/>
      <c r="J401" s="40" t="s">
        <v>81</v>
      </c>
      <c r="K401" s="42"/>
      <c r="L401" s="364">
        <v>0</v>
      </c>
      <c r="M401" s="364">
        <v>0</v>
      </c>
      <c r="N401" s="364">
        <v>0</v>
      </c>
      <c r="O401" s="364">
        <v>0</v>
      </c>
      <c r="P401" s="364">
        <v>0</v>
      </c>
      <c r="Q401" s="1475">
        <f>L401*$H402</f>
        <v>0</v>
      </c>
      <c r="R401" s="1475">
        <f>M401*$H402</f>
        <v>0</v>
      </c>
      <c r="S401" s="1475">
        <f>N401*$H402</f>
        <v>0</v>
      </c>
      <c r="T401" s="1475">
        <f>O401*$H402</f>
        <v>0</v>
      </c>
      <c r="U401" s="1475">
        <f>P401*$H402</f>
        <v>0</v>
      </c>
      <c r="V401" s="1476">
        <f t="shared" si="192"/>
        <v>0</v>
      </c>
    </row>
    <row r="402" spans="1:22" s="39" customFormat="1" ht="24" customHeight="1">
      <c r="A402" s="1860">
        <v>1</v>
      </c>
      <c r="B402" s="1860"/>
      <c r="C402" s="1860"/>
      <c r="D402" s="1860"/>
      <c r="E402" s="1839"/>
      <c r="F402" s="1841"/>
      <c r="G402" s="1643"/>
      <c r="H402" s="1918">
        <f>'Budget assumption'!H28</f>
        <v>16947</v>
      </c>
      <c r="I402" s="1656"/>
      <c r="J402" s="40" t="s">
        <v>134</v>
      </c>
      <c r="K402" s="42"/>
      <c r="L402" s="364">
        <v>0</v>
      </c>
      <c r="M402" s="364">
        <v>0</v>
      </c>
      <c r="N402" s="364">
        <v>0</v>
      </c>
      <c r="O402" s="364">
        <v>0</v>
      </c>
      <c r="P402" s="364">
        <v>0</v>
      </c>
      <c r="Q402" s="1475">
        <f>L402*$H402</f>
        <v>0</v>
      </c>
      <c r="R402" s="1475">
        <f>M402*$H402</f>
        <v>0</v>
      </c>
      <c r="S402" s="1475">
        <f>N402*$H402</f>
        <v>0</v>
      </c>
      <c r="T402" s="1475">
        <f>O402*$H402</f>
        <v>0</v>
      </c>
      <c r="U402" s="1475">
        <f>P402*$H402</f>
        <v>0</v>
      </c>
      <c r="V402" s="1476">
        <f t="shared" si="192"/>
        <v>0</v>
      </c>
    </row>
    <row r="403" spans="1:22" s="39" customFormat="1" ht="24" customHeight="1">
      <c r="A403" s="1860">
        <v>1</v>
      </c>
      <c r="B403" s="1860"/>
      <c r="C403" s="1860"/>
      <c r="D403" s="1860"/>
      <c r="E403" s="1839"/>
      <c r="F403" s="1841"/>
      <c r="G403" s="1643"/>
      <c r="H403" s="1918">
        <f>810*0.05</f>
        <v>40.5</v>
      </c>
      <c r="I403" s="1656"/>
      <c r="J403" s="40" t="s">
        <v>82</v>
      </c>
      <c r="K403" s="42"/>
      <c r="L403" s="364">
        <v>8</v>
      </c>
      <c r="M403" s="364">
        <v>0</v>
      </c>
      <c r="N403" s="364">
        <v>8</v>
      </c>
      <c r="O403" s="364">
        <v>0</v>
      </c>
      <c r="P403" s="364">
        <v>0</v>
      </c>
      <c r="Q403" s="1475">
        <f>L403*$H402</f>
        <v>135576</v>
      </c>
      <c r="R403" s="1475">
        <f>M403*$H402</f>
        <v>0</v>
      </c>
      <c r="S403" s="1475">
        <f>N403*$H402</f>
        <v>135576</v>
      </c>
      <c r="T403" s="1475">
        <f>O403*$H402</f>
        <v>0</v>
      </c>
      <c r="U403" s="1475">
        <f>P403*$H402</f>
        <v>0</v>
      </c>
      <c r="V403" s="1476">
        <f t="shared" si="192"/>
        <v>271152</v>
      </c>
    </row>
    <row r="404" spans="1:22" s="39" customFormat="1" ht="24" customHeight="1">
      <c r="A404" s="1860">
        <v>1</v>
      </c>
      <c r="B404" s="1860"/>
      <c r="C404" s="1860"/>
      <c r="D404" s="1860"/>
      <c r="E404" s="1839"/>
      <c r="F404" s="1841"/>
      <c r="G404" s="1643"/>
      <c r="H404" s="1918"/>
      <c r="I404" s="1656"/>
      <c r="J404" s="40" t="s">
        <v>90</v>
      </c>
      <c r="K404" s="42"/>
      <c r="L404" s="364">
        <v>0</v>
      </c>
      <c r="M404" s="364">
        <v>0</v>
      </c>
      <c r="N404" s="364">
        <v>0</v>
      </c>
      <c r="O404" s="364">
        <v>0</v>
      </c>
      <c r="P404" s="364">
        <v>0</v>
      </c>
      <c r="Q404" s="1475">
        <f>L404*$H402</f>
        <v>0</v>
      </c>
      <c r="R404" s="1475">
        <f>M404*$H402</f>
        <v>0</v>
      </c>
      <c r="S404" s="1475">
        <f>N404*$H402</f>
        <v>0</v>
      </c>
      <c r="T404" s="1475">
        <f>O404*$H402</f>
        <v>0</v>
      </c>
      <c r="U404" s="1475">
        <f>P404*$H402</f>
        <v>0</v>
      </c>
      <c r="V404" s="1476">
        <f t="shared" si="192"/>
        <v>0</v>
      </c>
    </row>
    <row r="405" spans="1:22" s="39" customFormat="1" ht="24" customHeight="1">
      <c r="A405" s="1860">
        <v>1</v>
      </c>
      <c r="B405" s="1860"/>
      <c r="C405" s="1860"/>
      <c r="D405" s="1860"/>
      <c r="E405" s="1839"/>
      <c r="F405" s="1841"/>
      <c r="G405" s="1643"/>
      <c r="H405" s="1918"/>
      <c r="I405" s="1656"/>
      <c r="J405" s="40" t="s">
        <v>83</v>
      </c>
      <c r="K405" s="42"/>
      <c r="L405" s="364">
        <v>0</v>
      </c>
      <c r="M405" s="364">
        <v>0</v>
      </c>
      <c r="N405" s="364">
        <v>0</v>
      </c>
      <c r="O405" s="364">
        <v>0</v>
      </c>
      <c r="P405" s="364">
        <v>0</v>
      </c>
      <c r="Q405" s="1475">
        <f>L405*$H402</f>
        <v>0</v>
      </c>
      <c r="R405" s="1475">
        <f>M405*$H402</f>
        <v>0</v>
      </c>
      <c r="S405" s="1475">
        <f>N405*$H402</f>
        <v>0</v>
      </c>
      <c r="T405" s="1475">
        <f>O405*$H402</f>
        <v>0</v>
      </c>
      <c r="U405" s="1475">
        <f>P405*$H402</f>
        <v>0</v>
      </c>
      <c r="V405" s="1476">
        <f t="shared" si="192"/>
        <v>0</v>
      </c>
    </row>
    <row r="406" spans="1:22" s="39" customFormat="1" ht="24" customHeight="1">
      <c r="A406" s="1860">
        <v>1</v>
      </c>
      <c r="B406" s="1860"/>
      <c r="C406" s="1860"/>
      <c r="D406" s="1860"/>
      <c r="E406" s="1839"/>
      <c r="F406" s="1841"/>
      <c r="G406" s="1644"/>
      <c r="H406" s="1918"/>
      <c r="I406" s="1657"/>
      <c r="J406" s="40" t="s">
        <v>84</v>
      </c>
      <c r="K406" s="42"/>
      <c r="L406" s="364">
        <f>L397-L398</f>
        <v>0</v>
      </c>
      <c r="M406" s="364">
        <f t="shared" ref="M406:P406" si="193">M397-M398</f>
        <v>0</v>
      </c>
      <c r="N406" s="364">
        <f t="shared" si="193"/>
        <v>0</v>
      </c>
      <c r="O406" s="364">
        <f t="shared" si="193"/>
        <v>0</v>
      </c>
      <c r="P406" s="364">
        <f t="shared" si="193"/>
        <v>8</v>
      </c>
      <c r="Q406" s="1475">
        <f t="shared" ref="Q406:U406" si="194">Q397-Q398</f>
        <v>0</v>
      </c>
      <c r="R406" s="1475">
        <f t="shared" si="194"/>
        <v>0</v>
      </c>
      <c r="S406" s="1475">
        <f t="shared" si="194"/>
        <v>0</v>
      </c>
      <c r="T406" s="1475">
        <f t="shared" si="194"/>
        <v>0</v>
      </c>
      <c r="U406" s="1475">
        <f t="shared" si="194"/>
        <v>135576</v>
      </c>
      <c r="V406" s="1476">
        <f t="shared" si="192"/>
        <v>135576</v>
      </c>
    </row>
    <row r="407" spans="1:22" s="45" customFormat="1" ht="24" customHeight="1">
      <c r="A407" s="1860">
        <v>1</v>
      </c>
      <c r="B407" s="1860">
        <v>3</v>
      </c>
      <c r="C407" s="1860">
        <v>1</v>
      </c>
      <c r="D407" s="1860">
        <v>2</v>
      </c>
      <c r="E407" s="1839" t="s">
        <v>49</v>
      </c>
      <c r="F407" s="1841" t="str">
        <f>CONCATENATE(A407,".",B407,".",C407,".",D407,)</f>
        <v>1.3.1.2</v>
      </c>
      <c r="G407" s="1642" t="s">
        <v>21</v>
      </c>
      <c r="H407" s="1595" t="s">
        <v>1119</v>
      </c>
      <c r="I407" s="1614" t="s">
        <v>398</v>
      </c>
      <c r="J407" s="36" t="s">
        <v>79</v>
      </c>
      <c r="K407" s="894">
        <f>'Budget assumption'!C220</f>
        <v>220</v>
      </c>
      <c r="L407" s="894">
        <f>'Budget assumption'!D220</f>
        <v>225</v>
      </c>
      <c r="M407" s="894">
        <f>'Budget assumption'!E220</f>
        <v>230</v>
      </c>
      <c r="N407" s="894">
        <f>'Budget assumption'!F220</f>
        <v>235</v>
      </c>
      <c r="O407" s="894">
        <f>'Budget assumption'!G220</f>
        <v>240</v>
      </c>
      <c r="P407" s="894">
        <f>'Budget assumption'!H220</f>
        <v>245</v>
      </c>
      <c r="Q407" s="1475">
        <f>L407*H412</f>
        <v>9000</v>
      </c>
      <c r="R407" s="1475">
        <f>M407*H412</f>
        <v>9200</v>
      </c>
      <c r="S407" s="1475">
        <f>N407*H412</f>
        <v>9400</v>
      </c>
      <c r="T407" s="1475">
        <f>O407*H412</f>
        <v>9600</v>
      </c>
      <c r="U407" s="1475">
        <f>P407*H412</f>
        <v>9800</v>
      </c>
      <c r="V407" s="1476">
        <f t="shared" si="192"/>
        <v>47000</v>
      </c>
    </row>
    <row r="408" spans="1:22" s="39" customFormat="1" ht="24" customHeight="1">
      <c r="A408" s="1860">
        <v>1</v>
      </c>
      <c r="B408" s="1860"/>
      <c r="C408" s="1860"/>
      <c r="D408" s="1860"/>
      <c r="E408" s="1839"/>
      <c r="F408" s="1841"/>
      <c r="G408" s="1643"/>
      <c r="H408" s="1596"/>
      <c r="I408" s="1615"/>
      <c r="J408" s="40" t="s">
        <v>80</v>
      </c>
      <c r="K408" s="42"/>
      <c r="L408" s="364">
        <f>SUM(L409:L415)</f>
        <v>225</v>
      </c>
      <c r="M408" s="364">
        <f t="shared" ref="M408:P408" si="195">SUM(M409:M415)</f>
        <v>230</v>
      </c>
      <c r="N408" s="364">
        <f t="shared" si="195"/>
        <v>235</v>
      </c>
      <c r="O408" s="364">
        <f t="shared" si="195"/>
        <v>240</v>
      </c>
      <c r="P408" s="364">
        <f t="shared" si="195"/>
        <v>245</v>
      </c>
      <c r="Q408" s="1475">
        <f t="shared" ref="Q408:U408" si="196">SUM(Q409:Q415)</f>
        <v>9000</v>
      </c>
      <c r="R408" s="1475">
        <f t="shared" si="196"/>
        <v>9200</v>
      </c>
      <c r="S408" s="1475">
        <f t="shared" si="196"/>
        <v>9400</v>
      </c>
      <c r="T408" s="1475">
        <f t="shared" si="196"/>
        <v>9600</v>
      </c>
      <c r="U408" s="1475">
        <f t="shared" si="196"/>
        <v>9800</v>
      </c>
      <c r="V408" s="1476">
        <f t="shared" si="192"/>
        <v>47000</v>
      </c>
    </row>
    <row r="409" spans="1:22" s="39" customFormat="1" ht="24" customHeight="1">
      <c r="A409" s="1860">
        <v>1</v>
      </c>
      <c r="B409" s="1860"/>
      <c r="C409" s="1860"/>
      <c r="D409" s="1860"/>
      <c r="E409" s="1839"/>
      <c r="F409" s="1841"/>
      <c r="G409" s="1643"/>
      <c r="H409" s="1596"/>
      <c r="I409" s="1615"/>
      <c r="J409" s="40" t="s">
        <v>429</v>
      </c>
      <c r="K409" s="42"/>
      <c r="L409" s="364">
        <f>L407*0.7</f>
        <v>157.5</v>
      </c>
      <c r="M409" s="364">
        <f>M407*0.7</f>
        <v>161</v>
      </c>
      <c r="N409" s="364">
        <f>N407*0.7</f>
        <v>164.5</v>
      </c>
      <c r="O409" s="364">
        <f>O407*0.7</f>
        <v>168</v>
      </c>
      <c r="P409" s="364">
        <f>P407*0.7</f>
        <v>171.5</v>
      </c>
      <c r="Q409" s="1475">
        <f>L409*$H412</f>
        <v>6300</v>
      </c>
      <c r="R409" s="1475">
        <f>M409*$H412</f>
        <v>6440</v>
      </c>
      <c r="S409" s="1475">
        <f>N409*$H412</f>
        <v>6580</v>
      </c>
      <c r="T409" s="1475">
        <f>O409*$H412</f>
        <v>6720</v>
      </c>
      <c r="U409" s="1475">
        <f>P409*$H412</f>
        <v>6860</v>
      </c>
      <c r="V409" s="1476">
        <f t="shared" si="192"/>
        <v>32900</v>
      </c>
    </row>
    <row r="410" spans="1:22" s="39" customFormat="1" ht="24" customHeight="1">
      <c r="A410" s="1860">
        <v>1</v>
      </c>
      <c r="B410" s="1860"/>
      <c r="C410" s="1860"/>
      <c r="D410" s="1860"/>
      <c r="E410" s="1839"/>
      <c r="F410" s="1841"/>
      <c r="G410" s="1643"/>
      <c r="H410" s="1596"/>
      <c r="I410" s="1615"/>
      <c r="J410" s="40" t="s">
        <v>133</v>
      </c>
      <c r="K410" s="42"/>
      <c r="L410" s="364">
        <f>L407*0.3</f>
        <v>67.5</v>
      </c>
      <c r="M410" s="364">
        <f>M407*0.3</f>
        <v>69</v>
      </c>
      <c r="N410" s="364">
        <f>N407*0.3</f>
        <v>70.5</v>
      </c>
      <c r="O410" s="364">
        <f>O407*0.3</f>
        <v>72</v>
      </c>
      <c r="P410" s="364">
        <f>P407*0.3</f>
        <v>73.5</v>
      </c>
      <c r="Q410" s="1475">
        <f>L410*$H412</f>
        <v>2700</v>
      </c>
      <c r="R410" s="1475">
        <f>M410*$H412</f>
        <v>2760</v>
      </c>
      <c r="S410" s="1475">
        <f>N410*$H412</f>
        <v>2820</v>
      </c>
      <c r="T410" s="1475">
        <f>O410*$H412</f>
        <v>2880</v>
      </c>
      <c r="U410" s="1475">
        <f>P410*$H412</f>
        <v>2940</v>
      </c>
      <c r="V410" s="1476">
        <f t="shared" si="192"/>
        <v>14100</v>
      </c>
    </row>
    <row r="411" spans="1:22" s="39" customFormat="1" ht="24" customHeight="1">
      <c r="A411" s="1860">
        <v>1</v>
      </c>
      <c r="B411" s="1860"/>
      <c r="C411" s="1860"/>
      <c r="D411" s="1860"/>
      <c r="E411" s="1839"/>
      <c r="F411" s="1841"/>
      <c r="G411" s="1643"/>
      <c r="H411" s="1618"/>
      <c r="I411" s="1615"/>
      <c r="J411" s="40" t="s">
        <v>81</v>
      </c>
      <c r="K411" s="42"/>
      <c r="L411" s="364">
        <v>0</v>
      </c>
      <c r="M411" s="364">
        <v>0</v>
      </c>
      <c r="N411" s="364">
        <v>0</v>
      </c>
      <c r="O411" s="364">
        <v>0</v>
      </c>
      <c r="P411" s="364">
        <v>0</v>
      </c>
      <c r="Q411" s="1475">
        <f>L411*$H412</f>
        <v>0</v>
      </c>
      <c r="R411" s="1475">
        <f>M411*$H412</f>
        <v>0</v>
      </c>
      <c r="S411" s="1475">
        <f>N411*$H412</f>
        <v>0</v>
      </c>
      <c r="T411" s="1475">
        <f>O411*$H412</f>
        <v>0</v>
      </c>
      <c r="U411" s="1475">
        <f>P411*$H412</f>
        <v>0</v>
      </c>
      <c r="V411" s="1476">
        <f t="shared" si="192"/>
        <v>0</v>
      </c>
    </row>
    <row r="412" spans="1:22" s="39" customFormat="1" ht="24" customHeight="1">
      <c r="A412" s="1860">
        <v>1</v>
      </c>
      <c r="B412" s="1860"/>
      <c r="C412" s="1860"/>
      <c r="D412" s="1860"/>
      <c r="E412" s="1839"/>
      <c r="F412" s="1841"/>
      <c r="G412" s="1643"/>
      <c r="H412" s="1808">
        <v>40</v>
      </c>
      <c r="I412" s="1615"/>
      <c r="J412" s="40" t="s">
        <v>134</v>
      </c>
      <c r="K412" s="42"/>
      <c r="L412" s="364">
        <v>0</v>
      </c>
      <c r="M412" s="364">
        <v>0</v>
      </c>
      <c r="N412" s="364">
        <v>0</v>
      </c>
      <c r="O412" s="364">
        <v>0</v>
      </c>
      <c r="P412" s="364">
        <v>0</v>
      </c>
      <c r="Q412" s="1475">
        <f>L412*$H412</f>
        <v>0</v>
      </c>
      <c r="R412" s="1475">
        <f>M412*$H412</f>
        <v>0</v>
      </c>
      <c r="S412" s="1475">
        <f>N412*$H412</f>
        <v>0</v>
      </c>
      <c r="T412" s="1475">
        <f>O412*$H412</f>
        <v>0</v>
      </c>
      <c r="U412" s="1475">
        <f>P412*$H412</f>
        <v>0</v>
      </c>
      <c r="V412" s="1476">
        <f t="shared" si="192"/>
        <v>0</v>
      </c>
    </row>
    <row r="413" spans="1:22" s="39" customFormat="1" ht="24" customHeight="1">
      <c r="A413" s="1860">
        <v>1</v>
      </c>
      <c r="B413" s="1860"/>
      <c r="C413" s="1860"/>
      <c r="D413" s="1860"/>
      <c r="E413" s="1839"/>
      <c r="F413" s="1841"/>
      <c r="G413" s="1643"/>
      <c r="H413" s="1627">
        <f>810*0.05</f>
        <v>40.5</v>
      </c>
      <c r="I413" s="1615"/>
      <c r="J413" s="40" t="s">
        <v>82</v>
      </c>
      <c r="K413" s="42"/>
      <c r="L413" s="364">
        <v>0</v>
      </c>
      <c r="M413" s="364">
        <v>0</v>
      </c>
      <c r="N413" s="364">
        <v>0</v>
      </c>
      <c r="O413" s="364">
        <v>0</v>
      </c>
      <c r="P413" s="364">
        <v>0</v>
      </c>
      <c r="Q413" s="1475">
        <f>L413*$H412</f>
        <v>0</v>
      </c>
      <c r="R413" s="1475">
        <f>M413*$H412</f>
        <v>0</v>
      </c>
      <c r="S413" s="1475">
        <f>N413*$H412</f>
        <v>0</v>
      </c>
      <c r="T413" s="1475">
        <f>O413*$H412</f>
        <v>0</v>
      </c>
      <c r="U413" s="1475">
        <f>P413*$H412</f>
        <v>0</v>
      </c>
      <c r="V413" s="1476">
        <f t="shared" si="192"/>
        <v>0</v>
      </c>
    </row>
    <row r="414" spans="1:22" s="39" customFormat="1" ht="24" customHeight="1">
      <c r="A414" s="1860">
        <v>1</v>
      </c>
      <c r="B414" s="1860"/>
      <c r="C414" s="1860"/>
      <c r="D414" s="1860"/>
      <c r="E414" s="1839"/>
      <c r="F414" s="1841"/>
      <c r="G414" s="1643"/>
      <c r="H414" s="1627"/>
      <c r="I414" s="1615"/>
      <c r="J414" s="40" t="s">
        <v>90</v>
      </c>
      <c r="K414" s="42"/>
      <c r="L414" s="364">
        <v>0</v>
      </c>
      <c r="M414" s="364">
        <v>0</v>
      </c>
      <c r="N414" s="364">
        <v>0</v>
      </c>
      <c r="O414" s="364">
        <v>0</v>
      </c>
      <c r="P414" s="364">
        <v>0</v>
      </c>
      <c r="Q414" s="1475">
        <f>L414*$H412</f>
        <v>0</v>
      </c>
      <c r="R414" s="1475">
        <f>M414*$H412</f>
        <v>0</v>
      </c>
      <c r="S414" s="1475">
        <f>N414*$H412</f>
        <v>0</v>
      </c>
      <c r="T414" s="1475">
        <f>O414*$H412</f>
        <v>0</v>
      </c>
      <c r="U414" s="1475">
        <f>P414*$H412</f>
        <v>0</v>
      </c>
      <c r="V414" s="1476">
        <f t="shared" si="192"/>
        <v>0</v>
      </c>
    </row>
    <row r="415" spans="1:22" s="39" customFormat="1" ht="24" customHeight="1">
      <c r="A415" s="1860">
        <v>1</v>
      </c>
      <c r="B415" s="1860"/>
      <c r="C415" s="1860"/>
      <c r="D415" s="1860"/>
      <c r="E415" s="1839"/>
      <c r="F415" s="1841"/>
      <c r="G415" s="1643"/>
      <c r="H415" s="1627"/>
      <c r="I415" s="1615"/>
      <c r="J415" s="40" t="s">
        <v>83</v>
      </c>
      <c r="K415" s="42"/>
      <c r="L415" s="364">
        <v>0</v>
      </c>
      <c r="M415" s="364">
        <v>0</v>
      </c>
      <c r="N415" s="364">
        <v>0</v>
      </c>
      <c r="O415" s="364">
        <v>0</v>
      </c>
      <c r="P415" s="364">
        <v>0</v>
      </c>
      <c r="Q415" s="1475">
        <f>L415*$H412</f>
        <v>0</v>
      </c>
      <c r="R415" s="1475">
        <f>M415*$H412</f>
        <v>0</v>
      </c>
      <c r="S415" s="1475">
        <f>N415*$H412</f>
        <v>0</v>
      </c>
      <c r="T415" s="1475">
        <f>O415*$H412</f>
        <v>0</v>
      </c>
      <c r="U415" s="1475">
        <f>P415*$H412</f>
        <v>0</v>
      </c>
      <c r="V415" s="1476">
        <f t="shared" si="192"/>
        <v>0</v>
      </c>
    </row>
    <row r="416" spans="1:22" s="39" customFormat="1" ht="24" customHeight="1">
      <c r="A416" s="1860">
        <v>1</v>
      </c>
      <c r="B416" s="1860"/>
      <c r="C416" s="1860"/>
      <c r="D416" s="1860"/>
      <c r="E416" s="1839"/>
      <c r="F416" s="1841"/>
      <c r="G416" s="1644"/>
      <c r="H416" s="1809"/>
      <c r="I416" s="1617"/>
      <c r="J416" s="40" t="s">
        <v>84</v>
      </c>
      <c r="K416" s="42"/>
      <c r="L416" s="364">
        <f>L407-L408</f>
        <v>0</v>
      </c>
      <c r="M416" s="364">
        <f t="shared" ref="M416:P416" si="197">M407-M408</f>
        <v>0</v>
      </c>
      <c r="N416" s="364">
        <f t="shared" si="197"/>
        <v>0</v>
      </c>
      <c r="O416" s="364">
        <f t="shared" si="197"/>
        <v>0</v>
      </c>
      <c r="P416" s="364">
        <f t="shared" si="197"/>
        <v>0</v>
      </c>
      <c r="Q416" s="1475">
        <f t="shared" ref="Q416:U416" si="198">Q407-Q408</f>
        <v>0</v>
      </c>
      <c r="R416" s="1475">
        <f t="shared" si="198"/>
        <v>0</v>
      </c>
      <c r="S416" s="1475">
        <f t="shared" si="198"/>
        <v>0</v>
      </c>
      <c r="T416" s="1475">
        <f t="shared" si="198"/>
        <v>0</v>
      </c>
      <c r="U416" s="1475">
        <f t="shared" si="198"/>
        <v>0</v>
      </c>
      <c r="V416" s="1476">
        <f t="shared" si="192"/>
        <v>0</v>
      </c>
    </row>
    <row r="417" spans="1:22" s="45" customFormat="1" ht="24" customHeight="1">
      <c r="A417" s="1860">
        <v>1</v>
      </c>
      <c r="B417" s="1860">
        <v>3</v>
      </c>
      <c r="C417" s="1860">
        <v>1</v>
      </c>
      <c r="D417" s="1860">
        <v>3</v>
      </c>
      <c r="E417" s="1839" t="s">
        <v>49</v>
      </c>
      <c r="F417" s="1841" t="str">
        <f>CONCATENATE(A417,".",B417,".",C417,".",D417,)</f>
        <v>1.3.1.3</v>
      </c>
      <c r="G417" s="1642" t="s">
        <v>790</v>
      </c>
      <c r="H417" s="1595" t="s">
        <v>1120</v>
      </c>
      <c r="I417" s="1614" t="s">
        <v>750</v>
      </c>
      <c r="J417" s="36" t="s">
        <v>79</v>
      </c>
      <c r="K417" s="892"/>
      <c r="L417" s="895">
        <v>50</v>
      </c>
      <c r="M417" s="895">
        <v>50</v>
      </c>
      <c r="N417" s="895">
        <v>50</v>
      </c>
      <c r="O417" s="895">
        <v>50</v>
      </c>
      <c r="P417" s="895">
        <v>50</v>
      </c>
      <c r="Q417" s="1475">
        <f>L417*H422</f>
        <v>17750</v>
      </c>
      <c r="R417" s="1475">
        <f>M417*H422</f>
        <v>17750</v>
      </c>
      <c r="S417" s="1475">
        <f>N417*H422</f>
        <v>17750</v>
      </c>
      <c r="T417" s="1475">
        <f>O417*H422</f>
        <v>17750</v>
      </c>
      <c r="U417" s="1475">
        <f>P417*H422</f>
        <v>17750</v>
      </c>
      <c r="V417" s="1476">
        <f t="shared" si="192"/>
        <v>88750</v>
      </c>
    </row>
    <row r="418" spans="1:22" s="39" customFormat="1" ht="24" customHeight="1">
      <c r="A418" s="1860">
        <v>1</v>
      </c>
      <c r="B418" s="1860"/>
      <c r="C418" s="1860"/>
      <c r="D418" s="1860"/>
      <c r="E418" s="1839"/>
      <c r="F418" s="1841"/>
      <c r="G418" s="1643"/>
      <c r="H418" s="1596"/>
      <c r="I418" s="1615"/>
      <c r="J418" s="40" t="s">
        <v>80</v>
      </c>
      <c r="K418" s="42"/>
      <c r="L418" s="364">
        <f t="shared" ref="L418:P418" si="199">SUM(L419:L425)</f>
        <v>50</v>
      </c>
      <c r="M418" s="364">
        <f t="shared" si="199"/>
        <v>50</v>
      </c>
      <c r="N418" s="364">
        <f t="shared" si="199"/>
        <v>50</v>
      </c>
      <c r="O418" s="364">
        <f t="shared" si="199"/>
        <v>50</v>
      </c>
      <c r="P418" s="364">
        <f t="shared" si="199"/>
        <v>50</v>
      </c>
      <c r="Q418" s="1475">
        <f t="shared" ref="Q418:U418" si="200">SUM(Q419:Q425)</f>
        <v>17750</v>
      </c>
      <c r="R418" s="1475">
        <f t="shared" si="200"/>
        <v>17750</v>
      </c>
      <c r="S418" s="1475">
        <f t="shared" si="200"/>
        <v>17750</v>
      </c>
      <c r="T418" s="1475">
        <f t="shared" si="200"/>
        <v>17750</v>
      </c>
      <c r="U418" s="1475">
        <f t="shared" si="200"/>
        <v>17750</v>
      </c>
      <c r="V418" s="1476">
        <f t="shared" si="192"/>
        <v>88750</v>
      </c>
    </row>
    <row r="419" spans="1:22" s="39" customFormat="1" ht="24" customHeight="1">
      <c r="A419" s="1860">
        <v>1</v>
      </c>
      <c r="B419" s="1860"/>
      <c r="C419" s="1860"/>
      <c r="D419" s="1860"/>
      <c r="E419" s="1839"/>
      <c r="F419" s="1841"/>
      <c r="G419" s="1643"/>
      <c r="H419" s="1596"/>
      <c r="I419" s="1615"/>
      <c r="J419" s="40" t="s">
        <v>429</v>
      </c>
      <c r="K419" s="42"/>
      <c r="L419" s="364">
        <f>L417*0.7</f>
        <v>35</v>
      </c>
      <c r="M419" s="364">
        <f>M417*0.7</f>
        <v>35</v>
      </c>
      <c r="N419" s="364">
        <f>N417*0.7</f>
        <v>35</v>
      </c>
      <c r="O419" s="364">
        <f>O417*0.7</f>
        <v>35</v>
      </c>
      <c r="P419" s="364">
        <f>P417*0.7</f>
        <v>35</v>
      </c>
      <c r="Q419" s="1475">
        <f>L419*$H422</f>
        <v>12425</v>
      </c>
      <c r="R419" s="1475">
        <f>M419*$H422</f>
        <v>12425</v>
      </c>
      <c r="S419" s="1475">
        <f>N419*$H422</f>
        <v>12425</v>
      </c>
      <c r="T419" s="1475">
        <f>O419*$H422</f>
        <v>12425</v>
      </c>
      <c r="U419" s="1475">
        <f>P419*$H422</f>
        <v>12425</v>
      </c>
      <c r="V419" s="1476">
        <f t="shared" si="192"/>
        <v>62125</v>
      </c>
    </row>
    <row r="420" spans="1:22" s="39" customFormat="1" ht="24" customHeight="1">
      <c r="A420" s="1860">
        <v>1</v>
      </c>
      <c r="B420" s="1860"/>
      <c r="C420" s="1860"/>
      <c r="D420" s="1860"/>
      <c r="E420" s="1839"/>
      <c r="F420" s="1841"/>
      <c r="G420" s="1643"/>
      <c r="H420" s="1596"/>
      <c r="I420" s="1615"/>
      <c r="J420" s="40" t="s">
        <v>133</v>
      </c>
      <c r="K420" s="42"/>
      <c r="L420" s="364">
        <f>L417*0.3</f>
        <v>15</v>
      </c>
      <c r="M420" s="364">
        <f>M417*0.3</f>
        <v>15</v>
      </c>
      <c r="N420" s="364">
        <f>N417*0.3</f>
        <v>15</v>
      </c>
      <c r="O420" s="364">
        <f>O417*0.3</f>
        <v>15</v>
      </c>
      <c r="P420" s="364">
        <f>P417*0.3</f>
        <v>15</v>
      </c>
      <c r="Q420" s="1475">
        <f>L420*$H422</f>
        <v>5325</v>
      </c>
      <c r="R420" s="1475">
        <f>M420*$H422</f>
        <v>5325</v>
      </c>
      <c r="S420" s="1475">
        <f>N420*$H422</f>
        <v>5325</v>
      </c>
      <c r="T420" s="1475">
        <f>O420*$H422</f>
        <v>5325</v>
      </c>
      <c r="U420" s="1475">
        <f>P420*$H422</f>
        <v>5325</v>
      </c>
      <c r="V420" s="1476">
        <f t="shared" si="192"/>
        <v>26625</v>
      </c>
    </row>
    <row r="421" spans="1:22" s="39" customFormat="1" ht="24" customHeight="1">
      <c r="A421" s="1860">
        <v>1</v>
      </c>
      <c r="B421" s="1860"/>
      <c r="C421" s="1860"/>
      <c r="D421" s="1860"/>
      <c r="E421" s="1839"/>
      <c r="F421" s="1841"/>
      <c r="G421" s="1643"/>
      <c r="H421" s="1618"/>
      <c r="I421" s="1615"/>
      <c r="J421" s="40" t="s">
        <v>81</v>
      </c>
      <c r="K421" s="42"/>
      <c r="L421" s="364">
        <v>0</v>
      </c>
      <c r="M421" s="364">
        <v>0</v>
      </c>
      <c r="N421" s="364">
        <v>0</v>
      </c>
      <c r="O421" s="364">
        <v>0</v>
      </c>
      <c r="P421" s="364">
        <v>0</v>
      </c>
      <c r="Q421" s="1475">
        <f>L421*$H422</f>
        <v>0</v>
      </c>
      <c r="R421" s="1475">
        <f>M421*$H422</f>
        <v>0</v>
      </c>
      <c r="S421" s="1475">
        <f>N421*$H422</f>
        <v>0</v>
      </c>
      <c r="T421" s="1475">
        <f>O421*$H422</f>
        <v>0</v>
      </c>
      <c r="U421" s="1475">
        <f>P421*$H422</f>
        <v>0</v>
      </c>
      <c r="V421" s="1476">
        <f t="shared" si="192"/>
        <v>0</v>
      </c>
    </row>
    <row r="422" spans="1:22" s="39" customFormat="1" ht="24" customHeight="1">
      <c r="A422" s="1860">
        <v>1</v>
      </c>
      <c r="B422" s="1860"/>
      <c r="C422" s="1860"/>
      <c r="D422" s="1860"/>
      <c r="E422" s="1839"/>
      <c r="F422" s="1841"/>
      <c r="G422" s="1643"/>
      <c r="H422" s="1601">
        <f>'Budget assumption'!$C$228</f>
        <v>355</v>
      </c>
      <c r="I422" s="1615"/>
      <c r="J422" s="40" t="s">
        <v>134</v>
      </c>
      <c r="K422" s="42"/>
      <c r="L422" s="364">
        <v>0</v>
      </c>
      <c r="M422" s="364">
        <v>0</v>
      </c>
      <c r="N422" s="364">
        <v>0</v>
      </c>
      <c r="O422" s="364">
        <v>0</v>
      </c>
      <c r="P422" s="364">
        <v>0</v>
      </c>
      <c r="Q422" s="1475">
        <f>L422*$H422</f>
        <v>0</v>
      </c>
      <c r="R422" s="1475">
        <f>M422*$H422</f>
        <v>0</v>
      </c>
      <c r="S422" s="1475">
        <f>N422*$H422</f>
        <v>0</v>
      </c>
      <c r="T422" s="1475">
        <f>O422*$H422</f>
        <v>0</v>
      </c>
      <c r="U422" s="1475">
        <f>P422*$H422</f>
        <v>0</v>
      </c>
      <c r="V422" s="1476">
        <f t="shared" si="192"/>
        <v>0</v>
      </c>
    </row>
    <row r="423" spans="1:22" s="39" customFormat="1" ht="24" customHeight="1">
      <c r="A423" s="1860">
        <v>1</v>
      </c>
      <c r="B423" s="1860"/>
      <c r="C423" s="1860"/>
      <c r="D423" s="1860"/>
      <c r="E423" s="1839"/>
      <c r="F423" s="1841"/>
      <c r="G423" s="1643"/>
      <c r="H423" s="1601">
        <f>810*0.05</f>
        <v>40.5</v>
      </c>
      <c r="I423" s="1615"/>
      <c r="J423" s="40" t="s">
        <v>82</v>
      </c>
      <c r="K423" s="42"/>
      <c r="L423" s="364">
        <v>0</v>
      </c>
      <c r="M423" s="364">
        <v>0</v>
      </c>
      <c r="N423" s="364">
        <v>0</v>
      </c>
      <c r="O423" s="364">
        <v>0</v>
      </c>
      <c r="P423" s="364">
        <v>0</v>
      </c>
      <c r="Q423" s="1475">
        <f>L423*$H422</f>
        <v>0</v>
      </c>
      <c r="R423" s="1475">
        <f>M423*$H422</f>
        <v>0</v>
      </c>
      <c r="S423" s="1475">
        <f>N423*$H422</f>
        <v>0</v>
      </c>
      <c r="T423" s="1475">
        <f>O423*$H422</f>
        <v>0</v>
      </c>
      <c r="U423" s="1475">
        <f>P423*$H422</f>
        <v>0</v>
      </c>
      <c r="V423" s="1476">
        <f t="shared" si="192"/>
        <v>0</v>
      </c>
    </row>
    <row r="424" spans="1:22" s="39" customFormat="1" ht="24" customHeight="1">
      <c r="A424" s="1860">
        <v>1</v>
      </c>
      <c r="B424" s="1860"/>
      <c r="C424" s="1860"/>
      <c r="D424" s="1860"/>
      <c r="E424" s="1839"/>
      <c r="F424" s="1841"/>
      <c r="G424" s="1643"/>
      <c r="H424" s="1601"/>
      <c r="I424" s="1615"/>
      <c r="J424" s="40" t="s">
        <v>90</v>
      </c>
      <c r="K424" s="42"/>
      <c r="L424" s="364">
        <v>0</v>
      </c>
      <c r="M424" s="364">
        <v>0</v>
      </c>
      <c r="N424" s="364">
        <v>0</v>
      </c>
      <c r="O424" s="364">
        <v>0</v>
      </c>
      <c r="P424" s="364">
        <v>0</v>
      </c>
      <c r="Q424" s="1475">
        <f>L424*$H422</f>
        <v>0</v>
      </c>
      <c r="R424" s="1475">
        <f>M424*$H422</f>
        <v>0</v>
      </c>
      <c r="S424" s="1475">
        <f>N424*$H422</f>
        <v>0</v>
      </c>
      <c r="T424" s="1475">
        <f>O424*$H422</f>
        <v>0</v>
      </c>
      <c r="U424" s="1475">
        <f>P424*$H422</f>
        <v>0</v>
      </c>
      <c r="V424" s="1476">
        <f t="shared" si="192"/>
        <v>0</v>
      </c>
    </row>
    <row r="425" spans="1:22" s="39" customFormat="1" ht="24" customHeight="1">
      <c r="A425" s="1860">
        <v>1</v>
      </c>
      <c r="B425" s="1860"/>
      <c r="C425" s="1860"/>
      <c r="D425" s="1860"/>
      <c r="E425" s="1839"/>
      <c r="F425" s="1841"/>
      <c r="G425" s="1643"/>
      <c r="H425" s="1601"/>
      <c r="I425" s="1615"/>
      <c r="J425" s="40" t="s">
        <v>83</v>
      </c>
      <c r="K425" s="42"/>
      <c r="L425" s="364">
        <v>0</v>
      </c>
      <c r="M425" s="364">
        <v>0</v>
      </c>
      <c r="N425" s="364">
        <v>0</v>
      </c>
      <c r="O425" s="364">
        <v>0</v>
      </c>
      <c r="P425" s="364">
        <v>0</v>
      </c>
      <c r="Q425" s="1475">
        <f>L425*$H422</f>
        <v>0</v>
      </c>
      <c r="R425" s="1475">
        <f>M425*$H422</f>
        <v>0</v>
      </c>
      <c r="S425" s="1475">
        <f>N425*$H422</f>
        <v>0</v>
      </c>
      <c r="T425" s="1475">
        <f>O425*$H422</f>
        <v>0</v>
      </c>
      <c r="U425" s="1475">
        <f>P425*$H422</f>
        <v>0</v>
      </c>
      <c r="V425" s="1476">
        <f t="shared" si="192"/>
        <v>0</v>
      </c>
    </row>
    <row r="426" spans="1:22" s="39" customFormat="1" ht="24" customHeight="1">
      <c r="A426" s="1860">
        <v>1</v>
      </c>
      <c r="B426" s="1860"/>
      <c r="C426" s="1860"/>
      <c r="D426" s="1860"/>
      <c r="E426" s="1839"/>
      <c r="F426" s="1841"/>
      <c r="G426" s="1644"/>
      <c r="H426" s="1601"/>
      <c r="I426" s="1617"/>
      <c r="J426" s="40" t="s">
        <v>84</v>
      </c>
      <c r="K426" s="42"/>
      <c r="L426" s="364">
        <f>L417-L418</f>
        <v>0</v>
      </c>
      <c r="M426" s="364">
        <f t="shared" ref="M426:P426" si="201">M417-M418</f>
        <v>0</v>
      </c>
      <c r="N426" s="364">
        <f t="shared" si="201"/>
        <v>0</v>
      </c>
      <c r="O426" s="364">
        <f t="shared" si="201"/>
        <v>0</v>
      </c>
      <c r="P426" s="364">
        <f t="shared" si="201"/>
        <v>0</v>
      </c>
      <c r="Q426" s="1475">
        <f t="shared" ref="Q426:U426" si="202">Q417-Q418</f>
        <v>0</v>
      </c>
      <c r="R426" s="1475">
        <f t="shared" si="202"/>
        <v>0</v>
      </c>
      <c r="S426" s="1475">
        <f t="shared" si="202"/>
        <v>0</v>
      </c>
      <c r="T426" s="1475">
        <f t="shared" si="202"/>
        <v>0</v>
      </c>
      <c r="U426" s="1475">
        <f t="shared" si="202"/>
        <v>0</v>
      </c>
      <c r="V426" s="1476">
        <f t="shared" si="192"/>
        <v>0</v>
      </c>
    </row>
    <row r="427" spans="1:22" s="45" customFormat="1" ht="24" customHeight="1">
      <c r="A427" s="1860">
        <v>1</v>
      </c>
      <c r="B427" s="1860">
        <v>3</v>
      </c>
      <c r="C427" s="1860">
        <v>1</v>
      </c>
      <c r="D427" s="1860">
        <v>4</v>
      </c>
      <c r="E427" s="1839" t="s">
        <v>49</v>
      </c>
      <c r="F427" s="1841" t="str">
        <f>CONCATENATE(A427,".",B427,".",C427,".",D427,)</f>
        <v>1.3.1.4</v>
      </c>
      <c r="G427" s="1642" t="s">
        <v>2</v>
      </c>
      <c r="H427" s="1595" t="s">
        <v>1121</v>
      </c>
      <c r="I427" s="1770" t="s">
        <v>751</v>
      </c>
      <c r="J427" s="36" t="s">
        <v>79</v>
      </c>
      <c r="K427" s="42"/>
      <c r="L427" s="381">
        <f>'Budget assumption'!D$220</f>
        <v>225</v>
      </c>
      <c r="M427" s="381">
        <f>'Budget assumption'!E$220</f>
        <v>230</v>
      </c>
      <c r="N427" s="381">
        <f>'Budget assumption'!F$220</f>
        <v>235</v>
      </c>
      <c r="O427" s="381">
        <f>'Budget assumption'!G$220</f>
        <v>240</v>
      </c>
      <c r="P427" s="381">
        <f>'Budget assumption'!H$220</f>
        <v>245</v>
      </c>
      <c r="Q427" s="1475">
        <f>L427*H432</f>
        <v>1800000</v>
      </c>
      <c r="R427" s="1475">
        <f>M427*H432</f>
        <v>1840000</v>
      </c>
      <c r="S427" s="1475">
        <f>N427*H432</f>
        <v>1880000</v>
      </c>
      <c r="T427" s="1475">
        <f>O427*H432</f>
        <v>1920000</v>
      </c>
      <c r="U427" s="1475">
        <f>P427*H432</f>
        <v>1960000</v>
      </c>
      <c r="V427" s="1476">
        <f t="shared" si="192"/>
        <v>9400000</v>
      </c>
    </row>
    <row r="428" spans="1:22" s="39" customFormat="1" ht="24" customHeight="1">
      <c r="A428" s="1860">
        <v>1</v>
      </c>
      <c r="B428" s="1860"/>
      <c r="C428" s="1860"/>
      <c r="D428" s="1860"/>
      <c r="E428" s="1839"/>
      <c r="F428" s="1841"/>
      <c r="G428" s="1643"/>
      <c r="H428" s="1596"/>
      <c r="I428" s="1771"/>
      <c r="J428" s="40" t="s">
        <v>80</v>
      </c>
      <c r="K428" s="42"/>
      <c r="L428" s="364">
        <f t="shared" ref="L428:U428" si="203">SUM(L429:L435)</f>
        <v>225</v>
      </c>
      <c r="M428" s="364">
        <f t="shared" si="203"/>
        <v>230</v>
      </c>
      <c r="N428" s="364">
        <f t="shared" si="203"/>
        <v>235</v>
      </c>
      <c r="O428" s="364">
        <f t="shared" si="203"/>
        <v>240</v>
      </c>
      <c r="P428" s="364">
        <f t="shared" si="203"/>
        <v>245</v>
      </c>
      <c r="Q428" s="1475">
        <f t="shared" si="203"/>
        <v>1800000</v>
      </c>
      <c r="R428" s="1475">
        <f t="shared" si="203"/>
        <v>1840000</v>
      </c>
      <c r="S428" s="1475">
        <f t="shared" si="203"/>
        <v>1880000</v>
      </c>
      <c r="T428" s="1475">
        <f t="shared" si="203"/>
        <v>1920000</v>
      </c>
      <c r="U428" s="1475">
        <f t="shared" si="203"/>
        <v>1960000</v>
      </c>
      <c r="V428" s="1476">
        <f t="shared" si="192"/>
        <v>9400000</v>
      </c>
    </row>
    <row r="429" spans="1:22" s="39" customFormat="1" ht="24" customHeight="1">
      <c r="A429" s="1860">
        <v>1</v>
      </c>
      <c r="B429" s="1860"/>
      <c r="C429" s="1860"/>
      <c r="D429" s="1860"/>
      <c r="E429" s="1839"/>
      <c r="F429" s="1841"/>
      <c r="G429" s="1643"/>
      <c r="H429" s="1596"/>
      <c r="I429" s="1771"/>
      <c r="J429" s="40" t="s">
        <v>429</v>
      </c>
      <c r="K429" s="42"/>
      <c r="L429" s="364">
        <f>L427*0.7</f>
        <v>157.5</v>
      </c>
      <c r="M429" s="364">
        <f t="shared" ref="M429:P429" si="204">M427*0.7</f>
        <v>161</v>
      </c>
      <c r="N429" s="364">
        <f t="shared" si="204"/>
        <v>164.5</v>
      </c>
      <c r="O429" s="364">
        <f t="shared" si="204"/>
        <v>168</v>
      </c>
      <c r="P429" s="364">
        <f t="shared" si="204"/>
        <v>171.5</v>
      </c>
      <c r="Q429" s="1475">
        <f>L429*$H432</f>
        <v>1260000</v>
      </c>
      <c r="R429" s="1475">
        <f>M429*$H432</f>
        <v>1288000</v>
      </c>
      <c r="S429" s="1475">
        <f>N429*$H432</f>
        <v>1316000</v>
      </c>
      <c r="T429" s="1475">
        <f>O429*$H432</f>
        <v>1344000</v>
      </c>
      <c r="U429" s="1475">
        <f>P429*$H432</f>
        <v>1372000</v>
      </c>
      <c r="V429" s="1476">
        <f t="shared" si="192"/>
        <v>6580000</v>
      </c>
    </row>
    <row r="430" spans="1:22" s="39" customFormat="1" ht="24" customHeight="1">
      <c r="A430" s="1860">
        <v>1</v>
      </c>
      <c r="B430" s="1860"/>
      <c r="C430" s="1860"/>
      <c r="D430" s="1860"/>
      <c r="E430" s="1839"/>
      <c r="F430" s="1841"/>
      <c r="G430" s="1643"/>
      <c r="H430" s="1596"/>
      <c r="I430" s="1771"/>
      <c r="J430" s="40" t="s">
        <v>133</v>
      </c>
      <c r="K430" s="42"/>
      <c r="L430" s="364">
        <f>L427*0.3</f>
        <v>67.5</v>
      </c>
      <c r="M430" s="364">
        <f>M427*0.3</f>
        <v>69</v>
      </c>
      <c r="N430" s="364">
        <f t="shared" ref="N430:P430" si="205">N427*0.3</f>
        <v>70.5</v>
      </c>
      <c r="O430" s="364">
        <f t="shared" si="205"/>
        <v>72</v>
      </c>
      <c r="P430" s="364">
        <f t="shared" si="205"/>
        <v>73.5</v>
      </c>
      <c r="Q430" s="1475">
        <f>L430*$H432</f>
        <v>540000</v>
      </c>
      <c r="R430" s="1475">
        <f>M430*$H432</f>
        <v>552000</v>
      </c>
      <c r="S430" s="1475">
        <f>N430*$H432</f>
        <v>564000</v>
      </c>
      <c r="T430" s="1475">
        <f>O430*$H432</f>
        <v>576000</v>
      </c>
      <c r="U430" s="1475">
        <f>P430*$H432</f>
        <v>588000</v>
      </c>
      <c r="V430" s="1476">
        <f t="shared" si="192"/>
        <v>2820000</v>
      </c>
    </row>
    <row r="431" spans="1:22" s="39" customFormat="1" ht="24" customHeight="1">
      <c r="A431" s="1860">
        <v>1</v>
      </c>
      <c r="B431" s="1860"/>
      <c r="C431" s="1860"/>
      <c r="D431" s="1860"/>
      <c r="E431" s="1839"/>
      <c r="F431" s="1841"/>
      <c r="G431" s="1643"/>
      <c r="H431" s="1618"/>
      <c r="I431" s="1771"/>
      <c r="J431" s="40" t="s">
        <v>81</v>
      </c>
      <c r="K431" s="42"/>
      <c r="L431" s="364">
        <v>0</v>
      </c>
      <c r="M431" s="364">
        <v>0</v>
      </c>
      <c r="N431" s="364">
        <v>0</v>
      </c>
      <c r="O431" s="364">
        <v>0</v>
      </c>
      <c r="P431" s="364">
        <v>0</v>
      </c>
      <c r="Q431" s="1475">
        <f>L431*$H432</f>
        <v>0</v>
      </c>
      <c r="R431" s="1475">
        <f>M431*$H432</f>
        <v>0</v>
      </c>
      <c r="S431" s="1475">
        <f>N431*$H432</f>
        <v>0</v>
      </c>
      <c r="T431" s="1475">
        <f>O431*$H432</f>
        <v>0</v>
      </c>
      <c r="U431" s="1475">
        <f>P431*$H432</f>
        <v>0</v>
      </c>
      <c r="V431" s="1476">
        <f t="shared" si="192"/>
        <v>0</v>
      </c>
    </row>
    <row r="432" spans="1:22" s="39" customFormat="1" ht="24" customHeight="1">
      <c r="A432" s="1860">
        <v>1</v>
      </c>
      <c r="B432" s="1860"/>
      <c r="C432" s="1860"/>
      <c r="D432" s="1860"/>
      <c r="E432" s="1839"/>
      <c r="F432" s="1841"/>
      <c r="G432" s="1643"/>
      <c r="H432" s="1601">
        <v>8000</v>
      </c>
      <c r="I432" s="1771"/>
      <c r="J432" s="40" t="s">
        <v>134</v>
      </c>
      <c r="K432" s="42"/>
      <c r="L432" s="364">
        <v>0</v>
      </c>
      <c r="M432" s="364">
        <v>0</v>
      </c>
      <c r="N432" s="364">
        <v>0</v>
      </c>
      <c r="O432" s="364">
        <v>0</v>
      </c>
      <c r="P432" s="364">
        <v>0</v>
      </c>
      <c r="Q432" s="1475">
        <f>L432*$H432</f>
        <v>0</v>
      </c>
      <c r="R432" s="1475">
        <f>M432*$H432</f>
        <v>0</v>
      </c>
      <c r="S432" s="1475">
        <f>N432*$H432</f>
        <v>0</v>
      </c>
      <c r="T432" s="1475">
        <f>O432*$H432</f>
        <v>0</v>
      </c>
      <c r="U432" s="1475">
        <f>P432*$H432</f>
        <v>0</v>
      </c>
      <c r="V432" s="1476">
        <f t="shared" si="192"/>
        <v>0</v>
      </c>
    </row>
    <row r="433" spans="1:22" s="39" customFormat="1" ht="24" customHeight="1">
      <c r="A433" s="1860">
        <v>1</v>
      </c>
      <c r="B433" s="1860"/>
      <c r="C433" s="1860"/>
      <c r="D433" s="1860"/>
      <c r="E433" s="1839"/>
      <c r="F433" s="1841"/>
      <c r="G433" s="1643"/>
      <c r="H433" s="1601">
        <f>810*0.05</f>
        <v>40.5</v>
      </c>
      <c r="I433" s="1771"/>
      <c r="J433" s="40" t="s">
        <v>82</v>
      </c>
      <c r="K433" s="42"/>
      <c r="L433" s="364">
        <v>0</v>
      </c>
      <c r="M433" s="364">
        <v>0</v>
      </c>
      <c r="N433" s="364">
        <v>0</v>
      </c>
      <c r="O433" s="364">
        <v>0</v>
      </c>
      <c r="P433" s="364">
        <v>0</v>
      </c>
      <c r="Q433" s="1475">
        <f>L433*$H432</f>
        <v>0</v>
      </c>
      <c r="R433" s="1475">
        <f>M433*$H432</f>
        <v>0</v>
      </c>
      <c r="S433" s="1475">
        <f>N433*$H432</f>
        <v>0</v>
      </c>
      <c r="T433" s="1475">
        <f>O433*$H432</f>
        <v>0</v>
      </c>
      <c r="U433" s="1475">
        <f>P433*$H432</f>
        <v>0</v>
      </c>
      <c r="V433" s="1476">
        <f t="shared" si="192"/>
        <v>0</v>
      </c>
    </row>
    <row r="434" spans="1:22" s="39" customFormat="1" ht="24" customHeight="1">
      <c r="A434" s="1860">
        <v>1</v>
      </c>
      <c r="B434" s="1860"/>
      <c r="C434" s="1860"/>
      <c r="D434" s="1860"/>
      <c r="E434" s="1839"/>
      <c r="F434" s="1841"/>
      <c r="G434" s="1643"/>
      <c r="H434" s="1601"/>
      <c r="I434" s="1771"/>
      <c r="J434" s="40" t="s">
        <v>90</v>
      </c>
      <c r="K434" s="42"/>
      <c r="L434" s="364">
        <v>0</v>
      </c>
      <c r="M434" s="364">
        <v>0</v>
      </c>
      <c r="N434" s="364">
        <v>0</v>
      </c>
      <c r="O434" s="364">
        <v>0</v>
      </c>
      <c r="P434" s="364">
        <v>0</v>
      </c>
      <c r="Q434" s="1475">
        <f>L434*$H432</f>
        <v>0</v>
      </c>
      <c r="R434" s="1475">
        <f>M434*$H432</f>
        <v>0</v>
      </c>
      <c r="S434" s="1475">
        <f>N434*$H432</f>
        <v>0</v>
      </c>
      <c r="T434" s="1475">
        <f>O434*$H432</f>
        <v>0</v>
      </c>
      <c r="U434" s="1475">
        <f>P434*$H432</f>
        <v>0</v>
      </c>
      <c r="V434" s="1476">
        <f t="shared" ref="V434:V456" si="206">SUM(Q434:U434)</f>
        <v>0</v>
      </c>
    </row>
    <row r="435" spans="1:22" s="39" customFormat="1" ht="24" customHeight="1">
      <c r="A435" s="1860">
        <v>1</v>
      </c>
      <c r="B435" s="1860"/>
      <c r="C435" s="1860"/>
      <c r="D435" s="1860"/>
      <c r="E435" s="1839"/>
      <c r="F435" s="1841"/>
      <c r="G435" s="1643"/>
      <c r="H435" s="1601"/>
      <c r="I435" s="1771"/>
      <c r="J435" s="40" t="s">
        <v>83</v>
      </c>
      <c r="K435" s="42"/>
      <c r="L435" s="364">
        <v>0</v>
      </c>
      <c r="M435" s="364">
        <v>0</v>
      </c>
      <c r="N435" s="364">
        <v>0</v>
      </c>
      <c r="O435" s="364">
        <v>0</v>
      </c>
      <c r="P435" s="364">
        <v>0</v>
      </c>
      <c r="Q435" s="1475">
        <f>L435*$H432</f>
        <v>0</v>
      </c>
      <c r="R435" s="1475">
        <f>M435*$H432</f>
        <v>0</v>
      </c>
      <c r="S435" s="1475">
        <f>N435*$H432</f>
        <v>0</v>
      </c>
      <c r="T435" s="1475">
        <f>O435*$H432</f>
        <v>0</v>
      </c>
      <c r="U435" s="1475">
        <f>P435*$H432</f>
        <v>0</v>
      </c>
      <c r="V435" s="1476">
        <f t="shared" si="206"/>
        <v>0</v>
      </c>
    </row>
    <row r="436" spans="1:22" s="39" customFormat="1" ht="24" customHeight="1">
      <c r="A436" s="1860">
        <v>1</v>
      </c>
      <c r="B436" s="1860"/>
      <c r="C436" s="1860"/>
      <c r="D436" s="1860"/>
      <c r="E436" s="1839"/>
      <c r="F436" s="1841"/>
      <c r="G436" s="1644"/>
      <c r="H436" s="1601"/>
      <c r="I436" s="1772"/>
      <c r="J436" s="40" t="s">
        <v>84</v>
      </c>
      <c r="K436" s="42"/>
      <c r="L436" s="364">
        <f>L427-L428</f>
        <v>0</v>
      </c>
      <c r="M436" s="364">
        <f t="shared" ref="M436:U436" si="207">M427-M428</f>
        <v>0</v>
      </c>
      <c r="N436" s="364">
        <f t="shared" si="207"/>
        <v>0</v>
      </c>
      <c r="O436" s="364">
        <f t="shared" si="207"/>
        <v>0</v>
      </c>
      <c r="P436" s="364">
        <f t="shared" si="207"/>
        <v>0</v>
      </c>
      <c r="Q436" s="1475">
        <f t="shared" si="207"/>
        <v>0</v>
      </c>
      <c r="R436" s="1475">
        <f t="shared" si="207"/>
        <v>0</v>
      </c>
      <c r="S436" s="1475">
        <f t="shared" si="207"/>
        <v>0</v>
      </c>
      <c r="T436" s="1475">
        <f t="shared" si="207"/>
        <v>0</v>
      </c>
      <c r="U436" s="1475">
        <f t="shared" si="207"/>
        <v>0</v>
      </c>
      <c r="V436" s="1476">
        <f t="shared" si="206"/>
        <v>0</v>
      </c>
    </row>
    <row r="437" spans="1:22" s="45" customFormat="1" ht="24" customHeight="1">
      <c r="A437" s="1860">
        <v>1</v>
      </c>
      <c r="B437" s="1860">
        <v>3</v>
      </c>
      <c r="C437" s="1860">
        <v>1</v>
      </c>
      <c r="D437" s="1860">
        <v>5</v>
      </c>
      <c r="E437" s="1839" t="s">
        <v>49</v>
      </c>
      <c r="F437" s="1841" t="str">
        <f>CONCATENATE(A437,".",B437,".",C437,".",D437,)</f>
        <v>1.3.1.5</v>
      </c>
      <c r="G437" s="1642" t="s">
        <v>22</v>
      </c>
      <c r="H437" s="1595" t="s">
        <v>15</v>
      </c>
      <c r="I437" s="1655" t="s">
        <v>752</v>
      </c>
      <c r="J437" s="36" t="s">
        <v>79</v>
      </c>
      <c r="K437" s="892"/>
      <c r="L437" s="895">
        <v>1</v>
      </c>
      <c r="M437" s="895">
        <v>0</v>
      </c>
      <c r="N437" s="895">
        <v>0</v>
      </c>
      <c r="O437" s="893">
        <v>1</v>
      </c>
      <c r="P437" s="895">
        <v>0</v>
      </c>
      <c r="Q437" s="1475">
        <f>L437*H442</f>
        <v>52180</v>
      </c>
      <c r="R437" s="1475">
        <f>M437*H442</f>
        <v>0</v>
      </c>
      <c r="S437" s="1475">
        <f>N437*H442</f>
        <v>0</v>
      </c>
      <c r="T437" s="1475">
        <f>O437*H442</f>
        <v>52180</v>
      </c>
      <c r="U437" s="1475">
        <f>P437*H442</f>
        <v>0</v>
      </c>
      <c r="V437" s="1476">
        <f t="shared" si="206"/>
        <v>104360</v>
      </c>
    </row>
    <row r="438" spans="1:22" s="39" customFormat="1" ht="24" customHeight="1">
      <c r="A438" s="1860">
        <v>1</v>
      </c>
      <c r="B438" s="1860"/>
      <c r="C438" s="1860"/>
      <c r="D438" s="1860"/>
      <c r="E438" s="1839"/>
      <c r="F438" s="1841"/>
      <c r="G438" s="1643"/>
      <c r="H438" s="1596"/>
      <c r="I438" s="1656"/>
      <c r="J438" s="40" t="s">
        <v>80</v>
      </c>
      <c r="K438" s="42"/>
      <c r="L438" s="364">
        <f t="shared" ref="L438:U438" si="208">SUM(L439:L445)</f>
        <v>1</v>
      </c>
      <c r="M438" s="364">
        <f t="shared" si="208"/>
        <v>0</v>
      </c>
      <c r="N438" s="364">
        <f t="shared" si="208"/>
        <v>0</v>
      </c>
      <c r="O438" s="364">
        <f t="shared" si="208"/>
        <v>0</v>
      </c>
      <c r="P438" s="364">
        <f t="shared" si="208"/>
        <v>0</v>
      </c>
      <c r="Q438" s="1475">
        <f t="shared" si="208"/>
        <v>52180</v>
      </c>
      <c r="R438" s="1475">
        <f t="shared" si="208"/>
        <v>0</v>
      </c>
      <c r="S438" s="1475">
        <f t="shared" si="208"/>
        <v>0</v>
      </c>
      <c r="T438" s="1475">
        <f t="shared" si="208"/>
        <v>0</v>
      </c>
      <c r="U438" s="1475">
        <f t="shared" si="208"/>
        <v>0</v>
      </c>
      <c r="V438" s="1476">
        <f t="shared" si="206"/>
        <v>52180</v>
      </c>
    </row>
    <row r="439" spans="1:22" s="39" customFormat="1" ht="24" customHeight="1">
      <c r="A439" s="1860">
        <v>1</v>
      </c>
      <c r="B439" s="1860"/>
      <c r="C439" s="1860"/>
      <c r="D439" s="1860"/>
      <c r="E439" s="1839"/>
      <c r="F439" s="1841"/>
      <c r="G439" s="1643"/>
      <c r="H439" s="1596"/>
      <c r="I439" s="1656"/>
      <c r="J439" s="40" t="s">
        <v>429</v>
      </c>
      <c r="K439" s="42"/>
      <c r="L439" s="364">
        <v>0</v>
      </c>
      <c r="M439" s="364">
        <v>0</v>
      </c>
      <c r="N439" s="364">
        <v>0</v>
      </c>
      <c r="O439" s="364">
        <v>0</v>
      </c>
      <c r="P439" s="364">
        <v>0</v>
      </c>
      <c r="Q439" s="1475">
        <f>L439*$H442</f>
        <v>0</v>
      </c>
      <c r="R439" s="1475">
        <f>M439*$H442</f>
        <v>0</v>
      </c>
      <c r="S439" s="1475">
        <f>N439*$H442</f>
        <v>0</v>
      </c>
      <c r="T439" s="1475">
        <f>O439*$H442</f>
        <v>0</v>
      </c>
      <c r="U439" s="1475">
        <f>P439*$H442</f>
        <v>0</v>
      </c>
      <c r="V439" s="1476">
        <f t="shared" si="206"/>
        <v>0</v>
      </c>
    </row>
    <row r="440" spans="1:22" s="39" customFormat="1" ht="24" customHeight="1">
      <c r="A440" s="1860">
        <v>1</v>
      </c>
      <c r="B440" s="1860"/>
      <c r="C440" s="1860"/>
      <c r="D440" s="1860"/>
      <c r="E440" s="1839"/>
      <c r="F440" s="1841"/>
      <c r="G440" s="1643"/>
      <c r="H440" s="1596"/>
      <c r="I440" s="1656"/>
      <c r="J440" s="40" t="s">
        <v>133</v>
      </c>
      <c r="K440" s="42"/>
      <c r="L440" s="364">
        <v>0</v>
      </c>
      <c r="M440" s="364">
        <v>0</v>
      </c>
      <c r="N440" s="364">
        <v>0</v>
      </c>
      <c r="O440" s="364">
        <v>0</v>
      </c>
      <c r="P440" s="364">
        <v>0</v>
      </c>
      <c r="Q440" s="1475">
        <f>L440*$H442</f>
        <v>0</v>
      </c>
      <c r="R440" s="1475">
        <f>M440*$H442</f>
        <v>0</v>
      </c>
      <c r="S440" s="1475">
        <f>N440*$H442</f>
        <v>0</v>
      </c>
      <c r="T440" s="1475">
        <f>O440*$H442</f>
        <v>0</v>
      </c>
      <c r="U440" s="1475">
        <f>P440*$H442</f>
        <v>0</v>
      </c>
      <c r="V440" s="1476">
        <f t="shared" si="206"/>
        <v>0</v>
      </c>
    </row>
    <row r="441" spans="1:22" s="39" customFormat="1" ht="24" customHeight="1">
      <c r="A441" s="1860">
        <v>1</v>
      </c>
      <c r="B441" s="1860"/>
      <c r="C441" s="1860"/>
      <c r="D441" s="1860"/>
      <c r="E441" s="1839"/>
      <c r="F441" s="1841"/>
      <c r="G441" s="1643"/>
      <c r="H441" s="1618"/>
      <c r="I441" s="1656"/>
      <c r="J441" s="40" t="s">
        <v>81</v>
      </c>
      <c r="K441" s="42"/>
      <c r="L441" s="364">
        <v>0</v>
      </c>
      <c r="M441" s="364">
        <v>0</v>
      </c>
      <c r="N441" s="364">
        <v>0</v>
      </c>
      <c r="O441" s="364">
        <v>0</v>
      </c>
      <c r="P441" s="364">
        <v>0</v>
      </c>
      <c r="Q441" s="1475">
        <f>L441*$H442</f>
        <v>0</v>
      </c>
      <c r="R441" s="1475">
        <f>M441*$H442</f>
        <v>0</v>
      </c>
      <c r="S441" s="1475">
        <f>N441*$H442</f>
        <v>0</v>
      </c>
      <c r="T441" s="1475">
        <f>O441*$H442</f>
        <v>0</v>
      </c>
      <c r="U441" s="1475">
        <f>P441*$H442</f>
        <v>0</v>
      </c>
      <c r="V441" s="1476">
        <f t="shared" si="206"/>
        <v>0</v>
      </c>
    </row>
    <row r="442" spans="1:22" s="39" customFormat="1" ht="24" customHeight="1">
      <c r="A442" s="1860">
        <v>1</v>
      </c>
      <c r="B442" s="1860"/>
      <c r="C442" s="1860"/>
      <c r="D442" s="1860"/>
      <c r="E442" s="1839"/>
      <c r="F442" s="1841"/>
      <c r="G442" s="1643"/>
      <c r="H442" s="1667">
        <f>'Budget assumption'!$C$4*2*10+'Budget assumption'!G15</f>
        <v>52180</v>
      </c>
      <c r="I442" s="1656"/>
      <c r="J442" s="40" t="s">
        <v>134</v>
      </c>
      <c r="K442" s="42"/>
      <c r="L442" s="364">
        <v>0</v>
      </c>
      <c r="M442" s="364">
        <v>0</v>
      </c>
      <c r="N442" s="364">
        <v>0</v>
      </c>
      <c r="O442" s="364">
        <v>0</v>
      </c>
      <c r="P442" s="364">
        <v>0</v>
      </c>
      <c r="Q442" s="1475">
        <f>L442*$H442</f>
        <v>0</v>
      </c>
      <c r="R442" s="1475">
        <f>M442*$H442</f>
        <v>0</v>
      </c>
      <c r="S442" s="1475">
        <f>N442*$H442</f>
        <v>0</v>
      </c>
      <c r="T442" s="1475">
        <f>O442*$H442</f>
        <v>0</v>
      </c>
      <c r="U442" s="1475">
        <f>P442*$H442</f>
        <v>0</v>
      </c>
      <c r="V442" s="1476">
        <f t="shared" si="206"/>
        <v>0</v>
      </c>
    </row>
    <row r="443" spans="1:22" s="39" customFormat="1" ht="24" customHeight="1">
      <c r="A443" s="1860">
        <v>1</v>
      </c>
      <c r="B443" s="1860"/>
      <c r="C443" s="1860"/>
      <c r="D443" s="1860"/>
      <c r="E443" s="1839"/>
      <c r="F443" s="1841"/>
      <c r="G443" s="1643"/>
      <c r="H443" s="1668"/>
      <c r="I443" s="1656"/>
      <c r="J443" s="40" t="s">
        <v>82</v>
      </c>
      <c r="K443" s="42"/>
      <c r="L443" s="364">
        <v>1</v>
      </c>
      <c r="M443" s="364">
        <v>0</v>
      </c>
      <c r="N443" s="364">
        <v>0</v>
      </c>
      <c r="O443" s="364">
        <v>0</v>
      </c>
      <c r="P443" s="364">
        <v>0</v>
      </c>
      <c r="Q443" s="1475">
        <f>L443*$H442</f>
        <v>52180</v>
      </c>
      <c r="R443" s="1475">
        <f>M443*$H442</f>
        <v>0</v>
      </c>
      <c r="S443" s="1475">
        <f>N443*$H442</f>
        <v>0</v>
      </c>
      <c r="T443" s="1475">
        <f>O443*$H442</f>
        <v>0</v>
      </c>
      <c r="U443" s="1475">
        <f>P443*$H442</f>
        <v>0</v>
      </c>
      <c r="V443" s="1476">
        <f t="shared" si="206"/>
        <v>52180</v>
      </c>
    </row>
    <row r="444" spans="1:22" s="39" customFormat="1" ht="24" customHeight="1">
      <c r="A444" s="1860">
        <v>1</v>
      </c>
      <c r="B444" s="1860"/>
      <c r="C444" s="1860"/>
      <c r="D444" s="1860"/>
      <c r="E444" s="1839"/>
      <c r="F444" s="1841"/>
      <c r="G444" s="1643"/>
      <c r="H444" s="1668"/>
      <c r="I444" s="1656"/>
      <c r="J444" s="40" t="s">
        <v>90</v>
      </c>
      <c r="K444" s="42"/>
      <c r="L444" s="364">
        <v>0</v>
      </c>
      <c r="M444" s="364">
        <v>0</v>
      </c>
      <c r="N444" s="364">
        <v>0</v>
      </c>
      <c r="O444" s="364">
        <v>0</v>
      </c>
      <c r="P444" s="364">
        <v>0</v>
      </c>
      <c r="Q444" s="1475">
        <f>L444*$H442</f>
        <v>0</v>
      </c>
      <c r="R444" s="1475">
        <f>M444*$H442</f>
        <v>0</v>
      </c>
      <c r="S444" s="1475">
        <f>N444*$H442</f>
        <v>0</v>
      </c>
      <c r="T444" s="1475">
        <f>O444*$H442</f>
        <v>0</v>
      </c>
      <c r="U444" s="1475">
        <f>P444*$H442</f>
        <v>0</v>
      </c>
      <c r="V444" s="1476">
        <f t="shared" si="206"/>
        <v>0</v>
      </c>
    </row>
    <row r="445" spans="1:22" s="39" customFormat="1" ht="24" customHeight="1">
      <c r="A445" s="1860">
        <v>1</v>
      </c>
      <c r="B445" s="1860"/>
      <c r="C445" s="1860"/>
      <c r="D445" s="1860"/>
      <c r="E445" s="1839"/>
      <c r="F445" s="1841"/>
      <c r="G445" s="1643"/>
      <c r="H445" s="1668"/>
      <c r="I445" s="1656"/>
      <c r="J445" s="40" t="s">
        <v>83</v>
      </c>
      <c r="K445" s="42"/>
      <c r="L445" s="364">
        <v>0</v>
      </c>
      <c r="M445" s="364">
        <v>0</v>
      </c>
      <c r="N445" s="364">
        <v>0</v>
      </c>
      <c r="O445" s="364">
        <v>0</v>
      </c>
      <c r="P445" s="364">
        <v>0</v>
      </c>
      <c r="Q445" s="1475">
        <f>L445*$H442</f>
        <v>0</v>
      </c>
      <c r="R445" s="1475">
        <f>M445*$H442</f>
        <v>0</v>
      </c>
      <c r="S445" s="1475">
        <f>N445*$H442</f>
        <v>0</v>
      </c>
      <c r="T445" s="1475">
        <f>O445*$H442</f>
        <v>0</v>
      </c>
      <c r="U445" s="1475">
        <f>P445*$H442</f>
        <v>0</v>
      </c>
      <c r="V445" s="1476">
        <f t="shared" si="206"/>
        <v>0</v>
      </c>
    </row>
    <row r="446" spans="1:22" s="39" customFormat="1" ht="24" customHeight="1" thickBot="1">
      <c r="A446" s="1860">
        <v>1</v>
      </c>
      <c r="B446" s="1860"/>
      <c r="C446" s="1860"/>
      <c r="D446" s="1860"/>
      <c r="E446" s="1839"/>
      <c r="F446" s="1841"/>
      <c r="G446" s="1644"/>
      <c r="H446" s="1669"/>
      <c r="I446" s="1657"/>
      <c r="J446" s="40" t="s">
        <v>84</v>
      </c>
      <c r="K446" s="42"/>
      <c r="L446" s="364">
        <f>L437-L438</f>
        <v>0</v>
      </c>
      <c r="M446" s="364">
        <f t="shared" ref="M446:U446" si="209">M437-M438</f>
        <v>0</v>
      </c>
      <c r="N446" s="364">
        <f t="shared" si="209"/>
        <v>0</v>
      </c>
      <c r="O446" s="364">
        <f t="shared" si="209"/>
        <v>1</v>
      </c>
      <c r="P446" s="364">
        <f t="shared" si="209"/>
        <v>0</v>
      </c>
      <c r="Q446" s="1475">
        <f t="shared" si="209"/>
        <v>0</v>
      </c>
      <c r="R446" s="1475">
        <f t="shared" si="209"/>
        <v>0</v>
      </c>
      <c r="S446" s="1475">
        <f t="shared" si="209"/>
        <v>0</v>
      </c>
      <c r="T446" s="1475">
        <f t="shared" si="209"/>
        <v>52180</v>
      </c>
      <c r="U446" s="1475">
        <f t="shared" si="209"/>
        <v>0</v>
      </c>
      <c r="V446" s="1476">
        <f t="shared" si="206"/>
        <v>52180</v>
      </c>
    </row>
    <row r="447" spans="1:22" s="45" customFormat="1" ht="24" customHeight="1">
      <c r="A447" s="1860">
        <v>1</v>
      </c>
      <c r="B447" s="1860">
        <v>3</v>
      </c>
      <c r="C447" s="1860">
        <v>1</v>
      </c>
      <c r="D447" s="1860">
        <v>6</v>
      </c>
      <c r="E447" s="1839" t="s">
        <v>49</v>
      </c>
      <c r="F447" s="1841" t="str">
        <f>CONCATENATE(A447,".",B447,".",C447,".",D447,)</f>
        <v>1.3.1.6</v>
      </c>
      <c r="G447" s="1642" t="s">
        <v>156</v>
      </c>
      <c r="H447" s="1598" t="s">
        <v>195</v>
      </c>
      <c r="I447" s="1655" t="s">
        <v>1043</v>
      </c>
      <c r="J447" s="36" t="s">
        <v>79</v>
      </c>
      <c r="K447" s="892"/>
      <c r="L447" s="895">
        <v>30</v>
      </c>
      <c r="M447" s="895">
        <v>0</v>
      </c>
      <c r="N447" s="895">
        <v>0</v>
      </c>
      <c r="O447" s="895">
        <v>0</v>
      </c>
      <c r="P447" s="895">
        <v>30</v>
      </c>
      <c r="Q447" s="1475">
        <f>L447*H452</f>
        <v>60000</v>
      </c>
      <c r="R447" s="1475">
        <f>M447*H452</f>
        <v>0</v>
      </c>
      <c r="S447" s="1475">
        <f>N447*H452</f>
        <v>0</v>
      </c>
      <c r="T447" s="1475">
        <f>O447*H452</f>
        <v>0</v>
      </c>
      <c r="U447" s="1475">
        <f>P447*H452</f>
        <v>60000</v>
      </c>
      <c r="V447" s="1476">
        <f t="shared" si="206"/>
        <v>120000</v>
      </c>
    </row>
    <row r="448" spans="1:22" s="39" customFormat="1" ht="24" customHeight="1">
      <c r="A448" s="1860">
        <v>1</v>
      </c>
      <c r="B448" s="1860"/>
      <c r="C448" s="1860"/>
      <c r="D448" s="1860"/>
      <c r="E448" s="1839"/>
      <c r="F448" s="1841"/>
      <c r="G448" s="1643"/>
      <c r="H448" s="1599"/>
      <c r="I448" s="1656"/>
      <c r="J448" s="40" t="s">
        <v>80</v>
      </c>
      <c r="K448" s="42"/>
      <c r="L448" s="364">
        <f t="shared" ref="L448:P448" si="210">SUM(L449:L455)</f>
        <v>30</v>
      </c>
      <c r="M448" s="364">
        <f t="shared" si="210"/>
        <v>0</v>
      </c>
      <c r="N448" s="364">
        <f t="shared" si="210"/>
        <v>0</v>
      </c>
      <c r="O448" s="364">
        <f t="shared" si="210"/>
        <v>0</v>
      </c>
      <c r="P448" s="364">
        <f t="shared" si="210"/>
        <v>0</v>
      </c>
      <c r="Q448" s="1475">
        <f t="shared" ref="Q448:U448" si="211">SUM(Q449:Q455)</f>
        <v>60000</v>
      </c>
      <c r="R448" s="1475">
        <f t="shared" si="211"/>
        <v>0</v>
      </c>
      <c r="S448" s="1475">
        <f t="shared" si="211"/>
        <v>0</v>
      </c>
      <c r="T448" s="1475">
        <f t="shared" si="211"/>
        <v>0</v>
      </c>
      <c r="U448" s="1475">
        <f t="shared" si="211"/>
        <v>0</v>
      </c>
      <c r="V448" s="1476">
        <f t="shared" si="206"/>
        <v>60000</v>
      </c>
    </row>
    <row r="449" spans="1:22" s="39" customFormat="1" ht="24" customHeight="1">
      <c r="A449" s="1860">
        <v>1</v>
      </c>
      <c r="B449" s="1860"/>
      <c r="C449" s="1860"/>
      <c r="D449" s="1860"/>
      <c r="E449" s="1839"/>
      <c r="F449" s="1841"/>
      <c r="G449" s="1643"/>
      <c r="H449" s="1599"/>
      <c r="I449" s="1656"/>
      <c r="J449" s="40" t="s">
        <v>429</v>
      </c>
      <c r="K449" s="42"/>
      <c r="L449" s="364">
        <v>0</v>
      </c>
      <c r="M449" s="364">
        <v>0</v>
      </c>
      <c r="N449" s="364">
        <v>0</v>
      </c>
      <c r="O449" s="364">
        <v>0</v>
      </c>
      <c r="P449" s="364">
        <v>0</v>
      </c>
      <c r="Q449" s="1475">
        <f>L449*$H452</f>
        <v>0</v>
      </c>
      <c r="R449" s="1475">
        <f>M449*$H452</f>
        <v>0</v>
      </c>
      <c r="S449" s="1475">
        <f>N449*$H452</f>
        <v>0</v>
      </c>
      <c r="T449" s="1475">
        <f>O449*$H452</f>
        <v>0</v>
      </c>
      <c r="U449" s="1475">
        <f>P449*$H452</f>
        <v>0</v>
      </c>
      <c r="V449" s="1476">
        <f t="shared" si="206"/>
        <v>0</v>
      </c>
    </row>
    <row r="450" spans="1:22" s="39" customFormat="1" ht="24" customHeight="1">
      <c r="A450" s="1860">
        <v>1</v>
      </c>
      <c r="B450" s="1860"/>
      <c r="C450" s="1860"/>
      <c r="D450" s="1860"/>
      <c r="E450" s="1839"/>
      <c r="F450" s="1841"/>
      <c r="G450" s="1643"/>
      <c r="H450" s="1599"/>
      <c r="I450" s="1656"/>
      <c r="J450" s="40" t="s">
        <v>133</v>
      </c>
      <c r="K450" s="42"/>
      <c r="L450" s="364">
        <v>0</v>
      </c>
      <c r="M450" s="364">
        <v>0</v>
      </c>
      <c r="N450" s="364">
        <v>0</v>
      </c>
      <c r="O450" s="364">
        <v>0</v>
      </c>
      <c r="P450" s="364">
        <v>0</v>
      </c>
      <c r="Q450" s="1475">
        <f>L450*$H452</f>
        <v>0</v>
      </c>
      <c r="R450" s="1475">
        <f>M450*$H452</f>
        <v>0</v>
      </c>
      <c r="S450" s="1475">
        <f>N450*$H452</f>
        <v>0</v>
      </c>
      <c r="T450" s="1475">
        <f>O450*$H452</f>
        <v>0</v>
      </c>
      <c r="U450" s="1475">
        <f>P450*$H452</f>
        <v>0</v>
      </c>
      <c r="V450" s="1476">
        <f t="shared" si="206"/>
        <v>0</v>
      </c>
    </row>
    <row r="451" spans="1:22" s="39" customFormat="1" ht="24" customHeight="1">
      <c r="A451" s="1860">
        <v>1</v>
      </c>
      <c r="B451" s="1860"/>
      <c r="C451" s="1860"/>
      <c r="D451" s="1860"/>
      <c r="E451" s="1839"/>
      <c r="F451" s="1841"/>
      <c r="G451" s="1643"/>
      <c r="H451" s="1733"/>
      <c r="I451" s="1656"/>
      <c r="J451" s="40" t="s">
        <v>81</v>
      </c>
      <c r="K451" s="42"/>
      <c r="L451" s="364">
        <v>0</v>
      </c>
      <c r="M451" s="364">
        <v>0</v>
      </c>
      <c r="N451" s="364">
        <v>0</v>
      </c>
      <c r="O451" s="364">
        <v>0</v>
      </c>
      <c r="P451" s="364">
        <v>0</v>
      </c>
      <c r="Q451" s="1475">
        <f>L451*$H452</f>
        <v>0</v>
      </c>
      <c r="R451" s="1475">
        <f>M451*$H452</f>
        <v>0</v>
      </c>
      <c r="S451" s="1475">
        <f>N451*$H452</f>
        <v>0</v>
      </c>
      <c r="T451" s="1475">
        <f>O451*$H452</f>
        <v>0</v>
      </c>
      <c r="U451" s="1475">
        <f>P451*$H452</f>
        <v>0</v>
      </c>
      <c r="V451" s="1476">
        <f t="shared" si="206"/>
        <v>0</v>
      </c>
    </row>
    <row r="452" spans="1:22" s="39" customFormat="1" ht="24" customHeight="1">
      <c r="A452" s="1860">
        <v>1</v>
      </c>
      <c r="B452" s="1860"/>
      <c r="C452" s="1860"/>
      <c r="D452" s="1860"/>
      <c r="E452" s="1839"/>
      <c r="F452" s="1841"/>
      <c r="G452" s="1643"/>
      <c r="H452" s="1667">
        <f>'Budget assumption'!C4</f>
        <v>2000</v>
      </c>
      <c r="I452" s="1656"/>
      <c r="J452" s="40" t="s">
        <v>134</v>
      </c>
      <c r="K452" s="42"/>
      <c r="L452" s="364">
        <v>0</v>
      </c>
      <c r="M452" s="364">
        <v>0</v>
      </c>
      <c r="N452" s="364">
        <v>0</v>
      </c>
      <c r="O452" s="364">
        <v>0</v>
      </c>
      <c r="P452" s="364">
        <v>0</v>
      </c>
      <c r="Q452" s="1475">
        <f>L452*$H452</f>
        <v>0</v>
      </c>
      <c r="R452" s="1475">
        <f>M452*$H452</f>
        <v>0</v>
      </c>
      <c r="S452" s="1475">
        <f>N452*$H452</f>
        <v>0</v>
      </c>
      <c r="T452" s="1475">
        <f>O452*$H452</f>
        <v>0</v>
      </c>
      <c r="U452" s="1475">
        <f>P452*$H452</f>
        <v>0</v>
      </c>
      <c r="V452" s="1476">
        <f t="shared" si="206"/>
        <v>0</v>
      </c>
    </row>
    <row r="453" spans="1:22" s="39" customFormat="1" ht="24" customHeight="1">
      <c r="A453" s="1860">
        <v>1</v>
      </c>
      <c r="B453" s="1860"/>
      <c r="C453" s="1860"/>
      <c r="D453" s="1860"/>
      <c r="E453" s="1839"/>
      <c r="F453" s="1841"/>
      <c r="G453" s="1643"/>
      <c r="H453" s="1668"/>
      <c r="I453" s="1656"/>
      <c r="J453" s="40" t="s">
        <v>82</v>
      </c>
      <c r="K453" s="42"/>
      <c r="L453" s="364">
        <v>30</v>
      </c>
      <c r="M453" s="364">
        <v>0</v>
      </c>
      <c r="N453" s="364">
        <v>0</v>
      </c>
      <c r="O453" s="364">
        <v>0</v>
      </c>
      <c r="P453" s="364">
        <v>0</v>
      </c>
      <c r="Q453" s="1475">
        <f>L453*$H452</f>
        <v>60000</v>
      </c>
      <c r="R453" s="1475">
        <f>M453*$H452</f>
        <v>0</v>
      </c>
      <c r="S453" s="1475">
        <f>N453*$H452</f>
        <v>0</v>
      </c>
      <c r="T453" s="1475">
        <f>O453*$H452</f>
        <v>0</v>
      </c>
      <c r="U453" s="1475">
        <f>P453*$H452</f>
        <v>0</v>
      </c>
      <c r="V453" s="1476">
        <f t="shared" si="206"/>
        <v>60000</v>
      </c>
    </row>
    <row r="454" spans="1:22" s="39" customFormat="1" ht="24" customHeight="1">
      <c r="A454" s="1860">
        <v>1</v>
      </c>
      <c r="B454" s="1860"/>
      <c r="C454" s="1860"/>
      <c r="D454" s="1860"/>
      <c r="E454" s="1839"/>
      <c r="F454" s="1841"/>
      <c r="G454" s="1643"/>
      <c r="H454" s="1668"/>
      <c r="I454" s="1656"/>
      <c r="J454" s="40" t="s">
        <v>90</v>
      </c>
      <c r="K454" s="42"/>
      <c r="L454" s="364">
        <v>0</v>
      </c>
      <c r="M454" s="364">
        <v>0</v>
      </c>
      <c r="N454" s="364">
        <v>0</v>
      </c>
      <c r="O454" s="364">
        <v>0</v>
      </c>
      <c r="P454" s="364">
        <v>0</v>
      </c>
      <c r="Q454" s="1475">
        <f>L454*$H452</f>
        <v>0</v>
      </c>
      <c r="R454" s="1475">
        <f>M454*$H452</f>
        <v>0</v>
      </c>
      <c r="S454" s="1475">
        <f>N454*$H452</f>
        <v>0</v>
      </c>
      <c r="T454" s="1475">
        <f>O454*$H452</f>
        <v>0</v>
      </c>
      <c r="U454" s="1475">
        <f>P454*$H452</f>
        <v>0</v>
      </c>
      <c r="V454" s="1476">
        <f t="shared" si="206"/>
        <v>0</v>
      </c>
    </row>
    <row r="455" spans="1:22" s="39" customFormat="1" ht="24" customHeight="1">
      <c r="A455" s="1860">
        <v>1</v>
      </c>
      <c r="B455" s="1860"/>
      <c r="C455" s="1860"/>
      <c r="D455" s="1860"/>
      <c r="E455" s="1839"/>
      <c r="F455" s="1841"/>
      <c r="G455" s="1643"/>
      <c r="H455" s="1668"/>
      <c r="I455" s="1656"/>
      <c r="J455" s="40" t="s">
        <v>83</v>
      </c>
      <c r="K455" s="42"/>
      <c r="L455" s="364">
        <v>0</v>
      </c>
      <c r="M455" s="364">
        <v>0</v>
      </c>
      <c r="N455" s="364">
        <v>0</v>
      </c>
      <c r="O455" s="364">
        <v>0</v>
      </c>
      <c r="P455" s="364">
        <v>0</v>
      </c>
      <c r="Q455" s="1475">
        <f>L455*$H452</f>
        <v>0</v>
      </c>
      <c r="R455" s="1475">
        <f>M455*$H452</f>
        <v>0</v>
      </c>
      <c r="S455" s="1475">
        <f>N455*$H452</f>
        <v>0</v>
      </c>
      <c r="T455" s="1475">
        <f>O455*$H452</f>
        <v>0</v>
      </c>
      <c r="U455" s="1475">
        <f>P455*$H452</f>
        <v>0</v>
      </c>
      <c r="V455" s="1476">
        <f t="shared" si="206"/>
        <v>0</v>
      </c>
    </row>
    <row r="456" spans="1:22" s="39" customFormat="1" ht="24" customHeight="1" thickBot="1">
      <c r="A456" s="1860">
        <v>1</v>
      </c>
      <c r="B456" s="1860"/>
      <c r="C456" s="1860"/>
      <c r="D456" s="1860"/>
      <c r="E456" s="1839"/>
      <c r="F456" s="1841"/>
      <c r="G456" s="1922"/>
      <c r="H456" s="1669"/>
      <c r="I456" s="1657"/>
      <c r="J456" s="40" t="s">
        <v>84</v>
      </c>
      <c r="K456" s="42"/>
      <c r="L456" s="364">
        <f>L447-L448</f>
        <v>0</v>
      </c>
      <c r="M456" s="364">
        <f t="shared" ref="M456:P456" si="212">M447-M448</f>
        <v>0</v>
      </c>
      <c r="N456" s="364">
        <f t="shared" si="212"/>
        <v>0</v>
      </c>
      <c r="O456" s="364">
        <f t="shared" si="212"/>
        <v>0</v>
      </c>
      <c r="P456" s="364">
        <f t="shared" si="212"/>
        <v>30</v>
      </c>
      <c r="Q456" s="1475">
        <f t="shared" ref="Q456:U456" si="213">Q447-Q448</f>
        <v>0</v>
      </c>
      <c r="R456" s="1475">
        <f t="shared" si="213"/>
        <v>0</v>
      </c>
      <c r="S456" s="1475">
        <f t="shared" si="213"/>
        <v>0</v>
      </c>
      <c r="T456" s="1475">
        <f t="shared" si="213"/>
        <v>0</v>
      </c>
      <c r="U456" s="1475">
        <f t="shared" si="213"/>
        <v>60000</v>
      </c>
      <c r="V456" s="1476">
        <f t="shared" si="206"/>
        <v>60000</v>
      </c>
    </row>
    <row r="457" spans="1:22" s="63" customFormat="1" ht="32.1" customHeight="1">
      <c r="A457" s="74">
        <v>1</v>
      </c>
      <c r="B457" s="74">
        <v>3</v>
      </c>
      <c r="C457" s="74">
        <v>2</v>
      </c>
      <c r="D457" s="74"/>
      <c r="E457" s="74"/>
      <c r="F457" s="854" t="str">
        <f>CONCATENATE(A457,".",B457,".",C457,)</f>
        <v>1.3.2</v>
      </c>
      <c r="G457" s="1589" t="s">
        <v>318</v>
      </c>
      <c r="H457" s="1590"/>
      <c r="I457" s="1590"/>
      <c r="J457" s="1591"/>
      <c r="K457" s="66"/>
      <c r="L457" s="864">
        <v>0.99</v>
      </c>
      <c r="M457" s="864">
        <v>0.99</v>
      </c>
      <c r="N457" s="864">
        <v>0.99</v>
      </c>
      <c r="O457" s="864">
        <v>0.99</v>
      </c>
      <c r="P457" s="864">
        <v>0.99</v>
      </c>
      <c r="Q457" s="1499">
        <f>Q459+Q469</f>
        <v>1767040</v>
      </c>
      <c r="R457" s="1499">
        <f t="shared" ref="R457:V457" si="214">R459+R469</f>
        <v>1747160</v>
      </c>
      <c r="S457" s="1499">
        <f t="shared" si="214"/>
        <v>1727680</v>
      </c>
      <c r="T457" s="1499">
        <f t="shared" si="214"/>
        <v>1709640</v>
      </c>
      <c r="U457" s="1499">
        <f t="shared" si="214"/>
        <v>1691960</v>
      </c>
      <c r="V457" s="1499">
        <f t="shared" si="214"/>
        <v>8643480</v>
      </c>
    </row>
    <row r="458" spans="1:22" s="64" customFormat="1" ht="24" customHeight="1">
      <c r="A458" s="1860">
        <v>1</v>
      </c>
      <c r="B458" s="1860">
        <v>3</v>
      </c>
      <c r="C458" s="1860">
        <v>2</v>
      </c>
      <c r="D458" s="1860">
        <v>1</v>
      </c>
      <c r="E458" s="1839"/>
      <c r="F458" s="1844" t="str">
        <f>CONCATENATE(A458,".",B458,".",C458,".",D458,)</f>
        <v>1.3.2.1</v>
      </c>
      <c r="G458" s="1664" t="s">
        <v>837</v>
      </c>
      <c r="H458" s="1601" t="s">
        <v>986</v>
      </c>
      <c r="I458" s="1764" t="s">
        <v>987</v>
      </c>
      <c r="J458" s="36" t="s">
        <v>79</v>
      </c>
      <c r="K458" s="896"/>
      <c r="L458" s="897">
        <f>'Budget Assumption_Lab Comp2'!K248</f>
        <v>47340</v>
      </c>
      <c r="M458" s="897">
        <f>'Budget Assumption_Lab Comp2'!L248</f>
        <v>46870</v>
      </c>
      <c r="N458" s="897">
        <f>'Budget Assumption_Lab Comp2'!M248</f>
        <v>46400</v>
      </c>
      <c r="O458" s="897">
        <f>'Budget Assumption_Lab Comp2'!N248</f>
        <v>45930</v>
      </c>
      <c r="P458" s="897">
        <f>'Budget Assumption_Lab Comp2'!O248</f>
        <v>45470</v>
      </c>
      <c r="Q458" s="1475">
        <f>L458*H463</f>
        <v>1704240</v>
      </c>
      <c r="R458" s="1475">
        <f>M458*H463</f>
        <v>1687320</v>
      </c>
      <c r="S458" s="1475">
        <f>N458*H463</f>
        <v>1670400</v>
      </c>
      <c r="T458" s="1475">
        <f>O458*H463</f>
        <v>1653480</v>
      </c>
      <c r="U458" s="1475">
        <f>P458*H463</f>
        <v>1636920</v>
      </c>
      <c r="V458" s="1476">
        <f t="shared" ref="V458:V467" si="215">SUM(Q458:U458)</f>
        <v>8352360</v>
      </c>
    </row>
    <row r="459" spans="1:22" s="39" customFormat="1" ht="24" customHeight="1">
      <c r="A459" s="1860">
        <v>1</v>
      </c>
      <c r="B459" s="1860"/>
      <c r="C459" s="1860"/>
      <c r="D459" s="1860"/>
      <c r="E459" s="1839"/>
      <c r="F459" s="1844"/>
      <c r="G459" s="1665"/>
      <c r="H459" s="1601"/>
      <c r="I459" s="1765"/>
      <c r="J459" s="40" t="s">
        <v>80</v>
      </c>
      <c r="K459" s="42"/>
      <c r="L459" s="37">
        <f t="shared" ref="L459:U459" si="216">SUM(L460:L466)</f>
        <v>47340</v>
      </c>
      <c r="M459" s="37">
        <f t="shared" si="216"/>
        <v>46870</v>
      </c>
      <c r="N459" s="37">
        <f t="shared" si="216"/>
        <v>46400</v>
      </c>
      <c r="O459" s="37">
        <f t="shared" si="216"/>
        <v>45930</v>
      </c>
      <c r="P459" s="813">
        <f t="shared" si="216"/>
        <v>45470</v>
      </c>
      <c r="Q459" s="1475">
        <f>SUM(Q460:Q466)</f>
        <v>1704240</v>
      </c>
      <c r="R459" s="1475">
        <f t="shared" si="216"/>
        <v>1687320</v>
      </c>
      <c r="S459" s="1475">
        <f t="shared" si="216"/>
        <v>1670400</v>
      </c>
      <c r="T459" s="1475">
        <f t="shared" si="216"/>
        <v>1653480</v>
      </c>
      <c r="U459" s="1475">
        <f t="shared" si="216"/>
        <v>1636920</v>
      </c>
      <c r="V459" s="1476">
        <f t="shared" si="215"/>
        <v>8352360</v>
      </c>
    </row>
    <row r="460" spans="1:22" s="39" customFormat="1" ht="24" customHeight="1">
      <c r="A460" s="1860">
        <v>1</v>
      </c>
      <c r="B460" s="1860"/>
      <c r="C460" s="1860"/>
      <c r="D460" s="1860"/>
      <c r="E460" s="1839"/>
      <c r="F460" s="1844"/>
      <c r="G460" s="1665"/>
      <c r="H460" s="1601"/>
      <c r="I460" s="1765"/>
      <c r="J460" s="40" t="s">
        <v>429</v>
      </c>
      <c r="K460" s="42"/>
      <c r="L460" s="37">
        <f>L458*1</f>
        <v>47340</v>
      </c>
      <c r="M460" s="37">
        <f t="shared" ref="M460:P460" si="217">M458*1</f>
        <v>46870</v>
      </c>
      <c r="N460" s="37">
        <f t="shared" si="217"/>
        <v>46400</v>
      </c>
      <c r="O460" s="37">
        <f t="shared" si="217"/>
        <v>45930</v>
      </c>
      <c r="P460" s="37">
        <f t="shared" si="217"/>
        <v>45470</v>
      </c>
      <c r="Q460" s="1475">
        <f>L460*$H463</f>
        <v>1704240</v>
      </c>
      <c r="R460" s="1475">
        <f>M460*$H463</f>
        <v>1687320</v>
      </c>
      <c r="S460" s="1475">
        <f>N460*$H463</f>
        <v>1670400</v>
      </c>
      <c r="T460" s="1475">
        <f>O460*$H463</f>
        <v>1653480</v>
      </c>
      <c r="U460" s="1475">
        <f>P460*$H463</f>
        <v>1636920</v>
      </c>
      <c r="V460" s="1476">
        <f t="shared" si="215"/>
        <v>8352360</v>
      </c>
    </row>
    <row r="461" spans="1:22" s="39" customFormat="1" ht="24" customHeight="1">
      <c r="A461" s="1860">
        <v>1</v>
      </c>
      <c r="B461" s="1860"/>
      <c r="C461" s="1860"/>
      <c r="D461" s="1860"/>
      <c r="E461" s="1839"/>
      <c r="F461" s="1844"/>
      <c r="G461" s="1665"/>
      <c r="H461" s="1601"/>
      <c r="I461" s="1765"/>
      <c r="J461" s="40" t="s">
        <v>133</v>
      </c>
      <c r="K461" s="42"/>
      <c r="L461" s="37">
        <v>0</v>
      </c>
      <c r="M461" s="37">
        <v>0</v>
      </c>
      <c r="N461" s="37">
        <v>0</v>
      </c>
      <c r="O461" s="37">
        <v>0</v>
      </c>
      <c r="P461" s="813">
        <v>0</v>
      </c>
      <c r="Q461" s="1475">
        <f>L461*$H463</f>
        <v>0</v>
      </c>
      <c r="R461" s="1475">
        <f>M461*$H463</f>
        <v>0</v>
      </c>
      <c r="S461" s="1475">
        <f>N461*$H463</f>
        <v>0</v>
      </c>
      <c r="T461" s="1475">
        <f>O461*$H463</f>
        <v>0</v>
      </c>
      <c r="U461" s="1475">
        <f>P461*$H463</f>
        <v>0</v>
      </c>
      <c r="V461" s="1476">
        <f t="shared" si="215"/>
        <v>0</v>
      </c>
    </row>
    <row r="462" spans="1:22" s="39" customFormat="1" ht="24" customHeight="1">
      <c r="A462" s="1860">
        <v>1</v>
      </c>
      <c r="B462" s="1860"/>
      <c r="C462" s="1860"/>
      <c r="D462" s="1860"/>
      <c r="E462" s="1839"/>
      <c r="F462" s="1844"/>
      <c r="G462" s="1665"/>
      <c r="H462" s="1601"/>
      <c r="I462" s="1765"/>
      <c r="J462" s="40" t="s">
        <v>81</v>
      </c>
      <c r="K462" s="42"/>
      <c r="L462" s="37">
        <v>0</v>
      </c>
      <c r="M462" s="37">
        <v>0</v>
      </c>
      <c r="N462" s="37">
        <v>0</v>
      </c>
      <c r="O462" s="37">
        <v>0</v>
      </c>
      <c r="P462" s="813">
        <v>0</v>
      </c>
      <c r="Q462" s="1475">
        <f>L462*$H463</f>
        <v>0</v>
      </c>
      <c r="R462" s="1475">
        <f>M462*$H463</f>
        <v>0</v>
      </c>
      <c r="S462" s="1475">
        <f>N462*$H463</f>
        <v>0</v>
      </c>
      <c r="T462" s="1475">
        <f>O462*$H463</f>
        <v>0</v>
      </c>
      <c r="U462" s="1475">
        <f>P462*$H463</f>
        <v>0</v>
      </c>
      <c r="V462" s="1476">
        <f t="shared" si="215"/>
        <v>0</v>
      </c>
    </row>
    <row r="463" spans="1:22" s="39" customFormat="1" ht="24" customHeight="1">
      <c r="A463" s="1860">
        <v>1</v>
      </c>
      <c r="B463" s="1860"/>
      <c r="C463" s="1860"/>
      <c r="D463" s="1860"/>
      <c r="E463" s="1839"/>
      <c r="F463" s="1844"/>
      <c r="G463" s="1665"/>
      <c r="H463" s="1687">
        <f>'Budget Assumption_Lab Comp2'!Q248</f>
        <v>36</v>
      </c>
      <c r="I463" s="1765"/>
      <c r="J463" s="40" t="s">
        <v>134</v>
      </c>
      <c r="K463" s="42"/>
      <c r="L463" s="37">
        <v>0</v>
      </c>
      <c r="M463" s="37">
        <v>0</v>
      </c>
      <c r="N463" s="37">
        <v>0</v>
      </c>
      <c r="O463" s="37">
        <v>0</v>
      </c>
      <c r="P463" s="37">
        <v>0</v>
      </c>
      <c r="Q463" s="1475">
        <f>L463*$H463</f>
        <v>0</v>
      </c>
      <c r="R463" s="1475">
        <f>M463*$H463</f>
        <v>0</v>
      </c>
      <c r="S463" s="1475">
        <f>N463*$H463</f>
        <v>0</v>
      </c>
      <c r="T463" s="1475">
        <f>O463*$H463</f>
        <v>0</v>
      </c>
      <c r="U463" s="1475">
        <f>P463*$H463</f>
        <v>0</v>
      </c>
      <c r="V463" s="1476">
        <f t="shared" si="215"/>
        <v>0</v>
      </c>
    </row>
    <row r="464" spans="1:22" s="39" customFormat="1" ht="24" customHeight="1">
      <c r="A464" s="1860">
        <v>1</v>
      </c>
      <c r="B464" s="1860"/>
      <c r="C464" s="1860"/>
      <c r="D464" s="1860"/>
      <c r="E464" s="1839"/>
      <c r="F464" s="1844"/>
      <c r="G464" s="1665"/>
      <c r="H464" s="1687">
        <f>810*0.05</f>
        <v>40.5</v>
      </c>
      <c r="I464" s="1765"/>
      <c r="J464" s="40" t="s">
        <v>82</v>
      </c>
      <c r="K464" s="42"/>
      <c r="L464" s="37">
        <v>0</v>
      </c>
      <c r="M464" s="37">
        <v>0</v>
      </c>
      <c r="N464" s="37">
        <v>0</v>
      </c>
      <c r="O464" s="37">
        <v>0</v>
      </c>
      <c r="P464" s="813">
        <v>0</v>
      </c>
      <c r="Q464" s="1475">
        <f>L464*$H463</f>
        <v>0</v>
      </c>
      <c r="R464" s="1475">
        <f>M464*$H463</f>
        <v>0</v>
      </c>
      <c r="S464" s="1475">
        <f>N464*$H463</f>
        <v>0</v>
      </c>
      <c r="T464" s="1475">
        <f>O464*$H463</f>
        <v>0</v>
      </c>
      <c r="U464" s="1475">
        <f>P464*$H463</f>
        <v>0</v>
      </c>
      <c r="V464" s="1476">
        <f t="shared" si="215"/>
        <v>0</v>
      </c>
    </row>
    <row r="465" spans="1:22" s="39" customFormat="1" ht="24" customHeight="1">
      <c r="A465" s="1860">
        <v>1</v>
      </c>
      <c r="B465" s="1860"/>
      <c r="C465" s="1860"/>
      <c r="D465" s="1860"/>
      <c r="E465" s="1839"/>
      <c r="F465" s="1844"/>
      <c r="G465" s="1665"/>
      <c r="H465" s="1687"/>
      <c r="I465" s="1765"/>
      <c r="J465" s="40" t="s">
        <v>90</v>
      </c>
      <c r="K465" s="42"/>
      <c r="L465" s="37">
        <v>0</v>
      </c>
      <c r="M465" s="37">
        <v>0</v>
      </c>
      <c r="N465" s="37">
        <v>0</v>
      </c>
      <c r="O465" s="37">
        <v>0</v>
      </c>
      <c r="P465" s="813">
        <v>0</v>
      </c>
      <c r="Q465" s="1475">
        <f>L465*$H463</f>
        <v>0</v>
      </c>
      <c r="R465" s="1475">
        <f>M465*$H463</f>
        <v>0</v>
      </c>
      <c r="S465" s="1475">
        <f>N465*$H463</f>
        <v>0</v>
      </c>
      <c r="T465" s="1475">
        <f>O465*$H463</f>
        <v>0</v>
      </c>
      <c r="U465" s="1475">
        <f>P465*$H463</f>
        <v>0</v>
      </c>
      <c r="V465" s="1476">
        <f t="shared" si="215"/>
        <v>0</v>
      </c>
    </row>
    <row r="466" spans="1:22" s="39" customFormat="1" ht="24" customHeight="1">
      <c r="A466" s="1860">
        <v>1</v>
      </c>
      <c r="B466" s="1860"/>
      <c r="C466" s="1860"/>
      <c r="D466" s="1860"/>
      <c r="E466" s="1839"/>
      <c r="F466" s="1844"/>
      <c r="G466" s="1665"/>
      <c r="H466" s="1687"/>
      <c r="I466" s="1765"/>
      <c r="J466" s="40" t="s">
        <v>83</v>
      </c>
      <c r="K466" s="42"/>
      <c r="L466" s="37">
        <v>0</v>
      </c>
      <c r="M466" s="37">
        <v>0</v>
      </c>
      <c r="N466" s="37">
        <v>0</v>
      </c>
      <c r="O466" s="37">
        <v>0</v>
      </c>
      <c r="P466" s="813">
        <v>0</v>
      </c>
      <c r="Q466" s="1475">
        <f>L466*$H463</f>
        <v>0</v>
      </c>
      <c r="R466" s="1475">
        <f>M466*$H463</f>
        <v>0</v>
      </c>
      <c r="S466" s="1475">
        <f>N466*$H463</f>
        <v>0</v>
      </c>
      <c r="T466" s="1475">
        <f>O466*$H463</f>
        <v>0</v>
      </c>
      <c r="U466" s="1475">
        <f>P466*$H463</f>
        <v>0</v>
      </c>
      <c r="V466" s="1476">
        <f t="shared" si="215"/>
        <v>0</v>
      </c>
    </row>
    <row r="467" spans="1:22" s="39" customFormat="1" ht="24" customHeight="1" thickBot="1">
      <c r="A467" s="1860">
        <v>1</v>
      </c>
      <c r="B467" s="1860"/>
      <c r="C467" s="1860"/>
      <c r="D467" s="1860"/>
      <c r="E467" s="1839"/>
      <c r="F467" s="1845"/>
      <c r="G467" s="1678"/>
      <c r="H467" s="1688"/>
      <c r="I467" s="1766"/>
      <c r="J467" s="80" t="s">
        <v>84</v>
      </c>
      <c r="K467" s="81"/>
      <c r="L467" s="814">
        <f t="shared" ref="L467:U467" si="218">L458-L459</f>
        <v>0</v>
      </c>
      <c r="M467" s="814">
        <f t="shared" si="218"/>
        <v>0</v>
      </c>
      <c r="N467" s="814">
        <f t="shared" si="218"/>
        <v>0</v>
      </c>
      <c r="O467" s="814">
        <f t="shared" si="218"/>
        <v>0</v>
      </c>
      <c r="P467" s="814">
        <f t="shared" si="218"/>
        <v>0</v>
      </c>
      <c r="Q467" s="1487">
        <f>Q458-Q459</f>
        <v>0</v>
      </c>
      <c r="R467" s="1487">
        <f t="shared" si="218"/>
        <v>0</v>
      </c>
      <c r="S467" s="1487">
        <f t="shared" si="218"/>
        <v>0</v>
      </c>
      <c r="T467" s="1487">
        <f t="shared" si="218"/>
        <v>0</v>
      </c>
      <c r="U467" s="1487">
        <f t="shared" si="218"/>
        <v>0</v>
      </c>
      <c r="V467" s="1500">
        <f t="shared" si="215"/>
        <v>0</v>
      </c>
    </row>
    <row r="468" spans="1:22" s="64" customFormat="1" ht="24" customHeight="1">
      <c r="A468" s="1860">
        <v>1</v>
      </c>
      <c r="B468" s="1860">
        <v>3</v>
      </c>
      <c r="C468" s="1860">
        <v>2</v>
      </c>
      <c r="D468" s="1860">
        <v>2</v>
      </c>
      <c r="E468" s="1839"/>
      <c r="F468" s="1843" t="str">
        <f>CONCATENATE(A468,".",B468,".",C468,".",D468,)</f>
        <v>1.3.2.2</v>
      </c>
      <c r="G468" s="1665" t="s">
        <v>988</v>
      </c>
      <c r="H468" s="1628" t="s">
        <v>146</v>
      </c>
      <c r="I468" s="1765" t="s">
        <v>989</v>
      </c>
      <c r="J468" s="815" t="s">
        <v>79</v>
      </c>
      <c r="K468" s="898"/>
      <c r="L468" s="897">
        <f>'Budget Assumption_Lab Comp2'!K254</f>
        <v>7850</v>
      </c>
      <c r="M468" s="897">
        <f>'Budget Assumption_Lab Comp2'!L254</f>
        <v>7480</v>
      </c>
      <c r="N468" s="897">
        <f>'Budget Assumption_Lab Comp2'!M254</f>
        <v>7160</v>
      </c>
      <c r="O468" s="897">
        <f>'Budget Assumption_Lab Comp2'!N254</f>
        <v>7020</v>
      </c>
      <c r="P468" s="897">
        <f>'Budget Assumption_Lab Comp2'!O254</f>
        <v>6880</v>
      </c>
      <c r="Q468" s="1489">
        <f>L468*H473</f>
        <v>62800</v>
      </c>
      <c r="R468" s="1489">
        <f>M468*H473</f>
        <v>59840</v>
      </c>
      <c r="S468" s="1489">
        <f>N468*H473</f>
        <v>57280</v>
      </c>
      <c r="T468" s="1489">
        <f>O468*H473</f>
        <v>56160</v>
      </c>
      <c r="U468" s="1489">
        <f>P468*H473</f>
        <v>55040</v>
      </c>
      <c r="V468" s="1490">
        <f t="shared" ref="V468:V477" si="219">SUM(Q468:U468)</f>
        <v>291120</v>
      </c>
    </row>
    <row r="469" spans="1:22" s="39" customFormat="1" ht="24" customHeight="1">
      <c r="A469" s="1860">
        <v>1</v>
      </c>
      <c r="B469" s="1860"/>
      <c r="C469" s="1860"/>
      <c r="D469" s="1860"/>
      <c r="E469" s="1839"/>
      <c r="F469" s="1844"/>
      <c r="G469" s="1665"/>
      <c r="H469" s="1601"/>
      <c r="I469" s="1765"/>
      <c r="J469" s="40" t="s">
        <v>80</v>
      </c>
      <c r="K469" s="91"/>
      <c r="L469" s="37">
        <f t="shared" ref="L469:U469" si="220">SUM(L470:L476)</f>
        <v>7850</v>
      </c>
      <c r="M469" s="37">
        <f t="shared" si="220"/>
        <v>7480</v>
      </c>
      <c r="N469" s="37">
        <f t="shared" si="220"/>
        <v>7160</v>
      </c>
      <c r="O469" s="37">
        <f t="shared" si="220"/>
        <v>7020</v>
      </c>
      <c r="P469" s="37">
        <f t="shared" si="220"/>
        <v>6880</v>
      </c>
      <c r="Q469" s="1475">
        <f t="shared" si="220"/>
        <v>62800</v>
      </c>
      <c r="R469" s="1475">
        <f t="shared" si="220"/>
        <v>59840</v>
      </c>
      <c r="S469" s="1475">
        <f t="shared" si="220"/>
        <v>57280</v>
      </c>
      <c r="T469" s="1475">
        <f t="shared" si="220"/>
        <v>56160</v>
      </c>
      <c r="U469" s="1475">
        <f t="shared" si="220"/>
        <v>55040</v>
      </c>
      <c r="V469" s="1476">
        <f t="shared" si="219"/>
        <v>291120</v>
      </c>
    </row>
    <row r="470" spans="1:22" s="39" customFormat="1" ht="24" customHeight="1">
      <c r="A470" s="1860">
        <v>1</v>
      </c>
      <c r="B470" s="1860"/>
      <c r="C470" s="1860"/>
      <c r="D470" s="1860"/>
      <c r="E470" s="1839"/>
      <c r="F470" s="1844"/>
      <c r="G470" s="1665"/>
      <c r="H470" s="1601"/>
      <c r="I470" s="1765"/>
      <c r="J470" s="40" t="s">
        <v>429</v>
      </c>
      <c r="K470" s="42"/>
      <c r="L470" s="37">
        <v>0</v>
      </c>
      <c r="M470" s="37">
        <v>0</v>
      </c>
      <c r="N470" s="37">
        <v>0</v>
      </c>
      <c r="O470" s="37">
        <v>0</v>
      </c>
      <c r="P470" s="37">
        <v>0</v>
      </c>
      <c r="Q470" s="1475">
        <f>L470*$H473</f>
        <v>0</v>
      </c>
      <c r="R470" s="1475">
        <f>M470*$H473</f>
        <v>0</v>
      </c>
      <c r="S470" s="1475">
        <f>N470*$H473</f>
        <v>0</v>
      </c>
      <c r="T470" s="1475">
        <f>O470*$H473</f>
        <v>0</v>
      </c>
      <c r="U470" s="1475">
        <f>P470*$H473</f>
        <v>0</v>
      </c>
      <c r="V470" s="1476">
        <f t="shared" si="219"/>
        <v>0</v>
      </c>
    </row>
    <row r="471" spans="1:22" s="39" customFormat="1" ht="24" customHeight="1">
      <c r="A471" s="1860">
        <v>1</v>
      </c>
      <c r="B471" s="1860"/>
      <c r="C471" s="1860"/>
      <c r="D471" s="1860"/>
      <c r="E471" s="1839"/>
      <c r="F471" s="1844"/>
      <c r="G471" s="1665"/>
      <c r="H471" s="1601"/>
      <c r="I471" s="1765"/>
      <c r="J471" s="40" t="s">
        <v>133</v>
      </c>
      <c r="K471" s="42"/>
      <c r="L471" s="37">
        <f>L468</f>
        <v>7850</v>
      </c>
      <c r="M471" s="37">
        <f>M468</f>
        <v>7480</v>
      </c>
      <c r="N471" s="37">
        <f>N468</f>
        <v>7160</v>
      </c>
      <c r="O471" s="37">
        <f>O468</f>
        <v>7020</v>
      </c>
      <c r="P471" s="37">
        <f>P468</f>
        <v>6880</v>
      </c>
      <c r="Q471" s="1475">
        <f>L471*$H473</f>
        <v>62800</v>
      </c>
      <c r="R471" s="1475">
        <f>M471*$H473</f>
        <v>59840</v>
      </c>
      <c r="S471" s="1475">
        <f>N471*$H473</f>
        <v>57280</v>
      </c>
      <c r="T471" s="1475">
        <f>O471*$H473</f>
        <v>56160</v>
      </c>
      <c r="U471" s="1475">
        <f>P471*$H473</f>
        <v>55040</v>
      </c>
      <c r="V471" s="1476">
        <f t="shared" si="219"/>
        <v>291120</v>
      </c>
    </row>
    <row r="472" spans="1:22" s="39" customFormat="1" ht="24" customHeight="1">
      <c r="A472" s="1860">
        <v>1</v>
      </c>
      <c r="B472" s="1860"/>
      <c r="C472" s="1860"/>
      <c r="D472" s="1860"/>
      <c r="E472" s="1839"/>
      <c r="F472" s="1844"/>
      <c r="G472" s="1665"/>
      <c r="H472" s="1601"/>
      <c r="I472" s="1765"/>
      <c r="J472" s="40" t="s">
        <v>81</v>
      </c>
      <c r="K472" s="42"/>
      <c r="L472" s="37">
        <v>0</v>
      </c>
      <c r="M472" s="37">
        <v>0</v>
      </c>
      <c r="N472" s="37">
        <v>0</v>
      </c>
      <c r="O472" s="37">
        <v>0</v>
      </c>
      <c r="P472" s="37">
        <v>0</v>
      </c>
      <c r="Q472" s="1475">
        <f>L472*$H473</f>
        <v>0</v>
      </c>
      <c r="R472" s="1475">
        <f>M472*$H473</f>
        <v>0</v>
      </c>
      <c r="S472" s="1475">
        <f>N472*$H473</f>
        <v>0</v>
      </c>
      <c r="T472" s="1475">
        <f>O472*$H473</f>
        <v>0</v>
      </c>
      <c r="U472" s="1475">
        <f>P472*$H473</f>
        <v>0</v>
      </c>
      <c r="V472" s="1476">
        <f t="shared" si="219"/>
        <v>0</v>
      </c>
    </row>
    <row r="473" spans="1:22" s="39" customFormat="1" ht="24" customHeight="1">
      <c r="A473" s="1860">
        <v>1</v>
      </c>
      <c r="B473" s="1860"/>
      <c r="C473" s="1860"/>
      <c r="D473" s="1860"/>
      <c r="E473" s="1839"/>
      <c r="F473" s="1844"/>
      <c r="G473" s="1665"/>
      <c r="H473" s="1687">
        <f>'Budget Assumption_Lab Comp2'!Q254</f>
        <v>8</v>
      </c>
      <c r="I473" s="1765"/>
      <c r="J473" s="40" t="s">
        <v>134</v>
      </c>
      <c r="K473" s="42"/>
      <c r="L473" s="37">
        <v>0</v>
      </c>
      <c r="M473" s="37">
        <v>0</v>
      </c>
      <c r="N473" s="37">
        <v>0</v>
      </c>
      <c r="O473" s="37">
        <v>0</v>
      </c>
      <c r="P473" s="37">
        <v>0</v>
      </c>
      <c r="Q473" s="1475">
        <f>L473*$H473</f>
        <v>0</v>
      </c>
      <c r="R473" s="1475">
        <f>M473*$H473</f>
        <v>0</v>
      </c>
      <c r="S473" s="1475">
        <f>N473*$H473</f>
        <v>0</v>
      </c>
      <c r="T473" s="1475">
        <f>O473*$H473</f>
        <v>0</v>
      </c>
      <c r="U473" s="1475">
        <f>P473*$H473</f>
        <v>0</v>
      </c>
      <c r="V473" s="1476">
        <f t="shared" si="219"/>
        <v>0</v>
      </c>
    </row>
    <row r="474" spans="1:22" s="39" customFormat="1" ht="24" customHeight="1">
      <c r="A474" s="1860">
        <v>1</v>
      </c>
      <c r="B474" s="1860"/>
      <c r="C474" s="1860"/>
      <c r="D474" s="1860"/>
      <c r="E474" s="1839"/>
      <c r="F474" s="1844"/>
      <c r="G474" s="1665"/>
      <c r="H474" s="1687">
        <f>810*0.05</f>
        <v>40.5</v>
      </c>
      <c r="I474" s="1765"/>
      <c r="J474" s="40" t="s">
        <v>82</v>
      </c>
      <c r="K474" s="42"/>
      <c r="L474" s="37">
        <v>0</v>
      </c>
      <c r="M474" s="37">
        <v>0</v>
      </c>
      <c r="N474" s="37">
        <v>0</v>
      </c>
      <c r="O474" s="37">
        <v>0</v>
      </c>
      <c r="P474" s="37">
        <v>0</v>
      </c>
      <c r="Q474" s="1475">
        <f>L474*$H473</f>
        <v>0</v>
      </c>
      <c r="R474" s="1475">
        <f>M474*$H473</f>
        <v>0</v>
      </c>
      <c r="S474" s="1475">
        <f>N474*$H473</f>
        <v>0</v>
      </c>
      <c r="T474" s="1475">
        <f>O474*$H473</f>
        <v>0</v>
      </c>
      <c r="U474" s="1475">
        <f>P474*$H473</f>
        <v>0</v>
      </c>
      <c r="V474" s="1476">
        <f t="shared" si="219"/>
        <v>0</v>
      </c>
    </row>
    <row r="475" spans="1:22" s="39" customFormat="1" ht="24" customHeight="1">
      <c r="A475" s="1860">
        <v>1</v>
      </c>
      <c r="B475" s="1860"/>
      <c r="C475" s="1860"/>
      <c r="D475" s="1860"/>
      <c r="E475" s="1839"/>
      <c r="F475" s="1844"/>
      <c r="G475" s="1665"/>
      <c r="H475" s="1687"/>
      <c r="I475" s="1765"/>
      <c r="J475" s="40" t="s">
        <v>90</v>
      </c>
      <c r="K475" s="42"/>
      <c r="L475" s="37">
        <v>0</v>
      </c>
      <c r="M475" s="37">
        <v>0</v>
      </c>
      <c r="N475" s="37">
        <v>0</v>
      </c>
      <c r="O475" s="37">
        <v>0</v>
      </c>
      <c r="P475" s="37">
        <v>0</v>
      </c>
      <c r="Q475" s="1475">
        <f>L475*$H473</f>
        <v>0</v>
      </c>
      <c r="R475" s="1475">
        <f>M475*$H473</f>
        <v>0</v>
      </c>
      <c r="S475" s="1475">
        <f>N475*$H473</f>
        <v>0</v>
      </c>
      <c r="T475" s="1475">
        <f>O475*$H473</f>
        <v>0</v>
      </c>
      <c r="U475" s="1475">
        <f>P475*$H473</f>
        <v>0</v>
      </c>
      <c r="V475" s="1476">
        <f t="shared" si="219"/>
        <v>0</v>
      </c>
    </row>
    <row r="476" spans="1:22" s="39" customFormat="1" ht="24" customHeight="1">
      <c r="A476" s="1860">
        <v>1</v>
      </c>
      <c r="B476" s="1860"/>
      <c r="C476" s="1860"/>
      <c r="D476" s="1860"/>
      <c r="E476" s="1839"/>
      <c r="F476" s="1844"/>
      <c r="G476" s="1665"/>
      <c r="H476" s="1687"/>
      <c r="I476" s="1765"/>
      <c r="J476" s="40" t="s">
        <v>83</v>
      </c>
      <c r="K476" s="42"/>
      <c r="L476" s="37">
        <v>0</v>
      </c>
      <c r="M476" s="37">
        <v>0</v>
      </c>
      <c r="N476" s="37">
        <v>0</v>
      </c>
      <c r="O476" s="37">
        <v>0</v>
      </c>
      <c r="P476" s="37">
        <v>0</v>
      </c>
      <c r="Q476" s="1475">
        <f>L476*$H473</f>
        <v>0</v>
      </c>
      <c r="R476" s="1475">
        <f>M476*$H473</f>
        <v>0</v>
      </c>
      <c r="S476" s="1475">
        <f>N476*$H473</f>
        <v>0</v>
      </c>
      <c r="T476" s="1475">
        <f>O476*$H473</f>
        <v>0</v>
      </c>
      <c r="U476" s="1475">
        <f>P476*$H473</f>
        <v>0</v>
      </c>
      <c r="V476" s="1476">
        <f t="shared" si="219"/>
        <v>0</v>
      </c>
    </row>
    <row r="477" spans="1:22" s="39" customFormat="1" ht="24" customHeight="1" thickBot="1">
      <c r="A477" s="1860">
        <v>1</v>
      </c>
      <c r="B477" s="1860"/>
      <c r="C477" s="1860"/>
      <c r="D477" s="1860"/>
      <c r="E477" s="1839"/>
      <c r="F477" s="1844"/>
      <c r="G477" s="1686"/>
      <c r="H477" s="1687"/>
      <c r="I477" s="1853"/>
      <c r="J477" s="80" t="s">
        <v>84</v>
      </c>
      <c r="K477" s="81"/>
      <c r="L477" s="814">
        <f t="shared" ref="L477:U477" si="221">L468-L469</f>
        <v>0</v>
      </c>
      <c r="M477" s="814">
        <f t="shared" si="221"/>
        <v>0</v>
      </c>
      <c r="N477" s="814">
        <f t="shared" si="221"/>
        <v>0</v>
      </c>
      <c r="O477" s="814">
        <f t="shared" si="221"/>
        <v>0</v>
      </c>
      <c r="P477" s="814">
        <f t="shared" si="221"/>
        <v>0</v>
      </c>
      <c r="Q477" s="1487">
        <f t="shared" si="221"/>
        <v>0</v>
      </c>
      <c r="R477" s="1487">
        <f t="shared" si="221"/>
        <v>0</v>
      </c>
      <c r="S477" s="1487">
        <f t="shared" si="221"/>
        <v>0</v>
      </c>
      <c r="T477" s="1487">
        <f t="shared" si="221"/>
        <v>0</v>
      </c>
      <c r="U477" s="1487">
        <f t="shared" si="221"/>
        <v>0</v>
      </c>
      <c r="V477" s="1500">
        <f t="shared" si="219"/>
        <v>0</v>
      </c>
    </row>
    <row r="478" spans="1:22" s="63" customFormat="1" ht="24" customHeight="1">
      <c r="A478" s="74">
        <v>1</v>
      </c>
      <c r="B478" s="74">
        <v>3</v>
      </c>
      <c r="C478" s="74">
        <v>3</v>
      </c>
      <c r="D478" s="74"/>
      <c r="E478" s="74"/>
      <c r="F478" s="854" t="str">
        <f>CONCATENATE(A478,".",B478,".",C478,)</f>
        <v>1.3.3</v>
      </c>
      <c r="G478" s="1589" t="s">
        <v>319</v>
      </c>
      <c r="H478" s="1590"/>
      <c r="I478" s="1590"/>
      <c r="J478" s="1591"/>
      <c r="K478" s="66"/>
      <c r="L478" s="382"/>
      <c r="M478" s="382"/>
      <c r="N478" s="382"/>
      <c r="O478" s="382"/>
      <c r="P478" s="382"/>
      <c r="Q478" s="1499">
        <f>Q480+Q490+Q500</f>
        <v>296250</v>
      </c>
      <c r="R478" s="1499">
        <f t="shared" ref="R478:U478" si="222">R480+R490+R500</f>
        <v>300000</v>
      </c>
      <c r="S478" s="1499">
        <f t="shared" si="222"/>
        <v>307500</v>
      </c>
      <c r="T478" s="1499">
        <f t="shared" si="222"/>
        <v>311250</v>
      </c>
      <c r="U478" s="1499">
        <f t="shared" si="222"/>
        <v>322500</v>
      </c>
      <c r="V478" s="1499">
        <f>SUM(Q478:U478)</f>
        <v>1537500</v>
      </c>
    </row>
    <row r="479" spans="1:22" s="64" customFormat="1" ht="24" customHeight="1">
      <c r="A479" s="1860">
        <v>1</v>
      </c>
      <c r="B479" s="1860">
        <v>3</v>
      </c>
      <c r="C479" s="1860">
        <v>3</v>
      </c>
      <c r="D479" s="1860">
        <v>1</v>
      </c>
      <c r="E479" s="1839"/>
      <c r="F479" s="1844" t="str">
        <f>CONCATENATE(A479,".",B479,".",C479,".",D479,)</f>
        <v>1.3.3.1</v>
      </c>
      <c r="G479" s="1642" t="s">
        <v>1060</v>
      </c>
      <c r="H479" s="1601" t="s">
        <v>146</v>
      </c>
      <c r="I479" s="1764" t="s">
        <v>990</v>
      </c>
      <c r="J479" s="36" t="s">
        <v>79</v>
      </c>
      <c r="K479" s="896"/>
      <c r="L479" s="896">
        <f>'Budget Assumption_Lab Comp2'!K249+'Budget Assumption_Lab Comp2'!K255</f>
        <v>790</v>
      </c>
      <c r="M479" s="896">
        <f>'Budget Assumption_Lab Comp2'!L249+'Budget Assumption_Lab Comp2'!L255</f>
        <v>800</v>
      </c>
      <c r="N479" s="896">
        <f>'Budget Assumption_Lab Comp2'!M249+'Budget Assumption_Lab Comp2'!M255</f>
        <v>820</v>
      </c>
      <c r="O479" s="896">
        <f>'Budget Assumption_Lab Comp2'!N249+'Budget Assumption_Lab Comp2'!N255</f>
        <v>830</v>
      </c>
      <c r="P479" s="896">
        <f>'Budget Assumption_Lab Comp2'!O249+'Budget Assumption_Lab Comp2'!O255</f>
        <v>860</v>
      </c>
      <c r="Q479" s="1475">
        <f>L479*$H$484</f>
        <v>249640</v>
      </c>
      <c r="R479" s="1475">
        <f t="shared" ref="R479:U479" si="223">M479*$H$484</f>
        <v>252800</v>
      </c>
      <c r="S479" s="1475">
        <f t="shared" si="223"/>
        <v>259120</v>
      </c>
      <c r="T479" s="1475">
        <f t="shared" si="223"/>
        <v>262280</v>
      </c>
      <c r="U479" s="1475">
        <f t="shared" si="223"/>
        <v>271760</v>
      </c>
      <c r="V479" s="1476">
        <f>SUM(Q479:U479)</f>
        <v>1295600</v>
      </c>
    </row>
    <row r="480" spans="1:22" s="39" customFormat="1" ht="24" customHeight="1">
      <c r="A480" s="1860">
        <v>1</v>
      </c>
      <c r="B480" s="1860"/>
      <c r="C480" s="1860"/>
      <c r="D480" s="1860"/>
      <c r="E480" s="1839"/>
      <c r="F480" s="1844"/>
      <c r="G480" s="1643"/>
      <c r="H480" s="1601"/>
      <c r="I480" s="1765"/>
      <c r="J480" s="40" t="s">
        <v>80</v>
      </c>
      <c r="K480" s="91"/>
      <c r="L480" s="41">
        <f>SUM(L481:L487)</f>
        <v>790</v>
      </c>
      <c r="M480" s="41">
        <f t="shared" ref="M480:P480" si="224">SUM(M481:M487)</f>
        <v>800</v>
      </c>
      <c r="N480" s="41">
        <f t="shared" si="224"/>
        <v>820</v>
      </c>
      <c r="O480" s="41">
        <f t="shared" si="224"/>
        <v>830</v>
      </c>
      <c r="P480" s="41">
        <f t="shared" si="224"/>
        <v>860</v>
      </c>
      <c r="Q480" s="1475">
        <f t="shared" ref="Q480:Q488" si="225">L480*$H$484</f>
        <v>249640</v>
      </c>
      <c r="R480" s="1475">
        <f t="shared" ref="R480:R488" si="226">M480*$H$484</f>
        <v>252800</v>
      </c>
      <c r="S480" s="1475">
        <f t="shared" ref="S480:S488" si="227">N480*$H$484</f>
        <v>259120</v>
      </c>
      <c r="T480" s="1475">
        <f t="shared" ref="T480:T488" si="228">O480*$H$484</f>
        <v>262280</v>
      </c>
      <c r="U480" s="1475">
        <f t="shared" ref="U480:U488" si="229">P480*$H$484</f>
        <v>271760</v>
      </c>
      <c r="V480" s="1476">
        <f>SUM(Q480:U480)</f>
        <v>1295600</v>
      </c>
    </row>
    <row r="481" spans="1:22" s="39" customFormat="1" ht="24" customHeight="1">
      <c r="A481" s="1860">
        <v>1</v>
      </c>
      <c r="B481" s="1860"/>
      <c r="C481" s="1860"/>
      <c r="D481" s="1860"/>
      <c r="E481" s="1839"/>
      <c r="F481" s="1844"/>
      <c r="G481" s="1643"/>
      <c r="H481" s="1601"/>
      <c r="I481" s="1765"/>
      <c r="J481" s="40" t="s">
        <v>429</v>
      </c>
      <c r="K481" s="42"/>
      <c r="L481" s="41">
        <f>'Budget Assumption_Lab Comp2'!K249</f>
        <v>550</v>
      </c>
      <c r="M481" s="41">
        <f>'Budget Assumption_Lab Comp2'!L249</f>
        <v>560</v>
      </c>
      <c r="N481" s="41">
        <f>'Budget Assumption_Lab Comp2'!M249</f>
        <v>570</v>
      </c>
      <c r="O481" s="41">
        <f>'Budget Assumption_Lab Comp2'!N249</f>
        <v>580</v>
      </c>
      <c r="P481" s="41">
        <f>'Budget Assumption_Lab Comp2'!O249</f>
        <v>600</v>
      </c>
      <c r="Q481" s="1475">
        <f t="shared" si="225"/>
        <v>173800</v>
      </c>
      <c r="R481" s="1475">
        <f t="shared" si="226"/>
        <v>176960</v>
      </c>
      <c r="S481" s="1475">
        <f t="shared" si="227"/>
        <v>180120</v>
      </c>
      <c r="T481" s="1475">
        <f t="shared" si="228"/>
        <v>183280</v>
      </c>
      <c r="U481" s="1475">
        <f t="shared" si="229"/>
        <v>189600</v>
      </c>
      <c r="V481" s="1476">
        <f t="shared" ref="V481:V486" si="230">SUM(Q481:U481)</f>
        <v>903760</v>
      </c>
    </row>
    <row r="482" spans="1:22" s="39" customFormat="1" ht="24" customHeight="1">
      <c r="A482" s="1860">
        <v>1</v>
      </c>
      <c r="B482" s="1860"/>
      <c r="C482" s="1860"/>
      <c r="D482" s="1860"/>
      <c r="E482" s="1839"/>
      <c r="F482" s="1844"/>
      <c r="G482" s="1643"/>
      <c r="H482" s="1601"/>
      <c r="I482" s="1765"/>
      <c r="J482" s="40" t="s">
        <v>133</v>
      </c>
      <c r="K482" s="42"/>
      <c r="L482" s="41">
        <v>0</v>
      </c>
      <c r="M482" s="41">
        <v>0</v>
      </c>
      <c r="N482" s="41">
        <v>0</v>
      </c>
      <c r="O482" s="41">
        <f>'Budget Assumption_Lab Comp2'!N255</f>
        <v>250</v>
      </c>
      <c r="P482" s="41">
        <f>'Budget Assumption_Lab Comp2'!O255</f>
        <v>260</v>
      </c>
      <c r="Q482" s="1475">
        <f t="shared" si="225"/>
        <v>0</v>
      </c>
      <c r="R482" s="1475">
        <f t="shared" si="226"/>
        <v>0</v>
      </c>
      <c r="S482" s="1475">
        <f t="shared" si="227"/>
        <v>0</v>
      </c>
      <c r="T482" s="1475">
        <f t="shared" si="228"/>
        <v>79000</v>
      </c>
      <c r="U482" s="1475">
        <f t="shared" si="229"/>
        <v>82160</v>
      </c>
      <c r="V482" s="1476">
        <f t="shared" si="230"/>
        <v>161160</v>
      </c>
    </row>
    <row r="483" spans="1:22" s="39" customFormat="1" ht="24" customHeight="1">
      <c r="A483" s="1860">
        <v>1</v>
      </c>
      <c r="B483" s="1860"/>
      <c r="C483" s="1860"/>
      <c r="D483" s="1860"/>
      <c r="E483" s="1839"/>
      <c r="F483" s="1844"/>
      <c r="G483" s="1643"/>
      <c r="H483" s="1601"/>
      <c r="I483" s="1765"/>
      <c r="J483" s="40" t="s">
        <v>81</v>
      </c>
      <c r="K483" s="42"/>
      <c r="L483" s="41">
        <v>0</v>
      </c>
      <c r="M483" s="41">
        <v>0</v>
      </c>
      <c r="N483" s="41">
        <v>0</v>
      </c>
      <c r="O483" s="41">
        <v>0</v>
      </c>
      <c r="P483" s="41">
        <v>0</v>
      </c>
      <c r="Q483" s="1475">
        <f t="shared" si="225"/>
        <v>0</v>
      </c>
      <c r="R483" s="1475">
        <f t="shared" si="226"/>
        <v>0</v>
      </c>
      <c r="S483" s="1475">
        <f t="shared" si="227"/>
        <v>0</v>
      </c>
      <c r="T483" s="1475">
        <f t="shared" si="228"/>
        <v>0</v>
      </c>
      <c r="U483" s="1475">
        <f t="shared" si="229"/>
        <v>0</v>
      </c>
      <c r="V483" s="1476">
        <f t="shared" si="230"/>
        <v>0</v>
      </c>
    </row>
    <row r="484" spans="1:22" s="39" customFormat="1" ht="24" customHeight="1">
      <c r="A484" s="1860">
        <v>1</v>
      </c>
      <c r="B484" s="1860"/>
      <c r="C484" s="1860"/>
      <c r="D484" s="1860"/>
      <c r="E484" s="1839"/>
      <c r="F484" s="1844"/>
      <c r="G484" s="1643"/>
      <c r="H484" s="1687">
        <f>'Budget Assumption_Lab Comp2'!Q249</f>
        <v>316</v>
      </c>
      <c r="I484" s="1765"/>
      <c r="J484" s="40" t="s">
        <v>134</v>
      </c>
      <c r="K484" s="42"/>
      <c r="L484" s="41">
        <v>0</v>
      </c>
      <c r="M484" s="41">
        <v>0</v>
      </c>
      <c r="N484" s="41">
        <v>0</v>
      </c>
      <c r="O484" s="41">
        <v>0</v>
      </c>
      <c r="P484" s="41">
        <v>0</v>
      </c>
      <c r="Q484" s="1475">
        <f t="shared" si="225"/>
        <v>0</v>
      </c>
      <c r="R484" s="1475">
        <f t="shared" si="226"/>
        <v>0</v>
      </c>
      <c r="S484" s="1475">
        <f t="shared" si="227"/>
        <v>0</v>
      </c>
      <c r="T484" s="1475">
        <f t="shared" si="228"/>
        <v>0</v>
      </c>
      <c r="U484" s="1475">
        <f t="shared" si="229"/>
        <v>0</v>
      </c>
      <c r="V484" s="1476">
        <f t="shared" si="230"/>
        <v>0</v>
      </c>
    </row>
    <row r="485" spans="1:22" s="39" customFormat="1" ht="24" customHeight="1">
      <c r="A485" s="1860">
        <v>1</v>
      </c>
      <c r="B485" s="1860"/>
      <c r="C485" s="1860"/>
      <c r="D485" s="1860"/>
      <c r="E485" s="1839"/>
      <c r="F485" s="1844"/>
      <c r="G485" s="1643"/>
      <c r="H485" s="1687">
        <f>810*0.05</f>
        <v>40.5</v>
      </c>
      <c r="I485" s="1765"/>
      <c r="J485" s="40" t="s">
        <v>82</v>
      </c>
      <c r="K485" s="42"/>
      <c r="L485" s="41">
        <v>0</v>
      </c>
      <c r="M485" s="41">
        <v>0</v>
      </c>
      <c r="N485" s="41">
        <v>0</v>
      </c>
      <c r="O485" s="41">
        <v>0</v>
      </c>
      <c r="P485" s="41">
        <v>0</v>
      </c>
      <c r="Q485" s="1475">
        <f t="shared" si="225"/>
        <v>0</v>
      </c>
      <c r="R485" s="1475">
        <f t="shared" si="226"/>
        <v>0</v>
      </c>
      <c r="S485" s="1475">
        <f t="shared" si="227"/>
        <v>0</v>
      </c>
      <c r="T485" s="1475">
        <f t="shared" si="228"/>
        <v>0</v>
      </c>
      <c r="U485" s="1475">
        <f t="shared" si="229"/>
        <v>0</v>
      </c>
      <c r="V485" s="1476">
        <f t="shared" si="230"/>
        <v>0</v>
      </c>
    </row>
    <row r="486" spans="1:22" s="39" customFormat="1" ht="24" customHeight="1">
      <c r="A486" s="1860">
        <v>1</v>
      </c>
      <c r="B486" s="1860"/>
      <c r="C486" s="1860"/>
      <c r="D486" s="1860"/>
      <c r="E486" s="1839"/>
      <c r="F486" s="1844"/>
      <c r="G486" s="1643"/>
      <c r="H486" s="1687"/>
      <c r="I486" s="1765"/>
      <c r="J486" s="40" t="s">
        <v>90</v>
      </c>
      <c r="K486" s="42"/>
      <c r="L486" s="41">
        <f>'Budget Assumption_Lab Comp2'!K255</f>
        <v>240</v>
      </c>
      <c r="M486" s="41">
        <f>'Budget Assumption_Lab Comp2'!L255</f>
        <v>240</v>
      </c>
      <c r="N486" s="41">
        <f>'Budget Assumption_Lab Comp2'!M255</f>
        <v>250</v>
      </c>
      <c r="O486" s="41">
        <v>0</v>
      </c>
      <c r="P486" s="41">
        <v>0</v>
      </c>
      <c r="Q486" s="1475">
        <f t="shared" si="225"/>
        <v>75840</v>
      </c>
      <c r="R486" s="1475">
        <f t="shared" si="226"/>
        <v>75840</v>
      </c>
      <c r="S486" s="1475">
        <f t="shared" si="227"/>
        <v>79000</v>
      </c>
      <c r="T486" s="1475">
        <f t="shared" si="228"/>
        <v>0</v>
      </c>
      <c r="U486" s="1475">
        <f t="shared" si="229"/>
        <v>0</v>
      </c>
      <c r="V486" s="1476">
        <f t="shared" si="230"/>
        <v>230680</v>
      </c>
    </row>
    <row r="487" spans="1:22" s="39" customFormat="1" ht="24" customHeight="1">
      <c r="A487" s="1860">
        <v>1</v>
      </c>
      <c r="B487" s="1860"/>
      <c r="C487" s="1860"/>
      <c r="D487" s="1860"/>
      <c r="E487" s="1839"/>
      <c r="F487" s="1844"/>
      <c r="G487" s="1643"/>
      <c r="H487" s="1687"/>
      <c r="I487" s="1765"/>
      <c r="J487" s="40" t="s">
        <v>83</v>
      </c>
      <c r="K487" s="42"/>
      <c r="L487" s="41">
        <v>0</v>
      </c>
      <c r="M487" s="41">
        <v>0</v>
      </c>
      <c r="N487" s="41">
        <v>0</v>
      </c>
      <c r="O487" s="41">
        <v>0</v>
      </c>
      <c r="P487" s="41">
        <v>0</v>
      </c>
      <c r="Q487" s="1475">
        <f t="shared" si="225"/>
        <v>0</v>
      </c>
      <c r="R487" s="1475">
        <f t="shared" si="226"/>
        <v>0</v>
      </c>
      <c r="S487" s="1475">
        <f t="shared" si="227"/>
        <v>0</v>
      </c>
      <c r="T487" s="1475">
        <f t="shared" si="228"/>
        <v>0</v>
      </c>
      <c r="U487" s="1475">
        <f t="shared" si="229"/>
        <v>0</v>
      </c>
      <c r="V487" s="1476">
        <f>SUM(Q487:U487)</f>
        <v>0</v>
      </c>
    </row>
    <row r="488" spans="1:22" s="39" customFormat="1" ht="24" customHeight="1" thickBot="1">
      <c r="A488" s="1860">
        <v>1</v>
      </c>
      <c r="B488" s="1860"/>
      <c r="C488" s="1860"/>
      <c r="D488" s="1860"/>
      <c r="E488" s="1839"/>
      <c r="F488" s="1845"/>
      <c r="G488" s="1802"/>
      <c r="H488" s="1688"/>
      <c r="I488" s="1766"/>
      <c r="J488" s="80" t="s">
        <v>84</v>
      </c>
      <c r="K488" s="81"/>
      <c r="L488" s="814">
        <f t="shared" ref="L488:P488" si="231">L479-L480</f>
        <v>0</v>
      </c>
      <c r="M488" s="814">
        <f t="shared" si="231"/>
        <v>0</v>
      </c>
      <c r="N488" s="814">
        <f t="shared" si="231"/>
        <v>0</v>
      </c>
      <c r="O488" s="814">
        <f t="shared" si="231"/>
        <v>0</v>
      </c>
      <c r="P488" s="814">
        <f t="shared" si="231"/>
        <v>0</v>
      </c>
      <c r="Q488" s="1487">
        <f t="shared" si="225"/>
        <v>0</v>
      </c>
      <c r="R488" s="1487">
        <f t="shared" si="226"/>
        <v>0</v>
      </c>
      <c r="S488" s="1487">
        <f t="shared" si="227"/>
        <v>0</v>
      </c>
      <c r="T488" s="1487">
        <f t="shared" si="228"/>
        <v>0</v>
      </c>
      <c r="U488" s="1487">
        <f t="shared" si="229"/>
        <v>0</v>
      </c>
      <c r="V488" s="1500">
        <f>SUM(Q488:U488)</f>
        <v>0</v>
      </c>
    </row>
    <row r="489" spans="1:22" s="64" customFormat="1" ht="24" customHeight="1">
      <c r="A489" s="1860">
        <v>1</v>
      </c>
      <c r="B489" s="1860">
        <v>3</v>
      </c>
      <c r="C489" s="1860">
        <v>3</v>
      </c>
      <c r="D489" s="1860">
        <v>2</v>
      </c>
      <c r="E489" s="1839"/>
      <c r="F489" s="1843" t="str">
        <f>CONCATENATE(A489,".",B489,".",C489,".",D489,)</f>
        <v>1.3.3.2</v>
      </c>
      <c r="G489" s="1643" t="s">
        <v>1060</v>
      </c>
      <c r="H489" s="1628" t="s">
        <v>827</v>
      </c>
      <c r="I489" s="1765" t="s">
        <v>991</v>
      </c>
      <c r="J489" s="815" t="s">
        <v>79</v>
      </c>
      <c r="K489" s="898"/>
      <c r="L489" s="898">
        <f>'Budget Assumption_Lab Comp2'!K249+'Budget Assumption_Lab Comp2'!K255</f>
        <v>790</v>
      </c>
      <c r="M489" s="898">
        <f>'Budget Assumption_Lab Comp2'!L249+'Budget Assumption_Lab Comp2'!L255</f>
        <v>800</v>
      </c>
      <c r="N489" s="898">
        <f>'Budget Assumption_Lab Comp2'!M249+'Budget Assumption_Lab Comp2'!M255</f>
        <v>820</v>
      </c>
      <c r="O489" s="898">
        <f>'Budget Assumption_Lab Comp2'!N249+'Budget Assumption_Lab Comp2'!N255</f>
        <v>830</v>
      </c>
      <c r="P489" s="898">
        <f>'Budget Assumption_Lab Comp2'!O249+'Budget Assumption_Lab Comp2'!O255</f>
        <v>860</v>
      </c>
      <c r="Q489" s="1489">
        <f>L489*H494</f>
        <v>3160</v>
      </c>
      <c r="R489" s="1489">
        <f>M489*H494</f>
        <v>3200</v>
      </c>
      <c r="S489" s="1489">
        <f>N489*H494</f>
        <v>3280</v>
      </c>
      <c r="T489" s="1489">
        <f>O489*H494</f>
        <v>3320</v>
      </c>
      <c r="U489" s="1489">
        <f>P489*H494</f>
        <v>3440</v>
      </c>
      <c r="V489" s="1490">
        <f>SUM(Q489:U489)</f>
        <v>16400</v>
      </c>
    </row>
    <row r="490" spans="1:22" s="39" customFormat="1" ht="24" customHeight="1">
      <c r="A490" s="1860">
        <v>1</v>
      </c>
      <c r="B490" s="1860"/>
      <c r="C490" s="1860"/>
      <c r="D490" s="1860"/>
      <c r="E490" s="1839"/>
      <c r="F490" s="1844"/>
      <c r="G490" s="1643"/>
      <c r="H490" s="1601"/>
      <c r="I490" s="1765"/>
      <c r="J490" s="40" t="s">
        <v>80</v>
      </c>
      <c r="K490" s="91"/>
      <c r="L490" s="41">
        <f>SUM(L491:L497)</f>
        <v>790</v>
      </c>
      <c r="M490" s="41">
        <f>SUM(M491:M497)</f>
        <v>800</v>
      </c>
      <c r="N490" s="41">
        <f>SUM(N491:N497)</f>
        <v>820</v>
      </c>
      <c r="O490" s="41">
        <f>SUM(O491:O497)</f>
        <v>830</v>
      </c>
      <c r="P490" s="41">
        <f t="shared" ref="P490:U490" si="232">SUM(P491:P497)</f>
        <v>860</v>
      </c>
      <c r="Q490" s="1475">
        <f t="shared" si="232"/>
        <v>3160</v>
      </c>
      <c r="R490" s="1475">
        <f t="shared" si="232"/>
        <v>3200</v>
      </c>
      <c r="S490" s="1475">
        <f t="shared" si="232"/>
        <v>3280</v>
      </c>
      <c r="T490" s="1475">
        <f t="shared" si="232"/>
        <v>3320</v>
      </c>
      <c r="U490" s="1475">
        <f t="shared" si="232"/>
        <v>3440</v>
      </c>
      <c r="V490" s="1476">
        <f>SUM(Q490:U490)</f>
        <v>16400</v>
      </c>
    </row>
    <row r="491" spans="1:22" s="39" customFormat="1" ht="24" customHeight="1">
      <c r="A491" s="1860">
        <v>1</v>
      </c>
      <c r="B491" s="1860"/>
      <c r="C491" s="1860"/>
      <c r="D491" s="1860"/>
      <c r="E491" s="1839"/>
      <c r="F491" s="1844"/>
      <c r="G491" s="1643"/>
      <c r="H491" s="1601"/>
      <c r="I491" s="1765"/>
      <c r="J491" s="40" t="s">
        <v>429</v>
      </c>
      <c r="K491" s="91"/>
      <c r="L491" s="41">
        <f>'Budget Assumption_Lab Comp2'!K249</f>
        <v>550</v>
      </c>
      <c r="M491" s="41">
        <f>'Budget Assumption_Lab Comp2'!L249</f>
        <v>560</v>
      </c>
      <c r="N491" s="41">
        <f>'Budget Assumption_Lab Comp2'!M249</f>
        <v>570</v>
      </c>
      <c r="O491" s="41">
        <f>'Budget Assumption_Lab Comp2'!N249</f>
        <v>580</v>
      </c>
      <c r="P491" s="41">
        <f>'Budget Assumption_Lab Comp2'!O249</f>
        <v>600</v>
      </c>
      <c r="Q491" s="1475">
        <f>L491*$H494</f>
        <v>2200</v>
      </c>
      <c r="R491" s="1475">
        <f>M491*$H494</f>
        <v>2240</v>
      </c>
      <c r="S491" s="1475">
        <f>N491*$H494</f>
        <v>2280</v>
      </c>
      <c r="T491" s="1475">
        <f>O491*$H494</f>
        <v>2320</v>
      </c>
      <c r="U491" s="1475">
        <f>P491*$H494</f>
        <v>2400</v>
      </c>
      <c r="V491" s="1476">
        <f t="shared" ref="V491:V497" si="233">SUM(Q491:U491)</f>
        <v>11440</v>
      </c>
    </row>
    <row r="492" spans="1:22" s="39" customFormat="1" ht="24" customHeight="1">
      <c r="A492" s="1860">
        <v>1</v>
      </c>
      <c r="B492" s="1860"/>
      <c r="C492" s="1860"/>
      <c r="D492" s="1860"/>
      <c r="E492" s="1839"/>
      <c r="F492" s="1844"/>
      <c r="G492" s="1643"/>
      <c r="H492" s="1601"/>
      <c r="I492" s="1765"/>
      <c r="J492" s="40" t="s">
        <v>133</v>
      </c>
      <c r="K492" s="91"/>
      <c r="L492" s="41">
        <f>'Budget Assumption_Lab Comp2'!K255</f>
        <v>240</v>
      </c>
      <c r="M492" s="41">
        <f>'Budget Assumption_Lab Comp2'!L255</f>
        <v>240</v>
      </c>
      <c r="N492" s="41">
        <f>'Budget Assumption_Lab Comp2'!M255</f>
        <v>250</v>
      </c>
      <c r="O492" s="41">
        <f>'Budget Assumption_Lab Comp2'!N255</f>
        <v>250</v>
      </c>
      <c r="P492" s="41">
        <f>'Budget Assumption_Lab Comp2'!O255</f>
        <v>260</v>
      </c>
      <c r="Q492" s="1475">
        <f>L492*$H494</f>
        <v>960</v>
      </c>
      <c r="R492" s="1475">
        <f>M492*$H494</f>
        <v>960</v>
      </c>
      <c r="S492" s="1475">
        <f>N492*$H494</f>
        <v>1000</v>
      </c>
      <c r="T492" s="1475">
        <f>O492*$H494</f>
        <v>1000</v>
      </c>
      <c r="U492" s="1475">
        <f>P492*$H494</f>
        <v>1040</v>
      </c>
      <c r="V492" s="1476">
        <f t="shared" si="233"/>
        <v>4960</v>
      </c>
    </row>
    <row r="493" spans="1:22" s="39" customFormat="1" ht="24" customHeight="1">
      <c r="A493" s="1860">
        <v>1</v>
      </c>
      <c r="B493" s="1860"/>
      <c r="C493" s="1860"/>
      <c r="D493" s="1860"/>
      <c r="E493" s="1839"/>
      <c r="F493" s="1844"/>
      <c r="G493" s="1643"/>
      <c r="H493" s="1601"/>
      <c r="I493" s="1765"/>
      <c r="J493" s="40" t="s">
        <v>81</v>
      </c>
      <c r="K493" s="91"/>
      <c r="L493" s="41">
        <v>0</v>
      </c>
      <c r="M493" s="41">
        <v>0</v>
      </c>
      <c r="N493" s="41">
        <v>0</v>
      </c>
      <c r="O493" s="41">
        <v>0</v>
      </c>
      <c r="P493" s="41">
        <v>0</v>
      </c>
      <c r="Q493" s="1475">
        <f>L493*$H494</f>
        <v>0</v>
      </c>
      <c r="R493" s="1475">
        <f>M493*$H494</f>
        <v>0</v>
      </c>
      <c r="S493" s="1475">
        <f>N493*$H494</f>
        <v>0</v>
      </c>
      <c r="T493" s="1475">
        <f>O493*$H494</f>
        <v>0</v>
      </c>
      <c r="U493" s="1475">
        <f>P493*$H494</f>
        <v>0</v>
      </c>
      <c r="V493" s="1476">
        <f t="shared" si="233"/>
        <v>0</v>
      </c>
    </row>
    <row r="494" spans="1:22" s="39" customFormat="1" ht="24" customHeight="1">
      <c r="A494" s="1860">
        <v>1</v>
      </c>
      <c r="B494" s="1860"/>
      <c r="C494" s="1860"/>
      <c r="D494" s="1860"/>
      <c r="E494" s="1839"/>
      <c r="F494" s="1844"/>
      <c r="G494" s="1643"/>
      <c r="H494" s="1814">
        <v>4</v>
      </c>
      <c r="I494" s="1765"/>
      <c r="J494" s="40" t="s">
        <v>134</v>
      </c>
      <c r="K494" s="91"/>
      <c r="L494" s="41">
        <v>0</v>
      </c>
      <c r="M494" s="41">
        <v>0</v>
      </c>
      <c r="N494" s="41">
        <v>0</v>
      </c>
      <c r="O494" s="41">
        <v>0</v>
      </c>
      <c r="P494" s="41">
        <v>0</v>
      </c>
      <c r="Q494" s="1475">
        <f>L494*$H494</f>
        <v>0</v>
      </c>
      <c r="R494" s="1475">
        <f>M494*$H494</f>
        <v>0</v>
      </c>
      <c r="S494" s="1475">
        <f>N494*$H494</f>
        <v>0</v>
      </c>
      <c r="T494" s="1475">
        <f>O494*$H494</f>
        <v>0</v>
      </c>
      <c r="U494" s="1475">
        <f>P494*$H494</f>
        <v>0</v>
      </c>
      <c r="V494" s="1476">
        <f t="shared" si="233"/>
        <v>0</v>
      </c>
    </row>
    <row r="495" spans="1:22" s="39" customFormat="1" ht="24" customHeight="1">
      <c r="A495" s="1860">
        <v>1</v>
      </c>
      <c r="B495" s="1860"/>
      <c r="C495" s="1860"/>
      <c r="D495" s="1860"/>
      <c r="E495" s="1839"/>
      <c r="F495" s="1844"/>
      <c r="G495" s="1643"/>
      <c r="H495" s="1814">
        <f>810*0.05</f>
        <v>40.5</v>
      </c>
      <c r="I495" s="1765"/>
      <c r="J495" s="40" t="s">
        <v>82</v>
      </c>
      <c r="K495" s="91"/>
      <c r="L495" s="41">
        <v>0</v>
      </c>
      <c r="M495" s="41">
        <v>0</v>
      </c>
      <c r="N495" s="41">
        <v>0</v>
      </c>
      <c r="O495" s="41">
        <v>0</v>
      </c>
      <c r="P495" s="41">
        <v>0</v>
      </c>
      <c r="Q495" s="1475">
        <f>L495*$H494</f>
        <v>0</v>
      </c>
      <c r="R495" s="1475">
        <f>M495*$H494</f>
        <v>0</v>
      </c>
      <c r="S495" s="1475">
        <f>N495*$H494</f>
        <v>0</v>
      </c>
      <c r="T495" s="1475">
        <f>O495*$H494</f>
        <v>0</v>
      </c>
      <c r="U495" s="1475">
        <f>P495*$H494</f>
        <v>0</v>
      </c>
      <c r="V495" s="1476">
        <f t="shared" si="233"/>
        <v>0</v>
      </c>
    </row>
    <row r="496" spans="1:22" s="39" customFormat="1" ht="24" customHeight="1">
      <c r="A496" s="1860">
        <v>1</v>
      </c>
      <c r="B496" s="1860"/>
      <c r="C496" s="1860"/>
      <c r="D496" s="1860"/>
      <c r="E496" s="1839"/>
      <c r="F496" s="1844"/>
      <c r="G496" s="1643"/>
      <c r="H496" s="1814"/>
      <c r="I496" s="1765"/>
      <c r="J496" s="40" t="s">
        <v>90</v>
      </c>
      <c r="K496" s="91"/>
      <c r="L496" s="41">
        <v>0</v>
      </c>
      <c r="M496" s="41">
        <v>0</v>
      </c>
      <c r="N496" s="41">
        <v>0</v>
      </c>
      <c r="O496" s="41">
        <v>0</v>
      </c>
      <c r="P496" s="41">
        <v>0</v>
      </c>
      <c r="Q496" s="1475">
        <f>L496*$H494</f>
        <v>0</v>
      </c>
      <c r="R496" s="1475">
        <f>M496*$H494</f>
        <v>0</v>
      </c>
      <c r="S496" s="1475">
        <f>N496*$H494</f>
        <v>0</v>
      </c>
      <c r="T496" s="1475">
        <f>O496*$H494</f>
        <v>0</v>
      </c>
      <c r="U496" s="1475">
        <f>P496*$H494</f>
        <v>0</v>
      </c>
      <c r="V496" s="1476">
        <f t="shared" si="233"/>
        <v>0</v>
      </c>
    </row>
    <row r="497" spans="1:22" s="39" customFormat="1" ht="24" customHeight="1">
      <c r="A497" s="1860">
        <v>1</v>
      </c>
      <c r="B497" s="1860"/>
      <c r="C497" s="1860"/>
      <c r="D497" s="1860"/>
      <c r="E497" s="1839"/>
      <c r="F497" s="1844"/>
      <c r="G497" s="1643"/>
      <c r="H497" s="1814"/>
      <c r="I497" s="1765"/>
      <c r="J497" s="40" t="s">
        <v>83</v>
      </c>
      <c r="K497" s="91"/>
      <c r="L497" s="41">
        <v>0</v>
      </c>
      <c r="M497" s="41">
        <v>0</v>
      </c>
      <c r="N497" s="41">
        <v>0</v>
      </c>
      <c r="O497" s="41">
        <v>0</v>
      </c>
      <c r="P497" s="41">
        <v>0</v>
      </c>
      <c r="Q497" s="1475">
        <f>L497*$H494</f>
        <v>0</v>
      </c>
      <c r="R497" s="1475">
        <f>M497*$H494</f>
        <v>0</v>
      </c>
      <c r="S497" s="1475">
        <f>N497*$H494</f>
        <v>0</v>
      </c>
      <c r="T497" s="1475">
        <f>O497*$H494</f>
        <v>0</v>
      </c>
      <c r="U497" s="1475">
        <f>P497*$H494</f>
        <v>0</v>
      </c>
      <c r="V497" s="1476">
        <f t="shared" si="233"/>
        <v>0</v>
      </c>
    </row>
    <row r="498" spans="1:22" s="39" customFormat="1" ht="24" customHeight="1" thickBot="1">
      <c r="A498" s="1860">
        <v>1</v>
      </c>
      <c r="B498" s="1860"/>
      <c r="C498" s="1860"/>
      <c r="D498" s="1860"/>
      <c r="E498" s="1839"/>
      <c r="F498" s="1845"/>
      <c r="G498" s="1802"/>
      <c r="H498" s="1815"/>
      <c r="I498" s="1766"/>
      <c r="J498" s="80" t="s">
        <v>84</v>
      </c>
      <c r="K498" s="824"/>
      <c r="L498" s="814">
        <f t="shared" ref="L498:U498" si="234">L489-L490</f>
        <v>0</v>
      </c>
      <c r="M498" s="814">
        <f t="shared" si="234"/>
        <v>0</v>
      </c>
      <c r="N498" s="814">
        <f t="shared" si="234"/>
        <v>0</v>
      </c>
      <c r="O498" s="814">
        <f t="shared" si="234"/>
        <v>0</v>
      </c>
      <c r="P498" s="814">
        <f t="shared" si="234"/>
        <v>0</v>
      </c>
      <c r="Q498" s="1487">
        <f t="shared" si="234"/>
        <v>0</v>
      </c>
      <c r="R498" s="1487">
        <f t="shared" si="234"/>
        <v>0</v>
      </c>
      <c r="S498" s="1487">
        <f t="shared" si="234"/>
        <v>0</v>
      </c>
      <c r="T498" s="1487">
        <f t="shared" si="234"/>
        <v>0</v>
      </c>
      <c r="U498" s="1487">
        <f t="shared" si="234"/>
        <v>0</v>
      </c>
      <c r="V498" s="1500">
        <f>SUM(Q498:U498)</f>
        <v>0</v>
      </c>
    </row>
    <row r="499" spans="1:22" s="64" customFormat="1" ht="24" customHeight="1">
      <c r="A499" s="1860">
        <v>1</v>
      </c>
      <c r="B499" s="1860">
        <v>3</v>
      </c>
      <c r="C499" s="1860">
        <v>3</v>
      </c>
      <c r="D499" s="1860">
        <v>3</v>
      </c>
      <c r="E499" s="1839"/>
      <c r="F499" s="1843" t="str">
        <f>CONCATENATE(A499,".",B499,".",C499,".",D499,)</f>
        <v>1.3.3.3</v>
      </c>
      <c r="G499" s="1643" t="s">
        <v>1061</v>
      </c>
      <c r="H499" s="1628" t="s">
        <v>992</v>
      </c>
      <c r="I499" s="1765" t="s">
        <v>990</v>
      </c>
      <c r="J499" s="815" t="s">
        <v>79</v>
      </c>
      <c r="K499" s="898"/>
      <c r="L499" s="898">
        <f>'Budget Assumption_Lab Comp2'!K249+'Budget Assumption_Lab Comp2'!K255</f>
        <v>790</v>
      </c>
      <c r="M499" s="898">
        <f>'Budget Assumption_Lab Comp2'!L249+'Budget Assumption_Lab Comp2'!L255</f>
        <v>800</v>
      </c>
      <c r="N499" s="898">
        <f>'Budget Assumption_Lab Comp2'!M249+'Budget Assumption_Lab Comp2'!M255</f>
        <v>820</v>
      </c>
      <c r="O499" s="898">
        <f>'Budget Assumption_Lab Comp2'!N249+'Budget Assumption_Lab Comp2'!N255</f>
        <v>830</v>
      </c>
      <c r="P499" s="898">
        <f>'Budget Assumption_Lab Comp2'!O249+'Budget Assumption_Lab Comp2'!O255</f>
        <v>860</v>
      </c>
      <c r="Q499" s="1489">
        <f>L499*H504</f>
        <v>43450</v>
      </c>
      <c r="R499" s="1489">
        <f>M499*H504</f>
        <v>44000</v>
      </c>
      <c r="S499" s="1489">
        <f>N499*H504</f>
        <v>45100</v>
      </c>
      <c r="T499" s="1489">
        <f>O499*H504</f>
        <v>45650</v>
      </c>
      <c r="U499" s="1489">
        <f>P499*H504</f>
        <v>47300</v>
      </c>
      <c r="V499" s="1490">
        <f>SUM(Q499:U499)</f>
        <v>225500</v>
      </c>
    </row>
    <row r="500" spans="1:22" s="39" customFormat="1" ht="24" customHeight="1">
      <c r="A500" s="1860">
        <v>1</v>
      </c>
      <c r="B500" s="1860"/>
      <c r="C500" s="1860"/>
      <c r="D500" s="1860"/>
      <c r="E500" s="1839"/>
      <c r="F500" s="1844"/>
      <c r="G500" s="1643"/>
      <c r="H500" s="1601"/>
      <c r="I500" s="1765"/>
      <c r="J500" s="40" t="s">
        <v>80</v>
      </c>
      <c r="K500" s="91"/>
      <c r="L500" s="41">
        <f t="shared" ref="L500:U500" si="235">SUM(L501:L507)</f>
        <v>790</v>
      </c>
      <c r="M500" s="41">
        <f t="shared" si="235"/>
        <v>800</v>
      </c>
      <c r="N500" s="41">
        <f t="shared" si="235"/>
        <v>820</v>
      </c>
      <c r="O500" s="41">
        <f t="shared" si="235"/>
        <v>830</v>
      </c>
      <c r="P500" s="41">
        <f t="shared" si="235"/>
        <v>860</v>
      </c>
      <c r="Q500" s="1475">
        <f t="shared" si="235"/>
        <v>43450</v>
      </c>
      <c r="R500" s="1475">
        <f t="shared" si="235"/>
        <v>44000</v>
      </c>
      <c r="S500" s="1475">
        <f t="shared" si="235"/>
        <v>45100</v>
      </c>
      <c r="T500" s="1475">
        <f t="shared" si="235"/>
        <v>45650</v>
      </c>
      <c r="U500" s="1475">
        <f t="shared" si="235"/>
        <v>47300</v>
      </c>
      <c r="V500" s="1476">
        <f>SUM(Q500:U500)</f>
        <v>225500</v>
      </c>
    </row>
    <row r="501" spans="1:22" s="39" customFormat="1" ht="24" customHeight="1">
      <c r="A501" s="1860">
        <v>1</v>
      </c>
      <c r="B501" s="1860"/>
      <c r="C501" s="1860"/>
      <c r="D501" s="1860"/>
      <c r="E501" s="1839"/>
      <c r="F501" s="1844"/>
      <c r="G501" s="1643"/>
      <c r="H501" s="1601"/>
      <c r="I501" s="1765"/>
      <c r="J501" s="40" t="s">
        <v>429</v>
      </c>
      <c r="K501" s="42"/>
      <c r="L501" s="41">
        <v>0</v>
      </c>
      <c r="M501" s="41">
        <v>0</v>
      </c>
      <c r="N501" s="41">
        <v>0</v>
      </c>
      <c r="O501" s="41">
        <v>0</v>
      </c>
      <c r="P501" s="41">
        <v>0</v>
      </c>
      <c r="Q501" s="1475">
        <f>L501*$H504</f>
        <v>0</v>
      </c>
      <c r="R501" s="1475">
        <f>M501*$H504</f>
        <v>0</v>
      </c>
      <c r="S501" s="1475">
        <f>N501*$H504</f>
        <v>0</v>
      </c>
      <c r="T501" s="1475">
        <f>O501*$H504</f>
        <v>0</v>
      </c>
      <c r="U501" s="1475">
        <f>P501*$H504</f>
        <v>0</v>
      </c>
      <c r="V501" s="1476">
        <f>SUM(Q501:U501)</f>
        <v>0</v>
      </c>
    </row>
    <row r="502" spans="1:22" s="39" customFormat="1" ht="24" customHeight="1">
      <c r="A502" s="1860">
        <v>1</v>
      </c>
      <c r="B502" s="1860"/>
      <c r="C502" s="1860"/>
      <c r="D502" s="1860"/>
      <c r="E502" s="1839"/>
      <c r="F502" s="1844"/>
      <c r="G502" s="1643"/>
      <c r="H502" s="1601"/>
      <c r="I502" s="1765"/>
      <c r="J502" s="40" t="s">
        <v>133</v>
      </c>
      <c r="K502" s="42"/>
      <c r="L502" s="41">
        <f>'Budget Assumption_Lab Comp2'!K255</f>
        <v>240</v>
      </c>
      <c r="M502" s="41">
        <f>'Budget Assumption_Lab Comp2'!L255</f>
        <v>240</v>
      </c>
      <c r="N502" s="41">
        <f>'Budget Assumption_Lab Comp2'!M255</f>
        <v>250</v>
      </c>
      <c r="O502" s="41">
        <f>'Budget Assumption_Lab Comp2'!N255</f>
        <v>250</v>
      </c>
      <c r="P502" s="41">
        <f>'Budget Assumption_Lab Comp2'!O255</f>
        <v>260</v>
      </c>
      <c r="Q502" s="1475">
        <f>L502*$H504</f>
        <v>13200</v>
      </c>
      <c r="R502" s="1475">
        <f>M502*$H504</f>
        <v>13200</v>
      </c>
      <c r="S502" s="1475">
        <f>N502*$H504</f>
        <v>13750</v>
      </c>
      <c r="T502" s="1475">
        <f>O502*$H504</f>
        <v>13750</v>
      </c>
      <c r="U502" s="1475">
        <f>P502*$H504</f>
        <v>14300</v>
      </c>
      <c r="V502" s="1476">
        <f t="shared" ref="V502:V507" si="236">SUM(Q502:U502)</f>
        <v>68200</v>
      </c>
    </row>
    <row r="503" spans="1:22" s="39" customFormat="1" ht="24" customHeight="1">
      <c r="A503" s="1860">
        <v>1</v>
      </c>
      <c r="B503" s="1860"/>
      <c r="C503" s="1860"/>
      <c r="D503" s="1860"/>
      <c r="E503" s="1839"/>
      <c r="F503" s="1844"/>
      <c r="G503" s="1643"/>
      <c r="H503" s="1601"/>
      <c r="I503" s="1765"/>
      <c r="J503" s="40" t="s">
        <v>81</v>
      </c>
      <c r="K503" s="42"/>
      <c r="L503" s="41">
        <v>0</v>
      </c>
      <c r="M503" s="41">
        <v>0</v>
      </c>
      <c r="N503" s="41">
        <v>0</v>
      </c>
      <c r="O503" s="41">
        <v>0</v>
      </c>
      <c r="P503" s="41">
        <v>0</v>
      </c>
      <c r="Q503" s="1475">
        <f>L503*$H504</f>
        <v>0</v>
      </c>
      <c r="R503" s="1475">
        <f>M503*$H504</f>
        <v>0</v>
      </c>
      <c r="S503" s="1475">
        <f>N503*$H504</f>
        <v>0</v>
      </c>
      <c r="T503" s="1475">
        <f>O503*$H504</f>
        <v>0</v>
      </c>
      <c r="U503" s="1475">
        <f>P503*$H504</f>
        <v>0</v>
      </c>
      <c r="V503" s="1476">
        <f t="shared" si="236"/>
        <v>0</v>
      </c>
    </row>
    <row r="504" spans="1:22" s="39" customFormat="1" ht="24" customHeight="1">
      <c r="A504" s="1860">
        <v>1</v>
      </c>
      <c r="B504" s="1860"/>
      <c r="C504" s="1860"/>
      <c r="D504" s="1860"/>
      <c r="E504" s="1839"/>
      <c r="F504" s="1844"/>
      <c r="G504" s="1643"/>
      <c r="H504" s="1687">
        <f>'Budget Assumption_Lab Comp2'!R249</f>
        <v>55</v>
      </c>
      <c r="I504" s="1765"/>
      <c r="J504" s="40" t="s">
        <v>134</v>
      </c>
      <c r="K504" s="42"/>
      <c r="L504" s="41">
        <f>'Budget Assumption_Lab Comp2'!K249</f>
        <v>550</v>
      </c>
      <c r="M504" s="41">
        <f>'Budget Assumption_Lab Comp2'!L249</f>
        <v>560</v>
      </c>
      <c r="N504" s="41">
        <f>'Budget Assumption_Lab Comp2'!M249</f>
        <v>570</v>
      </c>
      <c r="O504" s="41">
        <f>'Budget Assumption_Lab Comp2'!N249</f>
        <v>580</v>
      </c>
      <c r="P504" s="41">
        <f>'Budget Assumption_Lab Comp2'!O249</f>
        <v>600</v>
      </c>
      <c r="Q504" s="1475">
        <f>L504*$H504</f>
        <v>30250</v>
      </c>
      <c r="R504" s="1475">
        <f>M504*$H504</f>
        <v>30800</v>
      </c>
      <c r="S504" s="1475">
        <f>N504*$H504</f>
        <v>31350</v>
      </c>
      <c r="T504" s="1475">
        <f>O504*$H504</f>
        <v>31900</v>
      </c>
      <c r="U504" s="1475">
        <f>P504*$H504</f>
        <v>33000</v>
      </c>
      <c r="V504" s="1476">
        <f t="shared" si="236"/>
        <v>157300</v>
      </c>
    </row>
    <row r="505" spans="1:22" s="39" customFormat="1" ht="24" customHeight="1">
      <c r="A505" s="1860">
        <v>1</v>
      </c>
      <c r="B505" s="1860"/>
      <c r="C505" s="1860"/>
      <c r="D505" s="1860"/>
      <c r="E505" s="1839"/>
      <c r="F505" s="1844"/>
      <c r="G505" s="1643"/>
      <c r="H505" s="1687">
        <f>810*0.05</f>
        <v>40.5</v>
      </c>
      <c r="I505" s="1765"/>
      <c r="J505" s="40" t="s">
        <v>82</v>
      </c>
      <c r="K505" s="42"/>
      <c r="L505" s="41">
        <v>0</v>
      </c>
      <c r="M505" s="41">
        <v>0</v>
      </c>
      <c r="N505" s="41">
        <v>0</v>
      </c>
      <c r="O505" s="41">
        <v>0</v>
      </c>
      <c r="P505" s="41">
        <v>0</v>
      </c>
      <c r="Q505" s="1475">
        <f>L505*$H504</f>
        <v>0</v>
      </c>
      <c r="R505" s="1475">
        <f>M505*$H504</f>
        <v>0</v>
      </c>
      <c r="S505" s="1475">
        <f>N505*$H504</f>
        <v>0</v>
      </c>
      <c r="T505" s="1475">
        <f>O505*$H504</f>
        <v>0</v>
      </c>
      <c r="U505" s="1475">
        <f>P505*$H504</f>
        <v>0</v>
      </c>
      <c r="V505" s="1476">
        <f t="shared" si="236"/>
        <v>0</v>
      </c>
    </row>
    <row r="506" spans="1:22" s="39" customFormat="1" ht="24" customHeight="1">
      <c r="A506" s="1860">
        <v>1</v>
      </c>
      <c r="B506" s="1860"/>
      <c r="C506" s="1860"/>
      <c r="D506" s="1860"/>
      <c r="E506" s="1839"/>
      <c r="F506" s="1844"/>
      <c r="G506" s="1643"/>
      <c r="H506" s="1687"/>
      <c r="I506" s="1765"/>
      <c r="J506" s="40" t="s">
        <v>90</v>
      </c>
      <c r="K506" s="42"/>
      <c r="L506" s="41">
        <v>0</v>
      </c>
      <c r="M506" s="41">
        <v>0</v>
      </c>
      <c r="N506" s="41">
        <v>0</v>
      </c>
      <c r="O506" s="41">
        <v>0</v>
      </c>
      <c r="P506" s="41">
        <v>0</v>
      </c>
      <c r="Q506" s="1475">
        <f>L506*$H504</f>
        <v>0</v>
      </c>
      <c r="R506" s="1475">
        <f>M506*$H504</f>
        <v>0</v>
      </c>
      <c r="S506" s="1475">
        <f>N506*$H504</f>
        <v>0</v>
      </c>
      <c r="T506" s="1475">
        <f>O506*$H504</f>
        <v>0</v>
      </c>
      <c r="U506" s="1475">
        <f>P506*$H504</f>
        <v>0</v>
      </c>
      <c r="V506" s="1476">
        <f t="shared" si="236"/>
        <v>0</v>
      </c>
    </row>
    <row r="507" spans="1:22" s="39" customFormat="1" ht="24" customHeight="1">
      <c r="A507" s="1860">
        <v>1</v>
      </c>
      <c r="B507" s="1860"/>
      <c r="C507" s="1860"/>
      <c r="D507" s="1860"/>
      <c r="E507" s="1839"/>
      <c r="F507" s="1844"/>
      <c r="G507" s="1643"/>
      <c r="H507" s="1687"/>
      <c r="I507" s="1765"/>
      <c r="J507" s="40" t="s">
        <v>83</v>
      </c>
      <c r="K507" s="42"/>
      <c r="L507" s="41">
        <v>0</v>
      </c>
      <c r="M507" s="41">
        <v>0</v>
      </c>
      <c r="N507" s="41">
        <v>0</v>
      </c>
      <c r="O507" s="41">
        <v>0</v>
      </c>
      <c r="P507" s="41">
        <v>0</v>
      </c>
      <c r="Q507" s="1475">
        <f>L507*$H504</f>
        <v>0</v>
      </c>
      <c r="R507" s="1475">
        <f>M507*$H504</f>
        <v>0</v>
      </c>
      <c r="S507" s="1475">
        <f>N507*$H504</f>
        <v>0</v>
      </c>
      <c r="T507" s="1475">
        <f>O507*$H504</f>
        <v>0</v>
      </c>
      <c r="U507" s="1475">
        <f>P507*$H504</f>
        <v>0</v>
      </c>
      <c r="V507" s="1476">
        <f t="shared" si="236"/>
        <v>0</v>
      </c>
    </row>
    <row r="508" spans="1:22" s="39" customFormat="1" ht="24" customHeight="1" thickBot="1">
      <c r="A508" s="1860">
        <v>1</v>
      </c>
      <c r="B508" s="1860"/>
      <c r="C508" s="1860"/>
      <c r="D508" s="1860"/>
      <c r="E508" s="1839"/>
      <c r="F508" s="1844"/>
      <c r="G508" s="1922"/>
      <c r="H508" s="1687"/>
      <c r="I508" s="1853"/>
      <c r="J508" s="80" t="s">
        <v>84</v>
      </c>
      <c r="K508" s="81"/>
      <c r="L508" s="814">
        <f t="shared" ref="L508:U508" si="237">L499-L500</f>
        <v>0</v>
      </c>
      <c r="M508" s="814">
        <f t="shared" si="237"/>
        <v>0</v>
      </c>
      <c r="N508" s="814">
        <f t="shared" si="237"/>
        <v>0</v>
      </c>
      <c r="O508" s="814">
        <f t="shared" si="237"/>
        <v>0</v>
      </c>
      <c r="P508" s="814">
        <f t="shared" si="237"/>
        <v>0</v>
      </c>
      <c r="Q508" s="1487">
        <f t="shared" si="237"/>
        <v>0</v>
      </c>
      <c r="R508" s="1487">
        <f t="shared" si="237"/>
        <v>0</v>
      </c>
      <c r="S508" s="1487">
        <f t="shared" si="237"/>
        <v>0</v>
      </c>
      <c r="T508" s="1487">
        <f t="shared" si="237"/>
        <v>0</v>
      </c>
      <c r="U508" s="1487">
        <f t="shared" si="237"/>
        <v>0</v>
      </c>
      <c r="V508" s="1500">
        <f>SUM(Q508:U508)</f>
        <v>0</v>
      </c>
    </row>
    <row r="509" spans="1:22" s="55" customFormat="1" ht="36" customHeight="1">
      <c r="A509" s="75">
        <v>2</v>
      </c>
      <c r="B509" s="75"/>
      <c r="C509" s="75"/>
      <c r="D509" s="75"/>
      <c r="E509" s="77" t="s">
        <v>11</v>
      </c>
      <c r="F509" s="1467" t="str">
        <f>CONCATENATE(A509,".")</f>
        <v>2.</v>
      </c>
      <c r="G509" s="1749" t="s">
        <v>308</v>
      </c>
      <c r="H509" s="1750"/>
      <c r="I509" s="1750"/>
      <c r="J509" s="1751"/>
      <c r="K509" s="899"/>
      <c r="L509" s="900"/>
      <c r="M509" s="900"/>
      <c r="N509" s="900"/>
      <c r="O509" s="900"/>
      <c r="P509" s="900"/>
      <c r="Q509" s="1501">
        <f>Q510+Q666+Q910+Q1166</f>
        <v>119002628.66496883</v>
      </c>
      <c r="R509" s="1501">
        <f>R510+R666+R910+R1166</f>
        <v>124908454.85818654</v>
      </c>
      <c r="S509" s="1501">
        <f>S510+S666+S910+S1166</f>
        <v>127945262.48652601</v>
      </c>
      <c r="T509" s="1501">
        <f>T510+T666+T910+T1166</f>
        <v>123652361.22213948</v>
      </c>
      <c r="U509" s="1501">
        <f>U510+U666+U910+U1166</f>
        <v>128524745.04538926</v>
      </c>
      <c r="V509" s="1501">
        <f t="shared" ref="V509:V666" si="238">SUM(Q509:U509)</f>
        <v>624033452.27721012</v>
      </c>
    </row>
    <row r="510" spans="1:22" s="60" customFormat="1" ht="27" customHeight="1">
      <c r="A510" s="74">
        <v>2</v>
      </c>
      <c r="B510" s="74">
        <v>1</v>
      </c>
      <c r="C510" s="74"/>
      <c r="D510" s="74"/>
      <c r="E510" s="74"/>
      <c r="F510" s="1467" t="str">
        <f>CONCATENATE(A510,".",B510)</f>
        <v>2.1</v>
      </c>
      <c r="G510" s="1573" t="s">
        <v>309</v>
      </c>
      <c r="H510" s="1574"/>
      <c r="I510" s="1574"/>
      <c r="J510" s="1575"/>
      <c r="K510" s="901"/>
      <c r="L510" s="902"/>
      <c r="M510" s="902"/>
      <c r="N510" s="902"/>
      <c r="O510" s="902"/>
      <c r="P510" s="902"/>
      <c r="Q510" s="1502">
        <f>Q511+Q562+Q573+Q624+Q645</f>
        <v>34828584.6624</v>
      </c>
      <c r="R510" s="1502">
        <f t="shared" ref="R510:V510" si="239">R511+R562+R573+R624+R645</f>
        <v>35188291.281400003</v>
      </c>
      <c r="S510" s="1502">
        <f t="shared" si="239"/>
        <v>35689320.335299999</v>
      </c>
      <c r="T510" s="1502">
        <f t="shared" si="239"/>
        <v>35204279.215750001</v>
      </c>
      <c r="U510" s="1502">
        <f t="shared" si="239"/>
        <v>35825166.384000003</v>
      </c>
      <c r="V510" s="1502">
        <f t="shared" si="239"/>
        <v>176735641.87884998</v>
      </c>
    </row>
    <row r="511" spans="1:22" s="61" customFormat="1" ht="32.1" customHeight="1">
      <c r="A511" s="74">
        <v>2</v>
      </c>
      <c r="B511" s="74">
        <v>1</v>
      </c>
      <c r="C511" s="74">
        <v>1</v>
      </c>
      <c r="D511" s="74"/>
      <c r="E511" s="74"/>
      <c r="F511" s="1468" t="str">
        <f>CONCATENATE(A511,".",B511,".",C511,)</f>
        <v>2.1.1</v>
      </c>
      <c r="G511" s="1631" t="s">
        <v>1137</v>
      </c>
      <c r="H511" s="1631"/>
      <c r="I511" s="1631"/>
      <c r="J511" s="1632"/>
      <c r="K511" s="903"/>
      <c r="L511" s="382"/>
      <c r="M511" s="382"/>
      <c r="N511" s="382"/>
      <c r="O511" s="382"/>
      <c r="P511" s="382"/>
      <c r="Q511" s="1499">
        <f>Q513+Q523+Q533+Q543+Q553</f>
        <v>1117934.8463999999</v>
      </c>
      <c r="R511" s="1499">
        <f t="shared" ref="R511:V511" si="240">R513+R523+R533+R543+R553</f>
        <v>1254556.8269999998</v>
      </c>
      <c r="S511" s="1499">
        <f t="shared" si="240"/>
        <v>1514402.8616999998</v>
      </c>
      <c r="T511" s="1499">
        <f t="shared" si="240"/>
        <v>1336506.0773499999</v>
      </c>
      <c r="U511" s="1499">
        <f t="shared" si="240"/>
        <v>1680379.4239999999</v>
      </c>
      <c r="V511" s="1499">
        <f t="shared" si="240"/>
        <v>6903780.0364499995</v>
      </c>
    </row>
    <row r="512" spans="1:22" s="62" customFormat="1" ht="24" customHeight="1">
      <c r="A512" s="1860">
        <v>2</v>
      </c>
      <c r="B512" s="1860">
        <v>1</v>
      </c>
      <c r="C512" s="1860">
        <v>1</v>
      </c>
      <c r="D512" s="1860">
        <v>1</v>
      </c>
      <c r="E512" s="1839"/>
      <c r="F512" s="1843" t="str">
        <f>CONCATENATE(A512,".",B512,".",C512,".",D512,)</f>
        <v>2.1.1.1</v>
      </c>
      <c r="G512" s="1642" t="s">
        <v>993</v>
      </c>
      <c r="H512" s="1817" t="s">
        <v>1062</v>
      </c>
      <c r="I512" s="1764" t="s">
        <v>994</v>
      </c>
      <c r="J512" s="36" t="s">
        <v>79</v>
      </c>
      <c r="K512" s="904"/>
      <c r="L512" s="37">
        <f>'Budget Assumption_Lab Comp2'!K185</f>
        <v>19326.147900000004</v>
      </c>
      <c r="M512" s="37">
        <f>'Budget Assumption_Lab Comp2'!L185</f>
        <v>21861.255509999999</v>
      </c>
      <c r="N512" s="37">
        <f>'Budget Assumption_Lab Comp2'!M185</f>
        <v>25837.99944</v>
      </c>
      <c r="O512" s="37">
        <f>'Budget Assumption_Lab Comp2'!N185</f>
        <v>30515.760738000001</v>
      </c>
      <c r="P512" s="37">
        <f>'Budget Assumption_Lab Comp2'!O185</f>
        <v>37378.052100000001</v>
      </c>
      <c r="Q512" s="1475">
        <f>L512*$H$517</f>
        <v>695741.32440000016</v>
      </c>
      <c r="R512" s="1475">
        <f t="shared" ref="R512:U512" si="241">M512*$H$517</f>
        <v>787005.19835999992</v>
      </c>
      <c r="S512" s="1475">
        <f t="shared" si="241"/>
        <v>930167.97983999993</v>
      </c>
      <c r="T512" s="1475">
        <f t="shared" si="241"/>
        <v>1098567.3865680001</v>
      </c>
      <c r="U512" s="1475">
        <f t="shared" si="241"/>
        <v>1345609.8755999999</v>
      </c>
      <c r="V512" s="1476">
        <f>SUM(Q512:U512)</f>
        <v>4857091.7647680007</v>
      </c>
    </row>
    <row r="513" spans="1:22" s="39" customFormat="1" ht="24" customHeight="1">
      <c r="A513" s="1860">
        <v>1</v>
      </c>
      <c r="B513" s="1860"/>
      <c r="C513" s="1860"/>
      <c r="D513" s="1860"/>
      <c r="E513" s="1839"/>
      <c r="F513" s="1844"/>
      <c r="G513" s="1643"/>
      <c r="H513" s="1817"/>
      <c r="I513" s="1765"/>
      <c r="J513" s="40" t="s">
        <v>80</v>
      </c>
      <c r="K513" s="91"/>
      <c r="L513" s="41">
        <f t="shared" ref="L513:U513" si="242">SUM(L514:L520)</f>
        <v>19326.1479</v>
      </c>
      <c r="M513" s="41">
        <f t="shared" si="242"/>
        <v>21861.255510000003</v>
      </c>
      <c r="N513" s="41">
        <f t="shared" si="242"/>
        <v>25837.99944</v>
      </c>
      <c r="O513" s="41">
        <f t="shared" si="242"/>
        <v>22985.87961</v>
      </c>
      <c r="P513" s="41">
        <f t="shared" si="242"/>
        <v>28236.766499999998</v>
      </c>
      <c r="Q513" s="1475">
        <f t="shared" si="242"/>
        <v>695741.32440000004</v>
      </c>
      <c r="R513" s="1475">
        <f t="shared" si="242"/>
        <v>787005.19836000004</v>
      </c>
      <c r="S513" s="1475">
        <f t="shared" si="242"/>
        <v>930167.97983999993</v>
      </c>
      <c r="T513" s="1475">
        <f t="shared" si="242"/>
        <v>827491.66596000001</v>
      </c>
      <c r="U513" s="1475">
        <f t="shared" si="242"/>
        <v>1016523.5939999999</v>
      </c>
      <c r="V513" s="1476">
        <f>SUM(Q513:U513)</f>
        <v>4256929.7625599997</v>
      </c>
    </row>
    <row r="514" spans="1:22" s="39" customFormat="1" ht="24" customHeight="1">
      <c r="A514" s="1860">
        <v>1</v>
      </c>
      <c r="B514" s="1860"/>
      <c r="C514" s="1860"/>
      <c r="D514" s="1860"/>
      <c r="E514" s="1839"/>
      <c r="F514" s="1844"/>
      <c r="G514" s="1643"/>
      <c r="H514" s="1817"/>
      <c r="I514" s="1765"/>
      <c r="J514" s="40" t="s">
        <v>429</v>
      </c>
      <c r="K514" s="91"/>
      <c r="L514" s="41">
        <f>'Budget Assumption_Lab Comp2'!K205</f>
        <v>14162.60305</v>
      </c>
      <c r="M514" s="41">
        <f>'Budget Assumption_Lab Comp2'!L205</f>
        <v>16022.788425000001</v>
      </c>
      <c r="N514" s="41">
        <f>'Budget Assumption_Lab Comp2'!M205</f>
        <v>18942.464199999999</v>
      </c>
      <c r="O514" s="41">
        <f>'Budget Assumption_Lab Comp2'!N205</f>
        <v>22985.87961</v>
      </c>
      <c r="P514" s="41">
        <f>'Budget Assumption_Lab Comp2'!O205</f>
        <v>28236.766499999998</v>
      </c>
      <c r="Q514" s="1475">
        <f>L514*$H517</f>
        <v>509853.70980000001</v>
      </c>
      <c r="R514" s="1475">
        <f>M514*$H517</f>
        <v>576820.38329999999</v>
      </c>
      <c r="S514" s="1475">
        <f>N514*$H517</f>
        <v>681928.7111999999</v>
      </c>
      <c r="T514" s="1475">
        <f>O514*$H517</f>
        <v>827491.66596000001</v>
      </c>
      <c r="U514" s="1475">
        <f>P514*$H517</f>
        <v>1016523.5939999999</v>
      </c>
      <c r="V514" s="1476">
        <f t="shared" ref="V514:V520" si="243">SUM(Q514:U514)</f>
        <v>3612618.0642599999</v>
      </c>
    </row>
    <row r="515" spans="1:22" s="39" customFormat="1" ht="24" customHeight="1">
      <c r="A515" s="1860">
        <v>1</v>
      </c>
      <c r="B515" s="1860"/>
      <c r="C515" s="1860"/>
      <c r="D515" s="1860"/>
      <c r="E515" s="1839"/>
      <c r="F515" s="1844"/>
      <c r="G515" s="1643"/>
      <c r="H515" s="1817"/>
      <c r="I515" s="1765"/>
      <c r="J515" s="40" t="s">
        <v>133</v>
      </c>
      <c r="K515" s="91"/>
      <c r="L515" s="41">
        <v>0</v>
      </c>
      <c r="M515" s="41">
        <v>0</v>
      </c>
      <c r="N515" s="41">
        <v>0</v>
      </c>
      <c r="O515" s="41">
        <v>0</v>
      </c>
      <c r="P515" s="41">
        <v>0</v>
      </c>
      <c r="Q515" s="1475">
        <f>L515*$H517</f>
        <v>0</v>
      </c>
      <c r="R515" s="1475">
        <f>M515*$H517</f>
        <v>0</v>
      </c>
      <c r="S515" s="1475">
        <f>N515*$H517</f>
        <v>0</v>
      </c>
      <c r="T515" s="1475">
        <f>O515*$H517</f>
        <v>0</v>
      </c>
      <c r="U515" s="1475">
        <f>P515*$H517</f>
        <v>0</v>
      </c>
      <c r="V515" s="1476">
        <f t="shared" si="243"/>
        <v>0</v>
      </c>
    </row>
    <row r="516" spans="1:22" s="39" customFormat="1" ht="24" customHeight="1">
      <c r="A516" s="1860">
        <v>1</v>
      </c>
      <c r="B516" s="1860"/>
      <c r="C516" s="1860"/>
      <c r="D516" s="1860"/>
      <c r="E516" s="1839"/>
      <c r="F516" s="1844"/>
      <c r="G516" s="1643"/>
      <c r="H516" s="1817"/>
      <c r="I516" s="1765"/>
      <c r="J516" s="40" t="s">
        <v>81</v>
      </c>
      <c r="K516" s="91"/>
      <c r="L516" s="41">
        <v>0</v>
      </c>
      <c r="M516" s="41">
        <v>0</v>
      </c>
      <c r="N516" s="41">
        <v>0</v>
      </c>
      <c r="O516" s="41">
        <v>0</v>
      </c>
      <c r="P516" s="41">
        <v>0</v>
      </c>
      <c r="Q516" s="1475">
        <f>L516*$H517</f>
        <v>0</v>
      </c>
      <c r="R516" s="1475">
        <f>M516*$H517</f>
        <v>0</v>
      </c>
      <c r="S516" s="1475">
        <f>N516*$H517</f>
        <v>0</v>
      </c>
      <c r="T516" s="1475">
        <f>O516*$H517</f>
        <v>0</v>
      </c>
      <c r="U516" s="1475">
        <f>P516*$H517</f>
        <v>0</v>
      </c>
      <c r="V516" s="1476">
        <f t="shared" si="243"/>
        <v>0</v>
      </c>
    </row>
    <row r="517" spans="1:22" s="39" customFormat="1" ht="24" customHeight="1">
      <c r="A517" s="1860">
        <v>1</v>
      </c>
      <c r="B517" s="1860"/>
      <c r="C517" s="1860"/>
      <c r="D517" s="1860"/>
      <c r="E517" s="1839"/>
      <c r="F517" s="1844"/>
      <c r="G517" s="1643"/>
      <c r="H517" s="1687">
        <f>'Budget Assumption_Lab Comp2'!Q185</f>
        <v>36</v>
      </c>
      <c r="I517" s="1765"/>
      <c r="J517" s="40" t="s">
        <v>134</v>
      </c>
      <c r="K517" s="91"/>
      <c r="L517" s="41">
        <v>0</v>
      </c>
      <c r="M517" s="41">
        <v>0</v>
      </c>
      <c r="N517" s="41">
        <v>0</v>
      </c>
      <c r="O517" s="41">
        <v>0</v>
      </c>
      <c r="P517" s="41">
        <v>0</v>
      </c>
      <c r="Q517" s="1475">
        <f>L517*$H517</f>
        <v>0</v>
      </c>
      <c r="R517" s="1475">
        <f>M517*$H517</f>
        <v>0</v>
      </c>
      <c r="S517" s="1475">
        <f>N517*$H517</f>
        <v>0</v>
      </c>
      <c r="T517" s="1475">
        <f>O517*$H517</f>
        <v>0</v>
      </c>
      <c r="U517" s="1475">
        <f>P517*$H517</f>
        <v>0</v>
      </c>
      <c r="V517" s="1476">
        <f t="shared" si="243"/>
        <v>0</v>
      </c>
    </row>
    <row r="518" spans="1:22" s="39" customFormat="1" ht="24" customHeight="1">
      <c r="A518" s="1860">
        <v>1</v>
      </c>
      <c r="B518" s="1860"/>
      <c r="C518" s="1860"/>
      <c r="D518" s="1860"/>
      <c r="E518" s="1839"/>
      <c r="F518" s="1844"/>
      <c r="G518" s="1643"/>
      <c r="H518" s="1687">
        <f>810*0.05</f>
        <v>40.5</v>
      </c>
      <c r="I518" s="1765"/>
      <c r="J518" s="40" t="s">
        <v>82</v>
      </c>
      <c r="K518" s="91"/>
      <c r="L518" s="41">
        <v>0</v>
      </c>
      <c r="M518" s="41">
        <v>0</v>
      </c>
      <c r="N518" s="41">
        <v>0</v>
      </c>
      <c r="O518" s="41">
        <v>0</v>
      </c>
      <c r="P518" s="41">
        <v>0</v>
      </c>
      <c r="Q518" s="1475">
        <f>L518*$H517</f>
        <v>0</v>
      </c>
      <c r="R518" s="1475">
        <f>M518*$H517</f>
        <v>0</v>
      </c>
      <c r="S518" s="1475">
        <f>N518*$H517</f>
        <v>0</v>
      </c>
      <c r="T518" s="1475">
        <f>O518*$H517</f>
        <v>0</v>
      </c>
      <c r="U518" s="1475">
        <f>P518*$H517</f>
        <v>0</v>
      </c>
      <c r="V518" s="1476">
        <f t="shared" si="243"/>
        <v>0</v>
      </c>
    </row>
    <row r="519" spans="1:22" s="39" customFormat="1" ht="24" customHeight="1">
      <c r="A519" s="1860">
        <v>1</v>
      </c>
      <c r="B519" s="1860"/>
      <c r="C519" s="1860"/>
      <c r="D519" s="1860"/>
      <c r="E519" s="1839"/>
      <c r="F519" s="1844"/>
      <c r="G519" s="1643"/>
      <c r="H519" s="1687"/>
      <c r="I519" s="1765"/>
      <c r="J519" s="40" t="s">
        <v>90</v>
      </c>
      <c r="K519" s="91"/>
      <c r="L519" s="41">
        <f>'Budget Assumption_Lab Comp2'!K195</f>
        <v>5163.5448500000002</v>
      </c>
      <c r="M519" s="41">
        <f>'Budget Assumption_Lab Comp2'!L195</f>
        <v>5838.4670850000002</v>
      </c>
      <c r="N519" s="41">
        <f>'Budget Assumption_Lab Comp2'!M195</f>
        <v>6895.5352400000002</v>
      </c>
      <c r="O519" s="41">
        <v>0</v>
      </c>
      <c r="P519" s="41">
        <v>0</v>
      </c>
      <c r="Q519" s="1475">
        <f>L519*$H517</f>
        <v>185887.6146</v>
      </c>
      <c r="R519" s="1475">
        <f>M519*$H517</f>
        <v>210184.81505999999</v>
      </c>
      <c r="S519" s="1475">
        <f>N519*$H517</f>
        <v>248239.26863999999</v>
      </c>
      <c r="T519" s="1475">
        <f>O519*$H517</f>
        <v>0</v>
      </c>
      <c r="U519" s="1475">
        <f>P519*$H517</f>
        <v>0</v>
      </c>
      <c r="V519" s="1476">
        <f t="shared" si="243"/>
        <v>644311.69830000005</v>
      </c>
    </row>
    <row r="520" spans="1:22" s="39" customFormat="1" ht="24" customHeight="1">
      <c r="A520" s="1860">
        <v>1</v>
      </c>
      <c r="B520" s="1860"/>
      <c r="C520" s="1860"/>
      <c r="D520" s="1860"/>
      <c r="E520" s="1839"/>
      <c r="F520" s="1844"/>
      <c r="G520" s="1643"/>
      <c r="H520" s="1687"/>
      <c r="I520" s="1765"/>
      <c r="J520" s="40" t="s">
        <v>83</v>
      </c>
      <c r="K520" s="91"/>
      <c r="L520" s="41">
        <v>0</v>
      </c>
      <c r="M520" s="41">
        <v>0</v>
      </c>
      <c r="N520" s="41">
        <v>0</v>
      </c>
      <c r="O520" s="41">
        <v>0</v>
      </c>
      <c r="P520" s="41">
        <v>0</v>
      </c>
      <c r="Q520" s="1475">
        <f>L520*$H517</f>
        <v>0</v>
      </c>
      <c r="R520" s="1475">
        <f>M520*$H517</f>
        <v>0</v>
      </c>
      <c r="S520" s="1475">
        <f>N520*$H517</f>
        <v>0</v>
      </c>
      <c r="T520" s="1475">
        <f>O520*$H517</f>
        <v>0</v>
      </c>
      <c r="U520" s="1475">
        <f>P520*$H517</f>
        <v>0</v>
      </c>
      <c r="V520" s="1476">
        <f t="shared" si="243"/>
        <v>0</v>
      </c>
    </row>
    <row r="521" spans="1:22" s="39" customFormat="1" ht="24" customHeight="1" thickBot="1">
      <c r="A521" s="1860">
        <v>1</v>
      </c>
      <c r="B521" s="1860"/>
      <c r="C521" s="1860"/>
      <c r="D521" s="1860"/>
      <c r="E521" s="1839"/>
      <c r="F521" s="1845"/>
      <c r="G521" s="1802"/>
      <c r="H521" s="1688"/>
      <c r="I521" s="1766"/>
      <c r="J521" s="80" t="s">
        <v>84</v>
      </c>
      <c r="K521" s="824"/>
      <c r="L521" s="814">
        <f t="shared" ref="L521:V521" si="244">L512-L513</f>
        <v>0</v>
      </c>
      <c r="M521" s="814">
        <f t="shared" si="244"/>
        <v>0</v>
      </c>
      <c r="N521" s="814">
        <f t="shared" si="244"/>
        <v>0</v>
      </c>
      <c r="O521" s="814">
        <f t="shared" si="244"/>
        <v>7529.8811280000009</v>
      </c>
      <c r="P521" s="814">
        <f t="shared" si="244"/>
        <v>9141.2856000000029</v>
      </c>
      <c r="Q521" s="1487">
        <f t="shared" si="244"/>
        <v>0</v>
      </c>
      <c r="R521" s="1487">
        <f t="shared" si="244"/>
        <v>0</v>
      </c>
      <c r="S521" s="1487">
        <f t="shared" si="244"/>
        <v>0</v>
      </c>
      <c r="T521" s="1487">
        <f t="shared" si="244"/>
        <v>271075.72060800006</v>
      </c>
      <c r="U521" s="1487">
        <f t="shared" si="244"/>
        <v>329086.28159999999</v>
      </c>
      <c r="V521" s="1500">
        <f t="shared" si="244"/>
        <v>600162.00220800098</v>
      </c>
    </row>
    <row r="522" spans="1:22" s="62" customFormat="1" ht="24" customHeight="1">
      <c r="A522" s="1860">
        <v>2</v>
      </c>
      <c r="B522" s="1860">
        <v>1</v>
      </c>
      <c r="C522" s="1860">
        <v>1</v>
      </c>
      <c r="D522" s="1860">
        <v>2</v>
      </c>
      <c r="E522" s="1839"/>
      <c r="F522" s="1846" t="str">
        <f>CONCATENATE(A522,".",B522,".",C522,".",D522,)</f>
        <v>2.1.1.2</v>
      </c>
      <c r="G522" s="2004" t="s">
        <v>996</v>
      </c>
      <c r="H522" s="1816" t="s">
        <v>1062</v>
      </c>
      <c r="I522" s="1789" t="s">
        <v>997</v>
      </c>
      <c r="J522" s="815" t="s">
        <v>79</v>
      </c>
      <c r="K522" s="905"/>
      <c r="L522" s="898">
        <f>'Budget Assumption_Lab Comp2'!K188</f>
        <v>3516.3503999999984</v>
      </c>
      <c r="M522" s="898">
        <f>'Budget Assumption_Lab Comp2'!L188</f>
        <v>3959.8934399999989</v>
      </c>
      <c r="N522" s="898">
        <f>'Budget Assumption_Lab Comp2'!M188</f>
        <v>4862.3637599999984</v>
      </c>
      <c r="O522" s="898">
        <f>'Budget Assumption_Lab Comp2'!N188</f>
        <v>5912.0081819999996</v>
      </c>
      <c r="P522" s="898">
        <f>'Budget Assumption_Lab Comp2'!O188</f>
        <v>7641.4877999999981</v>
      </c>
      <c r="Q522" s="1489">
        <f>L522*H527</f>
        <v>38679.854399999982</v>
      </c>
      <c r="R522" s="1489">
        <f>M522*H527</f>
        <v>43558.827839999991</v>
      </c>
      <c r="S522" s="1489">
        <f>N522*H527</f>
        <v>53486.00135999998</v>
      </c>
      <c r="T522" s="1489">
        <f>O522*H527</f>
        <v>65032.090001999997</v>
      </c>
      <c r="U522" s="1489">
        <f>P522*H527</f>
        <v>84056.365799999985</v>
      </c>
      <c r="V522" s="1490">
        <f>SUM(Q522:U522)</f>
        <v>284813.13940199988</v>
      </c>
    </row>
    <row r="523" spans="1:22" s="39" customFormat="1" ht="24" customHeight="1">
      <c r="A523" s="1860">
        <v>1</v>
      </c>
      <c r="B523" s="1860"/>
      <c r="C523" s="1860"/>
      <c r="D523" s="1860"/>
      <c r="E523" s="1839"/>
      <c r="F523" s="1844"/>
      <c r="G523" s="1643"/>
      <c r="H523" s="1817"/>
      <c r="I523" s="1765"/>
      <c r="J523" s="40" t="s">
        <v>80</v>
      </c>
      <c r="K523" s="91"/>
      <c r="L523" s="41">
        <f t="shared" ref="L523:U523" si="245">SUM(L524:L530)</f>
        <v>3516.3503999999994</v>
      </c>
      <c r="M523" s="41">
        <f t="shared" si="245"/>
        <v>3959.8934399999985</v>
      </c>
      <c r="N523" s="41">
        <f t="shared" si="245"/>
        <v>4862.3637599999993</v>
      </c>
      <c r="O523" s="41">
        <f t="shared" si="245"/>
        <v>4587.2575400000005</v>
      </c>
      <c r="P523" s="41">
        <f t="shared" si="245"/>
        <v>5946.833999999998</v>
      </c>
      <c r="Q523" s="1475">
        <f t="shared" si="245"/>
        <v>38679.854399999989</v>
      </c>
      <c r="R523" s="1475">
        <f t="shared" si="245"/>
        <v>43558.827839999984</v>
      </c>
      <c r="S523" s="1475">
        <f t="shared" si="245"/>
        <v>53486.001359999995</v>
      </c>
      <c r="T523" s="1475">
        <f t="shared" si="245"/>
        <v>50459.832940000008</v>
      </c>
      <c r="U523" s="1475">
        <f t="shared" si="245"/>
        <v>65415.173999999977</v>
      </c>
      <c r="V523" s="1476">
        <f>SUM(Q523:U523)</f>
        <v>251599.69053999995</v>
      </c>
    </row>
    <row r="524" spans="1:22" s="39" customFormat="1" ht="24" customHeight="1">
      <c r="A524" s="1860">
        <v>1</v>
      </c>
      <c r="B524" s="1860"/>
      <c r="C524" s="1860"/>
      <c r="D524" s="1860"/>
      <c r="E524" s="1839"/>
      <c r="F524" s="1844"/>
      <c r="G524" s="1643"/>
      <c r="H524" s="1817"/>
      <c r="I524" s="1765"/>
      <c r="J524" s="40" t="s">
        <v>429</v>
      </c>
      <c r="K524" s="91"/>
      <c r="L524" s="41">
        <f>'Budget Assumption_Lab Comp2'!K208</f>
        <v>2713.9999999999991</v>
      </c>
      <c r="M524" s="41">
        <f>'Budget Assumption_Lab Comp2'!L208</f>
        <v>3057.9327999999987</v>
      </c>
      <c r="N524" s="41">
        <f>'Budget Assumption_Lab Comp2'!M208</f>
        <v>3768.0071999999991</v>
      </c>
      <c r="O524" s="41">
        <f>'Budget Assumption_Lab Comp2'!N208</f>
        <v>4587.2575400000005</v>
      </c>
      <c r="P524" s="41">
        <f>'Budget Assumption_Lab Comp2'!O208</f>
        <v>5946.833999999998</v>
      </c>
      <c r="Q524" s="1475">
        <f>L524*$H527</f>
        <v>29853.999999999989</v>
      </c>
      <c r="R524" s="1475">
        <f>M524*$H527</f>
        <v>33637.260799999989</v>
      </c>
      <c r="S524" s="1475">
        <f>N524*$H527</f>
        <v>41448.079199999993</v>
      </c>
      <c r="T524" s="1475">
        <f>O524*$H527</f>
        <v>50459.832940000008</v>
      </c>
      <c r="U524" s="1475">
        <f>P524*$H527</f>
        <v>65415.173999999977</v>
      </c>
      <c r="V524" s="1476">
        <f t="shared" ref="V524:V530" si="246">SUM(Q524:U524)</f>
        <v>220814.34693999993</v>
      </c>
    </row>
    <row r="525" spans="1:22" s="39" customFormat="1" ht="24" customHeight="1">
      <c r="A525" s="1860">
        <v>1</v>
      </c>
      <c r="B525" s="1860"/>
      <c r="C525" s="1860"/>
      <c r="D525" s="1860"/>
      <c r="E525" s="1839"/>
      <c r="F525" s="1844"/>
      <c r="G525" s="1643"/>
      <c r="H525" s="1817"/>
      <c r="I525" s="1765"/>
      <c r="J525" s="40" t="s">
        <v>133</v>
      </c>
      <c r="K525" s="91"/>
      <c r="L525" s="41">
        <v>0</v>
      </c>
      <c r="M525" s="41">
        <v>0</v>
      </c>
      <c r="N525" s="41">
        <v>0</v>
      </c>
      <c r="O525" s="41">
        <v>0</v>
      </c>
      <c r="P525" s="41">
        <v>0</v>
      </c>
      <c r="Q525" s="1475">
        <f>L525*$H527</f>
        <v>0</v>
      </c>
      <c r="R525" s="1475">
        <f>M525*$H527</f>
        <v>0</v>
      </c>
      <c r="S525" s="1475">
        <f>N525*$H527</f>
        <v>0</v>
      </c>
      <c r="T525" s="1475">
        <f>O525*$H527</f>
        <v>0</v>
      </c>
      <c r="U525" s="1475">
        <f>P525*$H527</f>
        <v>0</v>
      </c>
      <c r="V525" s="1476">
        <f t="shared" si="246"/>
        <v>0</v>
      </c>
    </row>
    <row r="526" spans="1:22" s="39" customFormat="1" ht="24" customHeight="1">
      <c r="A526" s="1860">
        <v>1</v>
      </c>
      <c r="B526" s="1860"/>
      <c r="C526" s="1860"/>
      <c r="D526" s="1860"/>
      <c r="E526" s="1839"/>
      <c r="F526" s="1844"/>
      <c r="G526" s="1643"/>
      <c r="H526" s="1817"/>
      <c r="I526" s="1765"/>
      <c r="J526" s="40" t="s">
        <v>81</v>
      </c>
      <c r="K526" s="91"/>
      <c r="L526" s="41">
        <v>0</v>
      </c>
      <c r="M526" s="41">
        <v>0</v>
      </c>
      <c r="N526" s="41">
        <v>0</v>
      </c>
      <c r="O526" s="41">
        <v>0</v>
      </c>
      <c r="P526" s="41">
        <v>0</v>
      </c>
      <c r="Q526" s="1475">
        <f>L526*$H527</f>
        <v>0</v>
      </c>
      <c r="R526" s="1475">
        <f>M526*$H527</f>
        <v>0</v>
      </c>
      <c r="S526" s="1475">
        <f>N526*$H527</f>
        <v>0</v>
      </c>
      <c r="T526" s="1475">
        <f>O526*$H527</f>
        <v>0</v>
      </c>
      <c r="U526" s="1475">
        <f>P526*$H527</f>
        <v>0</v>
      </c>
      <c r="V526" s="1476">
        <f t="shared" si="246"/>
        <v>0</v>
      </c>
    </row>
    <row r="527" spans="1:22" s="39" customFormat="1" ht="24" customHeight="1">
      <c r="A527" s="1860">
        <v>1</v>
      </c>
      <c r="B527" s="1860"/>
      <c r="C527" s="1860"/>
      <c r="D527" s="1860"/>
      <c r="E527" s="1839"/>
      <c r="F527" s="1844"/>
      <c r="G527" s="1643"/>
      <c r="H527" s="1687">
        <f>'Budget Assumption_Lab Comp2'!Q188</f>
        <v>11</v>
      </c>
      <c r="I527" s="1765"/>
      <c r="J527" s="40" t="s">
        <v>134</v>
      </c>
      <c r="K527" s="91"/>
      <c r="L527" s="41">
        <v>0</v>
      </c>
      <c r="M527" s="41">
        <v>0</v>
      </c>
      <c r="N527" s="41">
        <v>0</v>
      </c>
      <c r="O527" s="41">
        <v>0</v>
      </c>
      <c r="P527" s="41">
        <v>0</v>
      </c>
      <c r="Q527" s="1475">
        <f>L527*$H527</f>
        <v>0</v>
      </c>
      <c r="R527" s="1475">
        <f>M527*$H527</f>
        <v>0</v>
      </c>
      <c r="S527" s="1475">
        <f>N527*$H527</f>
        <v>0</v>
      </c>
      <c r="T527" s="1475">
        <f>O527*$H527</f>
        <v>0</v>
      </c>
      <c r="U527" s="1475">
        <f>P527*$H527</f>
        <v>0</v>
      </c>
      <c r="V527" s="1476">
        <f t="shared" si="246"/>
        <v>0</v>
      </c>
    </row>
    <row r="528" spans="1:22" s="39" customFormat="1" ht="24" customHeight="1">
      <c r="A528" s="1860">
        <v>1</v>
      </c>
      <c r="B528" s="1860"/>
      <c r="C528" s="1860"/>
      <c r="D528" s="1860"/>
      <c r="E528" s="1839"/>
      <c r="F528" s="1844"/>
      <c r="G528" s="1643"/>
      <c r="H528" s="1687"/>
      <c r="I528" s="1765"/>
      <c r="J528" s="40" t="s">
        <v>82</v>
      </c>
      <c r="K528" s="91"/>
      <c r="L528" s="41">
        <v>0</v>
      </c>
      <c r="M528" s="41">
        <v>0</v>
      </c>
      <c r="N528" s="41">
        <v>0</v>
      </c>
      <c r="O528" s="41">
        <v>0</v>
      </c>
      <c r="P528" s="41">
        <v>0</v>
      </c>
      <c r="Q528" s="1475">
        <f>L528*$H527</f>
        <v>0</v>
      </c>
      <c r="R528" s="1475">
        <f>M528*$H527</f>
        <v>0</v>
      </c>
      <c r="S528" s="1475">
        <f>N528*$H527</f>
        <v>0</v>
      </c>
      <c r="T528" s="1475">
        <f>O528*$H527</f>
        <v>0</v>
      </c>
      <c r="U528" s="1475">
        <f>P528*$H527</f>
        <v>0</v>
      </c>
      <c r="V528" s="1476">
        <f t="shared" si="246"/>
        <v>0</v>
      </c>
    </row>
    <row r="529" spans="1:22" s="39" customFormat="1" ht="24" customHeight="1">
      <c r="A529" s="1860">
        <v>1</v>
      </c>
      <c r="B529" s="1860"/>
      <c r="C529" s="1860"/>
      <c r="D529" s="1860"/>
      <c r="E529" s="1839"/>
      <c r="F529" s="1844"/>
      <c r="G529" s="1643"/>
      <c r="H529" s="1687"/>
      <c r="I529" s="1765"/>
      <c r="J529" s="40" t="s">
        <v>90</v>
      </c>
      <c r="K529" s="91"/>
      <c r="L529" s="41">
        <f>'Budget Assumption_Lab Comp2'!K198</f>
        <v>802.35040000000015</v>
      </c>
      <c r="M529" s="41">
        <f>'Budget Assumption_Lab Comp2'!L198</f>
        <v>901.96063999999978</v>
      </c>
      <c r="N529" s="41">
        <f>'Budget Assumption_Lab Comp2'!M198</f>
        <v>1094.3565599999999</v>
      </c>
      <c r="O529" s="41">
        <v>0</v>
      </c>
      <c r="P529" s="41">
        <v>0</v>
      </c>
      <c r="Q529" s="1475">
        <f>L529*$H527</f>
        <v>8825.854400000002</v>
      </c>
      <c r="R529" s="1475">
        <f>M529*$H527</f>
        <v>9921.5670399999981</v>
      </c>
      <c r="S529" s="1475">
        <f>N529*$H527</f>
        <v>12037.92216</v>
      </c>
      <c r="T529" s="1475">
        <f>O529*$H527</f>
        <v>0</v>
      </c>
      <c r="U529" s="1475">
        <f>P529*$H527</f>
        <v>0</v>
      </c>
      <c r="V529" s="1476">
        <f t="shared" si="246"/>
        <v>30785.3436</v>
      </c>
    </row>
    <row r="530" spans="1:22" s="39" customFormat="1" ht="24" customHeight="1">
      <c r="A530" s="1860">
        <v>1</v>
      </c>
      <c r="B530" s="1860"/>
      <c r="C530" s="1860"/>
      <c r="D530" s="1860"/>
      <c r="E530" s="1839"/>
      <c r="F530" s="1844"/>
      <c r="G530" s="1643"/>
      <c r="H530" s="1687"/>
      <c r="I530" s="1765"/>
      <c r="J530" s="40" t="s">
        <v>83</v>
      </c>
      <c r="K530" s="91"/>
      <c r="L530" s="41">
        <v>0</v>
      </c>
      <c r="M530" s="41">
        <v>0</v>
      </c>
      <c r="N530" s="41">
        <v>0</v>
      </c>
      <c r="O530" s="41">
        <v>0</v>
      </c>
      <c r="P530" s="41">
        <v>0</v>
      </c>
      <c r="Q530" s="1475">
        <f>L530*$H527</f>
        <v>0</v>
      </c>
      <c r="R530" s="1475">
        <f>M530*$H527</f>
        <v>0</v>
      </c>
      <c r="S530" s="1475">
        <f>N530*$H527</f>
        <v>0</v>
      </c>
      <c r="T530" s="1475">
        <f>O530*$H527</f>
        <v>0</v>
      </c>
      <c r="U530" s="1475">
        <f>P530*$H527</f>
        <v>0</v>
      </c>
      <c r="V530" s="1476">
        <f t="shared" si="246"/>
        <v>0</v>
      </c>
    </row>
    <row r="531" spans="1:22" s="39" customFormat="1" ht="24" customHeight="1" thickBot="1">
      <c r="A531" s="1860">
        <v>1</v>
      </c>
      <c r="B531" s="1860"/>
      <c r="C531" s="1860"/>
      <c r="D531" s="1860"/>
      <c r="E531" s="1839"/>
      <c r="F531" s="1845"/>
      <c r="G531" s="1802"/>
      <c r="H531" s="1688"/>
      <c r="I531" s="1766"/>
      <c r="J531" s="80" t="s">
        <v>84</v>
      </c>
      <c r="K531" s="824"/>
      <c r="L531" s="814">
        <f>L522-L523</f>
        <v>0</v>
      </c>
      <c r="M531" s="814">
        <f t="shared" ref="M531:N531" si="247">M522-M523</f>
        <v>0</v>
      </c>
      <c r="N531" s="814">
        <f t="shared" si="247"/>
        <v>0</v>
      </c>
      <c r="O531" s="814">
        <f>O522-O523</f>
        <v>1324.7506419999991</v>
      </c>
      <c r="P531" s="814">
        <f t="shared" ref="P531" si="248">P522-P523</f>
        <v>1694.6538</v>
      </c>
      <c r="Q531" s="1487">
        <f t="shared" ref="Q531:V531" si="249">Q522-Q523</f>
        <v>0</v>
      </c>
      <c r="R531" s="1487">
        <f t="shared" si="249"/>
        <v>0</v>
      </c>
      <c r="S531" s="1487">
        <f t="shared" si="249"/>
        <v>0</v>
      </c>
      <c r="T531" s="1487">
        <f t="shared" si="249"/>
        <v>14572.25706199999</v>
      </c>
      <c r="U531" s="1487">
        <f t="shared" si="249"/>
        <v>18641.191800000008</v>
      </c>
      <c r="V531" s="1500">
        <f t="shared" si="249"/>
        <v>33213.448861999932</v>
      </c>
    </row>
    <row r="532" spans="1:22" s="62" customFormat="1" ht="24" customHeight="1">
      <c r="A532" s="1860">
        <v>2</v>
      </c>
      <c r="B532" s="1860">
        <v>1</v>
      </c>
      <c r="C532" s="1860">
        <v>1</v>
      </c>
      <c r="D532" s="1860">
        <v>3</v>
      </c>
      <c r="E532" s="1839"/>
      <c r="F532" s="1846" t="str">
        <f>CONCATENATE(A532,".",B532,".",C532,".",D532,)</f>
        <v>2.1.1.3</v>
      </c>
      <c r="G532" s="2004" t="s">
        <v>998</v>
      </c>
      <c r="H532" s="1679" t="s">
        <v>146</v>
      </c>
      <c r="I532" s="1789" t="s">
        <v>995</v>
      </c>
      <c r="J532" s="262" t="s">
        <v>79</v>
      </c>
      <c r="K532" s="905"/>
      <c r="L532" s="816">
        <f>'Budget Assumption_Lab Comp2'!K189</f>
        <v>9839.744999999999</v>
      </c>
      <c r="M532" s="816">
        <f>'Budget Assumption_Lab Comp2'!L189</f>
        <v>10805.244750000002</v>
      </c>
      <c r="N532" s="816">
        <f>'Budget Assumption_Lab Comp2'!M189</f>
        <v>13272.063749999998</v>
      </c>
      <c r="O532" s="816">
        <f>'Budget Assumption_Lab Comp2'!N189</f>
        <v>15278.437124999999</v>
      </c>
      <c r="P532" s="816">
        <f>'Budget Assumption_Lab Comp2'!O189</f>
        <v>19544.422500000001</v>
      </c>
      <c r="Q532" s="1489">
        <f>L532*H537</f>
        <v>177115.40999999997</v>
      </c>
      <c r="R532" s="1489">
        <f>M532*H537</f>
        <v>194494.40550000002</v>
      </c>
      <c r="S532" s="1489">
        <f>N532*H537</f>
        <v>238897.14749999996</v>
      </c>
      <c r="T532" s="1489">
        <f>O532*H537</f>
        <v>275011.86825</v>
      </c>
      <c r="U532" s="1489">
        <f>P532*H537</f>
        <v>351799.60499999998</v>
      </c>
      <c r="V532" s="1490">
        <f>SUM(Q532:U532)</f>
        <v>1237318.43625</v>
      </c>
    </row>
    <row r="533" spans="1:22" s="39" customFormat="1" ht="24" customHeight="1">
      <c r="A533" s="1860">
        <v>1</v>
      </c>
      <c r="B533" s="1860"/>
      <c r="C533" s="1860"/>
      <c r="D533" s="1860"/>
      <c r="E533" s="1839"/>
      <c r="F533" s="1844"/>
      <c r="G533" s="1643"/>
      <c r="H533" s="1601"/>
      <c r="I533" s="1765"/>
      <c r="J533" s="40" t="s">
        <v>80</v>
      </c>
      <c r="K533" s="91"/>
      <c r="L533" s="41">
        <f t="shared" ref="L533:V533" si="250">SUM(L534:L540)</f>
        <v>9839.744999999999</v>
      </c>
      <c r="M533" s="41">
        <f t="shared" si="250"/>
        <v>10805.24475</v>
      </c>
      <c r="N533" s="41">
        <f t="shared" si="250"/>
        <v>13272.063749999999</v>
      </c>
      <c r="O533" s="41">
        <f t="shared" si="250"/>
        <v>11151.92375</v>
      </c>
      <c r="P533" s="41">
        <f t="shared" si="250"/>
        <v>14359.474999999999</v>
      </c>
      <c r="Q533" s="1475">
        <f t="shared" si="250"/>
        <v>177115.40999999997</v>
      </c>
      <c r="R533" s="1475">
        <f t="shared" si="250"/>
        <v>194494.40549999999</v>
      </c>
      <c r="S533" s="1475">
        <f t="shared" si="250"/>
        <v>238897.14749999996</v>
      </c>
      <c r="T533" s="1475">
        <f t="shared" si="250"/>
        <v>200734.6275</v>
      </c>
      <c r="U533" s="1475">
        <f t="shared" si="250"/>
        <v>258470.55</v>
      </c>
      <c r="V533" s="1476">
        <f t="shared" si="250"/>
        <v>1069712.1405</v>
      </c>
    </row>
    <row r="534" spans="1:22" s="39" customFormat="1" ht="24" customHeight="1">
      <c r="A534" s="1860">
        <v>1</v>
      </c>
      <c r="B534" s="1860"/>
      <c r="C534" s="1860"/>
      <c r="D534" s="1860"/>
      <c r="E534" s="1839"/>
      <c r="F534" s="1844"/>
      <c r="G534" s="1643"/>
      <c r="H534" s="1601"/>
      <c r="I534" s="1765"/>
      <c r="J534" s="40" t="s">
        <v>429</v>
      </c>
      <c r="K534" s="91"/>
      <c r="L534" s="41">
        <f>'Budget Assumption_Lab Comp2'!K209</f>
        <v>7109.2999999999993</v>
      </c>
      <c r="M534" s="41">
        <f>'Budget Assumption_Lab Comp2'!L209</f>
        <v>7814.3074999999999</v>
      </c>
      <c r="N534" s="41">
        <f>'Budget Assumption_Lab Comp2'!M209</f>
        <v>9659.7124999999996</v>
      </c>
      <c r="O534" s="41">
        <f>'Budget Assumption_Lab Comp2'!N209</f>
        <v>11151.92375</v>
      </c>
      <c r="P534" s="41">
        <f>'Budget Assumption_Lab Comp2'!O209</f>
        <v>14359.474999999999</v>
      </c>
      <c r="Q534" s="1475">
        <f>L534*$H537</f>
        <v>127967.4</v>
      </c>
      <c r="R534" s="1475">
        <f>M534*$H537</f>
        <v>140657.535</v>
      </c>
      <c r="S534" s="1475">
        <f>N534*$H537</f>
        <v>173874.82499999998</v>
      </c>
      <c r="T534" s="1475">
        <f>O534*$H537</f>
        <v>200734.6275</v>
      </c>
      <c r="U534" s="1475">
        <f>P534*$H537</f>
        <v>258470.55</v>
      </c>
      <c r="V534" s="1476">
        <f t="shared" ref="V534:V540" si="251">SUM(Q534:U534)</f>
        <v>901704.9375</v>
      </c>
    </row>
    <row r="535" spans="1:22" s="39" customFormat="1" ht="24" customHeight="1">
      <c r="A535" s="1860">
        <v>1</v>
      </c>
      <c r="B535" s="1860"/>
      <c r="C535" s="1860"/>
      <c r="D535" s="1860"/>
      <c r="E535" s="1839"/>
      <c r="F535" s="1844"/>
      <c r="G535" s="1643"/>
      <c r="H535" s="1601"/>
      <c r="I535" s="1765"/>
      <c r="J535" s="40" t="s">
        <v>133</v>
      </c>
      <c r="K535" s="91"/>
      <c r="L535" s="41">
        <v>0</v>
      </c>
      <c r="M535" s="41">
        <v>0</v>
      </c>
      <c r="N535" s="41">
        <v>0</v>
      </c>
      <c r="O535" s="41">
        <v>0</v>
      </c>
      <c r="P535" s="41">
        <v>0</v>
      </c>
      <c r="Q535" s="1475">
        <f>L535*$H537</f>
        <v>0</v>
      </c>
      <c r="R535" s="1475">
        <f>M535*$H537</f>
        <v>0</v>
      </c>
      <c r="S535" s="1475">
        <f>N535*$H537</f>
        <v>0</v>
      </c>
      <c r="T535" s="1475">
        <f>O535*$H537</f>
        <v>0</v>
      </c>
      <c r="U535" s="1475">
        <f>P535*$H537</f>
        <v>0</v>
      </c>
      <c r="V535" s="1476">
        <f t="shared" si="251"/>
        <v>0</v>
      </c>
    </row>
    <row r="536" spans="1:22" s="39" customFormat="1" ht="24" customHeight="1">
      <c r="A536" s="1860">
        <v>1</v>
      </c>
      <c r="B536" s="1860"/>
      <c r="C536" s="1860"/>
      <c r="D536" s="1860"/>
      <c r="E536" s="1839"/>
      <c r="F536" s="1844"/>
      <c r="G536" s="1643"/>
      <c r="H536" s="1601"/>
      <c r="I536" s="1765"/>
      <c r="J536" s="40" t="s">
        <v>81</v>
      </c>
      <c r="K536" s="91"/>
      <c r="L536" s="41">
        <v>0</v>
      </c>
      <c r="M536" s="41">
        <v>0</v>
      </c>
      <c r="N536" s="41">
        <v>0</v>
      </c>
      <c r="O536" s="41">
        <v>0</v>
      </c>
      <c r="P536" s="41">
        <v>0</v>
      </c>
      <c r="Q536" s="1475">
        <f>L536*$H537</f>
        <v>0</v>
      </c>
      <c r="R536" s="1475">
        <f>M536*$H537</f>
        <v>0</v>
      </c>
      <c r="S536" s="1475">
        <f>N536*$H537</f>
        <v>0</v>
      </c>
      <c r="T536" s="1475">
        <f>O536*$H537</f>
        <v>0</v>
      </c>
      <c r="U536" s="1475">
        <f>P536*$H537</f>
        <v>0</v>
      </c>
      <c r="V536" s="1476">
        <f t="shared" si="251"/>
        <v>0</v>
      </c>
    </row>
    <row r="537" spans="1:22" s="39" customFormat="1" ht="24" customHeight="1">
      <c r="A537" s="1860">
        <v>1</v>
      </c>
      <c r="B537" s="1860"/>
      <c r="C537" s="1860"/>
      <c r="D537" s="1860"/>
      <c r="E537" s="1839"/>
      <c r="F537" s="1844"/>
      <c r="G537" s="1643"/>
      <c r="H537" s="1687">
        <f>'Budget Assumption_Lab Comp2'!Q189</f>
        <v>18</v>
      </c>
      <c r="I537" s="1765"/>
      <c r="J537" s="40" t="s">
        <v>134</v>
      </c>
      <c r="K537" s="91"/>
      <c r="L537" s="41">
        <v>0</v>
      </c>
      <c r="M537" s="41">
        <v>0</v>
      </c>
      <c r="N537" s="41">
        <v>0</v>
      </c>
      <c r="O537" s="41">
        <v>0</v>
      </c>
      <c r="P537" s="41">
        <v>0</v>
      </c>
      <c r="Q537" s="1475">
        <f>L537*$H537</f>
        <v>0</v>
      </c>
      <c r="R537" s="1475">
        <f>M537*$H537</f>
        <v>0</v>
      </c>
      <c r="S537" s="1475">
        <f>N537*$H537</f>
        <v>0</v>
      </c>
      <c r="T537" s="1475">
        <f>O537*$H537</f>
        <v>0</v>
      </c>
      <c r="U537" s="1475">
        <f>P537*$H537</f>
        <v>0</v>
      </c>
      <c r="V537" s="1476">
        <f t="shared" si="251"/>
        <v>0</v>
      </c>
    </row>
    <row r="538" spans="1:22" s="39" customFormat="1" ht="24" customHeight="1">
      <c r="A538" s="1860">
        <v>1</v>
      </c>
      <c r="B538" s="1860"/>
      <c r="C538" s="1860"/>
      <c r="D538" s="1860"/>
      <c r="E538" s="1839"/>
      <c r="F538" s="1844"/>
      <c r="G538" s="1643"/>
      <c r="H538" s="1687">
        <f>810*0.05</f>
        <v>40.5</v>
      </c>
      <c r="I538" s="1765"/>
      <c r="J538" s="40" t="s">
        <v>82</v>
      </c>
      <c r="K538" s="91"/>
      <c r="L538" s="41">
        <v>0</v>
      </c>
      <c r="M538" s="41">
        <v>0</v>
      </c>
      <c r="N538" s="41">
        <v>0</v>
      </c>
      <c r="O538" s="41">
        <v>0</v>
      </c>
      <c r="P538" s="41">
        <v>0</v>
      </c>
      <c r="Q538" s="1475">
        <f>L538*$H537</f>
        <v>0</v>
      </c>
      <c r="R538" s="1475">
        <f>M538*$H537</f>
        <v>0</v>
      </c>
      <c r="S538" s="1475">
        <f>N538*$H537</f>
        <v>0</v>
      </c>
      <c r="T538" s="1475">
        <f>O538*$H537</f>
        <v>0</v>
      </c>
      <c r="U538" s="1475">
        <f>P538*$H537</f>
        <v>0</v>
      </c>
      <c r="V538" s="1476">
        <f t="shared" si="251"/>
        <v>0</v>
      </c>
    </row>
    <row r="539" spans="1:22" s="39" customFormat="1" ht="24" customHeight="1">
      <c r="A539" s="1860">
        <v>1</v>
      </c>
      <c r="B539" s="1860"/>
      <c r="C539" s="1860"/>
      <c r="D539" s="1860"/>
      <c r="E539" s="1839"/>
      <c r="F539" s="1844"/>
      <c r="G539" s="1643"/>
      <c r="H539" s="1687"/>
      <c r="I539" s="1765"/>
      <c r="J539" s="40" t="s">
        <v>90</v>
      </c>
      <c r="K539" s="91"/>
      <c r="L539" s="41">
        <f>'Budget Assumption_Lab Comp2'!K199</f>
        <v>2730.4449999999993</v>
      </c>
      <c r="M539" s="41">
        <f>'Budget Assumption_Lab Comp2'!L199</f>
        <v>2990.9372499999999</v>
      </c>
      <c r="N539" s="41">
        <f>'Budget Assumption_Lab Comp2'!M199</f>
        <v>3612.3512499999997</v>
      </c>
      <c r="O539" s="41">
        <v>0</v>
      </c>
      <c r="P539" s="41">
        <v>0</v>
      </c>
      <c r="Q539" s="1475">
        <f>L539*$H537</f>
        <v>49148.009999999987</v>
      </c>
      <c r="R539" s="1475">
        <f>M539*$H537</f>
        <v>53836.870499999997</v>
      </c>
      <c r="S539" s="1475">
        <f>N539*$H537</f>
        <v>65022.322499999995</v>
      </c>
      <c r="T539" s="1475">
        <f>O539*$H537</f>
        <v>0</v>
      </c>
      <c r="U539" s="1475">
        <f>P539*$H537</f>
        <v>0</v>
      </c>
      <c r="V539" s="1476">
        <f t="shared" si="251"/>
        <v>168007.20299999998</v>
      </c>
    </row>
    <row r="540" spans="1:22" s="39" customFormat="1" ht="24" customHeight="1">
      <c r="A540" s="1860">
        <v>1</v>
      </c>
      <c r="B540" s="1860"/>
      <c r="C540" s="1860"/>
      <c r="D540" s="1860"/>
      <c r="E540" s="1839"/>
      <c r="F540" s="1844"/>
      <c r="G540" s="1643"/>
      <c r="H540" s="1687"/>
      <c r="I540" s="1765"/>
      <c r="J540" s="40" t="s">
        <v>83</v>
      </c>
      <c r="K540" s="91"/>
      <c r="L540" s="41">
        <v>0</v>
      </c>
      <c r="M540" s="41">
        <v>0</v>
      </c>
      <c r="N540" s="41">
        <v>0</v>
      </c>
      <c r="O540" s="41">
        <v>0</v>
      </c>
      <c r="P540" s="41">
        <v>0</v>
      </c>
      <c r="Q540" s="1475">
        <f>L540*$H537</f>
        <v>0</v>
      </c>
      <c r="R540" s="1475">
        <f>M540*$H537</f>
        <v>0</v>
      </c>
      <c r="S540" s="1475">
        <f>N540*$H537</f>
        <v>0</v>
      </c>
      <c r="T540" s="1475">
        <f>O540*$H537</f>
        <v>0</v>
      </c>
      <c r="U540" s="1475">
        <f>P540*$H537</f>
        <v>0</v>
      </c>
      <c r="V540" s="1476">
        <f t="shared" si="251"/>
        <v>0</v>
      </c>
    </row>
    <row r="541" spans="1:22" s="39" customFormat="1" ht="24" customHeight="1" thickBot="1">
      <c r="A541" s="1860">
        <v>1</v>
      </c>
      <c r="B541" s="1860"/>
      <c r="C541" s="1860"/>
      <c r="D541" s="1860"/>
      <c r="E541" s="1839"/>
      <c r="F541" s="1845"/>
      <c r="G541" s="1802"/>
      <c r="H541" s="1688"/>
      <c r="I541" s="1766"/>
      <c r="J541" s="80" t="s">
        <v>84</v>
      </c>
      <c r="K541" s="824"/>
      <c r="L541" s="814">
        <f>L532-L533</f>
        <v>0</v>
      </c>
      <c r="M541" s="814">
        <f t="shared" ref="M541:N541" si="252">M532-M533</f>
        <v>0</v>
      </c>
      <c r="N541" s="814">
        <f t="shared" si="252"/>
        <v>0</v>
      </c>
      <c r="O541" s="814">
        <f>O532-O533</f>
        <v>4126.5133749999986</v>
      </c>
      <c r="P541" s="814">
        <f t="shared" ref="P541" si="253">P532-P533</f>
        <v>5184.947500000002</v>
      </c>
      <c r="Q541" s="1487">
        <f t="shared" ref="Q541:V541" si="254">Q532-Q533</f>
        <v>0</v>
      </c>
      <c r="R541" s="1487">
        <f t="shared" si="254"/>
        <v>0</v>
      </c>
      <c r="S541" s="1487">
        <f t="shared" si="254"/>
        <v>0</v>
      </c>
      <c r="T541" s="1487">
        <f t="shared" si="254"/>
        <v>74277.240749999997</v>
      </c>
      <c r="U541" s="1487">
        <f t="shared" si="254"/>
        <v>93329.054999999993</v>
      </c>
      <c r="V541" s="1500">
        <f t="shared" si="254"/>
        <v>167606.29575000005</v>
      </c>
    </row>
    <row r="542" spans="1:22" s="62" customFormat="1" ht="24" customHeight="1">
      <c r="A542" s="1860">
        <v>2</v>
      </c>
      <c r="B542" s="1860">
        <v>1</v>
      </c>
      <c r="C542" s="1860">
        <v>1</v>
      </c>
      <c r="D542" s="1860">
        <v>4</v>
      </c>
      <c r="E542" s="1839"/>
      <c r="F542" s="1846" t="str">
        <f>CONCATENATE(A542,".",B542,".",C542,".",D542,)</f>
        <v>2.1.1.4</v>
      </c>
      <c r="G542" s="2004" t="s">
        <v>999</v>
      </c>
      <c r="H542" s="1816" t="s">
        <v>1062</v>
      </c>
      <c r="I542" s="1789" t="s">
        <v>995</v>
      </c>
      <c r="J542" s="262" t="s">
        <v>79</v>
      </c>
      <c r="K542" s="905"/>
      <c r="L542" s="898">
        <f>'Budget Assumption_Lab Comp2'!K190</f>
        <v>7674.9389999999994</v>
      </c>
      <c r="M542" s="898">
        <f>'Budget Assumption_Lab Comp2'!L190</f>
        <v>8494.3071</v>
      </c>
      <c r="N542" s="898">
        <f>'Budget Assumption_Lab Comp2'!M190</f>
        <v>11174.211899999997</v>
      </c>
      <c r="O542" s="898">
        <f>'Budget Assumption_Lab Comp2'!N190</f>
        <v>13099.004504999997</v>
      </c>
      <c r="P542" s="898">
        <f>'Budget Assumption_Lab Comp2'!O190</f>
        <v>17687.218499999995</v>
      </c>
      <c r="Q542" s="1489">
        <f>L542*H547</f>
        <v>115124.08499999999</v>
      </c>
      <c r="R542" s="1489">
        <f>M542*H547</f>
        <v>127414.60649999999</v>
      </c>
      <c r="S542" s="1489">
        <f>N542*H547</f>
        <v>167613.17849999995</v>
      </c>
      <c r="T542" s="1489">
        <f>O542*H547</f>
        <v>196485.06757499996</v>
      </c>
      <c r="U542" s="1489">
        <f>P542*H547</f>
        <v>265308.27749999991</v>
      </c>
      <c r="V542" s="1490">
        <f t="shared" ref="V542:V549" si="255">SUM(Q542:U542)</f>
        <v>871945.21507499972</v>
      </c>
    </row>
    <row r="543" spans="1:22" s="39" customFormat="1" ht="24" customHeight="1">
      <c r="A543" s="1860">
        <v>1</v>
      </c>
      <c r="B543" s="1860"/>
      <c r="C543" s="1860"/>
      <c r="D543" s="1860"/>
      <c r="E543" s="1839"/>
      <c r="F543" s="1844"/>
      <c r="G543" s="1643"/>
      <c r="H543" s="1817"/>
      <c r="I543" s="1765"/>
      <c r="J543" s="40" t="s">
        <v>80</v>
      </c>
      <c r="K543" s="91"/>
      <c r="L543" s="41">
        <f t="shared" ref="L543:U543" si="256">SUM(L544:L550)</f>
        <v>7674.9389999999985</v>
      </c>
      <c r="M543" s="41">
        <f t="shared" si="256"/>
        <v>8494.3071</v>
      </c>
      <c r="N543" s="41">
        <f t="shared" si="256"/>
        <v>11174.211899999998</v>
      </c>
      <c r="O543" s="41">
        <f t="shared" si="256"/>
        <v>9823.632349999998</v>
      </c>
      <c r="P543" s="41">
        <f t="shared" si="256"/>
        <v>13310.674999999999</v>
      </c>
      <c r="Q543" s="1475">
        <f t="shared" si="256"/>
        <v>115124.08499999999</v>
      </c>
      <c r="R543" s="1475">
        <f t="shared" si="256"/>
        <v>127414.60649999999</v>
      </c>
      <c r="S543" s="1475">
        <f t="shared" si="256"/>
        <v>167613.17849999998</v>
      </c>
      <c r="T543" s="1475">
        <f t="shared" si="256"/>
        <v>147354.48524999997</v>
      </c>
      <c r="U543" s="1475">
        <f t="shared" si="256"/>
        <v>199660.125</v>
      </c>
      <c r="V543" s="1476">
        <f t="shared" si="255"/>
        <v>757166.48025000002</v>
      </c>
    </row>
    <row r="544" spans="1:22" s="39" customFormat="1" ht="24" customHeight="1">
      <c r="A544" s="1860">
        <v>1</v>
      </c>
      <c r="B544" s="1860"/>
      <c r="C544" s="1860"/>
      <c r="D544" s="1860"/>
      <c r="E544" s="1839"/>
      <c r="F544" s="1844"/>
      <c r="G544" s="1643"/>
      <c r="H544" s="1817"/>
      <c r="I544" s="1765"/>
      <c r="J544" s="40" t="s">
        <v>429</v>
      </c>
      <c r="K544" s="91"/>
      <c r="L544" s="41">
        <f>'Budget Assumption_Lab Comp2'!K210</f>
        <v>5711.8199999999988</v>
      </c>
      <c r="M544" s="41">
        <f>'Budget Assumption_Lab Comp2'!L210</f>
        <v>6329.8069999999998</v>
      </c>
      <c r="N544" s="41">
        <f>'Budget Assumption_Lab Comp2'!M210</f>
        <v>8353.9679999999989</v>
      </c>
      <c r="O544" s="41">
        <f>'Budget Assumption_Lab Comp2'!N210</f>
        <v>9823.632349999998</v>
      </c>
      <c r="P544" s="41">
        <f>'Budget Assumption_Lab Comp2'!O210</f>
        <v>13310.674999999999</v>
      </c>
      <c r="Q544" s="1475">
        <f>L544*$H547</f>
        <v>85677.299999999988</v>
      </c>
      <c r="R544" s="1475">
        <f>M544*$H547</f>
        <v>94947.104999999996</v>
      </c>
      <c r="S544" s="1475">
        <f>N544*$H547</f>
        <v>125309.51999999999</v>
      </c>
      <c r="T544" s="1475">
        <f>O544*$H547</f>
        <v>147354.48524999997</v>
      </c>
      <c r="U544" s="1475">
        <f>P544*$H547</f>
        <v>199660.125</v>
      </c>
      <c r="V544" s="1476">
        <f t="shared" si="255"/>
        <v>652948.53524999996</v>
      </c>
    </row>
    <row r="545" spans="1:22" s="39" customFormat="1" ht="24" customHeight="1">
      <c r="A545" s="1860">
        <v>1</v>
      </c>
      <c r="B545" s="1860"/>
      <c r="C545" s="1860"/>
      <c r="D545" s="1860"/>
      <c r="E545" s="1839"/>
      <c r="F545" s="1844"/>
      <c r="G545" s="1643"/>
      <c r="H545" s="1817"/>
      <c r="I545" s="1765"/>
      <c r="J545" s="40" t="s">
        <v>133</v>
      </c>
      <c r="K545" s="91"/>
      <c r="L545" s="41">
        <v>0</v>
      </c>
      <c r="M545" s="41">
        <v>0</v>
      </c>
      <c r="N545" s="41">
        <v>0</v>
      </c>
      <c r="O545" s="41">
        <v>0</v>
      </c>
      <c r="P545" s="41">
        <v>0</v>
      </c>
      <c r="Q545" s="1475">
        <f>L545*$H547</f>
        <v>0</v>
      </c>
      <c r="R545" s="1475">
        <f>M545*$H547</f>
        <v>0</v>
      </c>
      <c r="S545" s="1475">
        <f>N545*$H547</f>
        <v>0</v>
      </c>
      <c r="T545" s="1475">
        <f>O545*$H547</f>
        <v>0</v>
      </c>
      <c r="U545" s="1475">
        <f>P545*$H547</f>
        <v>0</v>
      </c>
      <c r="V545" s="1476">
        <f t="shared" si="255"/>
        <v>0</v>
      </c>
    </row>
    <row r="546" spans="1:22" s="39" customFormat="1" ht="24" customHeight="1">
      <c r="A546" s="1860">
        <v>1</v>
      </c>
      <c r="B546" s="1860"/>
      <c r="C546" s="1860"/>
      <c r="D546" s="1860"/>
      <c r="E546" s="1839"/>
      <c r="F546" s="1844"/>
      <c r="G546" s="1643"/>
      <c r="H546" s="1817"/>
      <c r="I546" s="1765"/>
      <c r="J546" s="40" t="s">
        <v>81</v>
      </c>
      <c r="K546" s="91"/>
      <c r="L546" s="41">
        <v>0</v>
      </c>
      <c r="M546" s="41">
        <v>0</v>
      </c>
      <c r="N546" s="41">
        <v>0</v>
      </c>
      <c r="O546" s="41">
        <v>0</v>
      </c>
      <c r="P546" s="41">
        <v>0</v>
      </c>
      <c r="Q546" s="1475">
        <f>L546*$H547</f>
        <v>0</v>
      </c>
      <c r="R546" s="1475">
        <f>M546*$H547</f>
        <v>0</v>
      </c>
      <c r="S546" s="1475">
        <f>N546*$H547</f>
        <v>0</v>
      </c>
      <c r="T546" s="1475">
        <f>O546*$H547</f>
        <v>0</v>
      </c>
      <c r="U546" s="1475">
        <f>P546*$H547</f>
        <v>0</v>
      </c>
      <c r="V546" s="1476">
        <f t="shared" si="255"/>
        <v>0</v>
      </c>
    </row>
    <row r="547" spans="1:22" s="39" customFormat="1" ht="24" customHeight="1">
      <c r="A547" s="1860">
        <v>1</v>
      </c>
      <c r="B547" s="1860"/>
      <c r="C547" s="1860"/>
      <c r="D547" s="1860"/>
      <c r="E547" s="1839"/>
      <c r="F547" s="1844"/>
      <c r="G547" s="1643"/>
      <c r="H547" s="1687">
        <f>'Budget Assumption_Lab Comp2'!Q190</f>
        <v>15</v>
      </c>
      <c r="I547" s="1765"/>
      <c r="J547" s="40" t="s">
        <v>134</v>
      </c>
      <c r="K547" s="91"/>
      <c r="L547" s="41">
        <v>0</v>
      </c>
      <c r="M547" s="41">
        <v>0</v>
      </c>
      <c r="N547" s="41">
        <v>0</v>
      </c>
      <c r="O547" s="41">
        <v>0</v>
      </c>
      <c r="P547" s="41">
        <v>0</v>
      </c>
      <c r="Q547" s="1475">
        <f>L547*$H547</f>
        <v>0</v>
      </c>
      <c r="R547" s="1475">
        <f>M547*$H547</f>
        <v>0</v>
      </c>
      <c r="S547" s="1475">
        <f>N547*$H547</f>
        <v>0</v>
      </c>
      <c r="T547" s="1475">
        <f>O547*$H547</f>
        <v>0</v>
      </c>
      <c r="U547" s="1475">
        <f>P547*$H547</f>
        <v>0</v>
      </c>
      <c r="V547" s="1476">
        <f t="shared" si="255"/>
        <v>0</v>
      </c>
    </row>
    <row r="548" spans="1:22" s="39" customFormat="1" ht="24" customHeight="1">
      <c r="A548" s="1860">
        <v>1</v>
      </c>
      <c r="B548" s="1860"/>
      <c r="C548" s="1860"/>
      <c r="D548" s="1860"/>
      <c r="E548" s="1839"/>
      <c r="F548" s="1844"/>
      <c r="G548" s="1643"/>
      <c r="H548" s="1687"/>
      <c r="I548" s="1765"/>
      <c r="J548" s="40" t="s">
        <v>82</v>
      </c>
      <c r="K548" s="91"/>
      <c r="L548" s="41">
        <v>0</v>
      </c>
      <c r="M548" s="41">
        <v>0</v>
      </c>
      <c r="N548" s="41">
        <v>0</v>
      </c>
      <c r="O548" s="41">
        <v>0</v>
      </c>
      <c r="P548" s="41">
        <v>0</v>
      </c>
      <c r="Q548" s="1475">
        <f>L548*$H547</f>
        <v>0</v>
      </c>
      <c r="R548" s="1475">
        <f>M548*$H547</f>
        <v>0</v>
      </c>
      <c r="S548" s="1475">
        <f>N548*$H547</f>
        <v>0</v>
      </c>
      <c r="T548" s="1475">
        <f>O548*$H547</f>
        <v>0</v>
      </c>
      <c r="U548" s="1475">
        <f>P548*$H547</f>
        <v>0</v>
      </c>
      <c r="V548" s="1476">
        <f t="shared" si="255"/>
        <v>0</v>
      </c>
    </row>
    <row r="549" spans="1:22" s="39" customFormat="1" ht="24" customHeight="1">
      <c r="A549" s="1860">
        <v>1</v>
      </c>
      <c r="B549" s="1860"/>
      <c r="C549" s="1860"/>
      <c r="D549" s="1860"/>
      <c r="E549" s="1839"/>
      <c r="F549" s="1844"/>
      <c r="G549" s="1643"/>
      <c r="H549" s="1687"/>
      <c r="I549" s="1765"/>
      <c r="J549" s="40" t="s">
        <v>90</v>
      </c>
      <c r="K549" s="91"/>
      <c r="L549" s="41">
        <f>'Budget Assumption_Lab Comp2'!K200</f>
        <v>1963.1189999999997</v>
      </c>
      <c r="M549" s="41">
        <f>'Budget Assumption_Lab Comp2'!L200</f>
        <v>2164.5001000000002</v>
      </c>
      <c r="N549" s="41">
        <f>'Budget Assumption_Lab Comp2'!M200</f>
        <v>2820.2438999999999</v>
      </c>
      <c r="O549" s="41">
        <v>0</v>
      </c>
      <c r="P549" s="41">
        <v>0</v>
      </c>
      <c r="Q549" s="1475">
        <f>L549*$H547</f>
        <v>29446.784999999996</v>
      </c>
      <c r="R549" s="1475">
        <f>M549*$H547</f>
        <v>32467.501500000002</v>
      </c>
      <c r="S549" s="1475">
        <f>N549*$H547</f>
        <v>42303.658499999998</v>
      </c>
      <c r="T549" s="1475">
        <f>O549*$H547</f>
        <v>0</v>
      </c>
      <c r="U549" s="1475">
        <f>P549*$H547</f>
        <v>0</v>
      </c>
      <c r="V549" s="1476">
        <f t="shared" si="255"/>
        <v>104217.94500000001</v>
      </c>
    </row>
    <row r="550" spans="1:22" s="39" customFormat="1" ht="24" customHeight="1">
      <c r="A550" s="1860">
        <v>1</v>
      </c>
      <c r="B550" s="1860"/>
      <c r="C550" s="1860"/>
      <c r="D550" s="1860"/>
      <c r="E550" s="1839"/>
      <c r="F550" s="1844"/>
      <c r="G550" s="1643"/>
      <c r="H550" s="1687"/>
      <c r="I550" s="1765"/>
      <c r="J550" s="40" t="s">
        <v>83</v>
      </c>
      <c r="K550" s="91"/>
      <c r="L550" s="41">
        <v>0</v>
      </c>
      <c r="M550" s="41">
        <v>0</v>
      </c>
      <c r="N550" s="41">
        <v>0</v>
      </c>
      <c r="O550" s="41">
        <v>0</v>
      </c>
      <c r="P550" s="41">
        <v>0</v>
      </c>
      <c r="Q550" s="1475">
        <f>L550*$H547</f>
        <v>0</v>
      </c>
      <c r="R550" s="1475">
        <f>M550*$H547</f>
        <v>0</v>
      </c>
      <c r="S550" s="1475">
        <f>N550*$H547</f>
        <v>0</v>
      </c>
      <c r="T550" s="1475">
        <f>O550*$H547</f>
        <v>0</v>
      </c>
      <c r="U550" s="1475">
        <f>P550*$H547</f>
        <v>0</v>
      </c>
      <c r="V550" s="1476">
        <f>SUM(Q550:U550)</f>
        <v>0</v>
      </c>
    </row>
    <row r="551" spans="1:22" s="39" customFormat="1" ht="24" customHeight="1" thickBot="1">
      <c r="A551" s="1860">
        <v>1</v>
      </c>
      <c r="B551" s="1860"/>
      <c r="C551" s="1860"/>
      <c r="D551" s="1860"/>
      <c r="E551" s="1839"/>
      <c r="F551" s="1845"/>
      <c r="G551" s="1802"/>
      <c r="H551" s="1688"/>
      <c r="I551" s="1766"/>
      <c r="J551" s="80" t="s">
        <v>84</v>
      </c>
      <c r="K551" s="824"/>
      <c r="L551" s="814">
        <f>L542-L543</f>
        <v>0</v>
      </c>
      <c r="M551" s="814">
        <f t="shared" ref="M551:N551" si="257">M542-M543</f>
        <v>0</v>
      </c>
      <c r="N551" s="814">
        <f t="shared" si="257"/>
        <v>0</v>
      </c>
      <c r="O551" s="814">
        <f>O542-O543</f>
        <v>3275.3721549999991</v>
      </c>
      <c r="P551" s="814">
        <f t="shared" ref="P551" si="258">P542-P543</f>
        <v>4376.5434999999961</v>
      </c>
      <c r="Q551" s="1487">
        <f t="shared" ref="Q551:U551" si="259">Q542-Q543</f>
        <v>0</v>
      </c>
      <c r="R551" s="1487">
        <f t="shared" si="259"/>
        <v>0</v>
      </c>
      <c r="S551" s="1487">
        <f t="shared" si="259"/>
        <v>0</v>
      </c>
      <c r="T551" s="1487">
        <f t="shared" si="259"/>
        <v>49130.582324999996</v>
      </c>
      <c r="U551" s="1487">
        <f t="shared" si="259"/>
        <v>65648.152499999909</v>
      </c>
      <c r="V551" s="1500">
        <f>SUM(Q551:U551)</f>
        <v>114778.7348249999</v>
      </c>
    </row>
    <row r="552" spans="1:22" s="62" customFormat="1" ht="24" customHeight="1">
      <c r="A552" s="1860">
        <v>2</v>
      </c>
      <c r="B552" s="1860">
        <v>1</v>
      </c>
      <c r="C552" s="1860">
        <v>1</v>
      </c>
      <c r="D552" s="1860">
        <v>5</v>
      </c>
      <c r="E552" s="1839"/>
      <c r="F552" s="1843" t="str">
        <f>CONCATENATE(A552,".",B552,".",C552,".",D552,)</f>
        <v>2.1.1.5</v>
      </c>
      <c r="G552" s="1643" t="s">
        <v>1000</v>
      </c>
      <c r="H552" s="2009" t="s">
        <v>827</v>
      </c>
      <c r="I552" s="1765" t="s">
        <v>1001</v>
      </c>
      <c r="J552" s="815" t="s">
        <v>79</v>
      </c>
      <c r="K552" s="905"/>
      <c r="L552" s="898">
        <f>'Budget Assumption_Lab Comp2'!K191</f>
        <v>45637.086300000003</v>
      </c>
      <c r="M552" s="898">
        <f>'Budget Assumption_Lab Comp2'!L191</f>
        <v>51041.894399999997</v>
      </c>
      <c r="N552" s="898">
        <f>'Budget Assumption_Lab Comp2'!M191</f>
        <v>62119.277249999985</v>
      </c>
      <c r="O552" s="898">
        <f>'Budget Assumption_Lab Comp2'!N191</f>
        <v>73201.783230000001</v>
      </c>
      <c r="P552" s="898">
        <f>'Budget Assumption_Lab Comp2'!O191</f>
        <v>92673.936900000001</v>
      </c>
      <c r="Q552" s="1489">
        <f>L552*H557</f>
        <v>91274.172600000005</v>
      </c>
      <c r="R552" s="1489">
        <f>M552*H557</f>
        <v>102083.78879999999</v>
      </c>
      <c r="S552" s="1489">
        <f>N552*H557</f>
        <v>124238.55449999997</v>
      </c>
      <c r="T552" s="1489">
        <f>O552*H557</f>
        <v>146403.56646</v>
      </c>
      <c r="U552" s="1489">
        <f>P552*H557</f>
        <v>185347.8738</v>
      </c>
      <c r="V552" s="1490">
        <f>SUM(Q552:U552)</f>
        <v>649347.95616000006</v>
      </c>
    </row>
    <row r="553" spans="1:22" s="39" customFormat="1" ht="24" customHeight="1">
      <c r="A553" s="1860">
        <v>1</v>
      </c>
      <c r="B553" s="1860"/>
      <c r="C553" s="1860"/>
      <c r="D553" s="1860"/>
      <c r="E553" s="1839"/>
      <c r="F553" s="1844"/>
      <c r="G553" s="1643"/>
      <c r="H553" s="1817"/>
      <c r="I553" s="1765"/>
      <c r="J553" s="40" t="s">
        <v>80</v>
      </c>
      <c r="K553" s="91"/>
      <c r="L553" s="41">
        <f t="shared" ref="L553:P553" si="260">SUM(L554:L560)</f>
        <v>45637.086299999995</v>
      </c>
      <c r="M553" s="41">
        <f t="shared" si="260"/>
        <v>51041.894399999997</v>
      </c>
      <c r="N553" s="41">
        <f t="shared" si="260"/>
        <v>62119.277249999999</v>
      </c>
      <c r="O553" s="41">
        <f t="shared" si="260"/>
        <v>55232.73285</v>
      </c>
      <c r="P553" s="41">
        <f t="shared" si="260"/>
        <v>70154.990499999985</v>
      </c>
      <c r="Q553" s="1475">
        <f t="shared" ref="Q553:U553" si="261">SUM(Q554:Q560)</f>
        <v>91274.172599999991</v>
      </c>
      <c r="R553" s="1475">
        <f t="shared" si="261"/>
        <v>102083.78879999999</v>
      </c>
      <c r="S553" s="1475">
        <f t="shared" si="261"/>
        <v>124238.5545</v>
      </c>
      <c r="T553" s="1475">
        <f>SUM(T554:T560)</f>
        <v>110465.4657</v>
      </c>
      <c r="U553" s="1475">
        <f t="shared" si="261"/>
        <v>140309.98099999997</v>
      </c>
      <c r="V553" s="1476">
        <f>SUM(Q553:U553)</f>
        <v>568371.96259999997</v>
      </c>
    </row>
    <row r="554" spans="1:22" s="39" customFormat="1" ht="24" customHeight="1">
      <c r="A554" s="1860">
        <v>1</v>
      </c>
      <c r="B554" s="1860"/>
      <c r="C554" s="1860"/>
      <c r="D554" s="1860"/>
      <c r="E554" s="1839"/>
      <c r="F554" s="1844"/>
      <c r="G554" s="1643"/>
      <c r="H554" s="1817"/>
      <c r="I554" s="1765"/>
      <c r="J554" s="40" t="s">
        <v>429</v>
      </c>
      <c r="K554" s="91"/>
      <c r="L554" s="41">
        <f>'Budget Assumption_Lab Comp2'!K211</f>
        <v>33890.68305</v>
      </c>
      <c r="M554" s="41">
        <f>'Budget Assumption_Lab Comp2'!L211</f>
        <v>37930.467724999995</v>
      </c>
      <c r="N554" s="41">
        <f>'Budget Assumption_Lab Comp2'!M211</f>
        <v>46268.599900000001</v>
      </c>
      <c r="O554" s="41">
        <f>'Budget Assumption_Lab Comp2'!N211</f>
        <v>55232.73285</v>
      </c>
      <c r="P554" s="41">
        <f>'Budget Assumption_Lab Comp2'!O211</f>
        <v>70154.990499999985</v>
      </c>
      <c r="Q554" s="1475">
        <f>L554*$H557</f>
        <v>67781.366099999999</v>
      </c>
      <c r="R554" s="1475">
        <f>M554*$H557</f>
        <v>75860.93544999999</v>
      </c>
      <c r="S554" s="1475">
        <f>N554*$H557</f>
        <v>92537.199800000002</v>
      </c>
      <c r="T554" s="1475">
        <f>O554*$H557</f>
        <v>110465.4657</v>
      </c>
      <c r="U554" s="1475">
        <f>P554*$H557</f>
        <v>140309.98099999997</v>
      </c>
      <c r="V554" s="1476">
        <f t="shared" ref="V554:V560" si="262">SUM(Q554:U554)</f>
        <v>486954.94804999995</v>
      </c>
    </row>
    <row r="555" spans="1:22" s="39" customFormat="1" ht="24" customHeight="1">
      <c r="A555" s="1860">
        <v>1</v>
      </c>
      <c r="B555" s="1860"/>
      <c r="C555" s="1860"/>
      <c r="D555" s="1860"/>
      <c r="E555" s="1839"/>
      <c r="F555" s="1844"/>
      <c r="G555" s="1643"/>
      <c r="H555" s="1817"/>
      <c r="I555" s="1765"/>
      <c r="J555" s="40" t="s">
        <v>133</v>
      </c>
      <c r="K555" s="91"/>
      <c r="L555" s="41">
        <v>0</v>
      </c>
      <c r="M555" s="41">
        <v>0</v>
      </c>
      <c r="N555" s="41">
        <v>0</v>
      </c>
      <c r="O555" s="41">
        <v>0</v>
      </c>
      <c r="P555" s="41">
        <v>0</v>
      </c>
      <c r="Q555" s="1475">
        <f>L555*$H557</f>
        <v>0</v>
      </c>
      <c r="R555" s="1475">
        <f>M555*$H557</f>
        <v>0</v>
      </c>
      <c r="S555" s="1475">
        <f>N555*$H557</f>
        <v>0</v>
      </c>
      <c r="T555" s="1475">
        <f>O555*$H557</f>
        <v>0</v>
      </c>
      <c r="U555" s="1475">
        <f>P555*$H557</f>
        <v>0</v>
      </c>
      <c r="V555" s="1476">
        <f t="shared" si="262"/>
        <v>0</v>
      </c>
    </row>
    <row r="556" spans="1:22" s="39" customFormat="1" ht="24" customHeight="1">
      <c r="A556" s="1860">
        <v>1</v>
      </c>
      <c r="B556" s="1860"/>
      <c r="C556" s="1860"/>
      <c r="D556" s="1860"/>
      <c r="E556" s="1839"/>
      <c r="F556" s="1844"/>
      <c r="G556" s="1643"/>
      <c r="H556" s="1817"/>
      <c r="I556" s="1765"/>
      <c r="J556" s="40" t="s">
        <v>81</v>
      </c>
      <c r="K556" s="91"/>
      <c r="L556" s="41">
        <v>0</v>
      </c>
      <c r="M556" s="41">
        <v>0</v>
      </c>
      <c r="N556" s="41">
        <v>0</v>
      </c>
      <c r="O556" s="41">
        <v>0</v>
      </c>
      <c r="P556" s="41">
        <v>0</v>
      </c>
      <c r="Q556" s="1475">
        <f>L556*$H557</f>
        <v>0</v>
      </c>
      <c r="R556" s="1475">
        <f>M556*$H557</f>
        <v>0</v>
      </c>
      <c r="S556" s="1475">
        <f>N556*$H557</f>
        <v>0</v>
      </c>
      <c r="T556" s="1475">
        <f>O556*$H557</f>
        <v>0</v>
      </c>
      <c r="U556" s="1475">
        <f>P556*$H557</f>
        <v>0</v>
      </c>
      <c r="V556" s="1476">
        <f t="shared" si="262"/>
        <v>0</v>
      </c>
    </row>
    <row r="557" spans="1:22" s="39" customFormat="1" ht="24" customHeight="1">
      <c r="A557" s="1860">
        <v>1</v>
      </c>
      <c r="B557" s="1860"/>
      <c r="C557" s="1860"/>
      <c r="D557" s="1860"/>
      <c r="E557" s="1839"/>
      <c r="F557" s="1844"/>
      <c r="G557" s="1643"/>
      <c r="H557" s="1814">
        <v>2</v>
      </c>
      <c r="I557" s="1765"/>
      <c r="J557" s="40" t="s">
        <v>134</v>
      </c>
      <c r="K557" s="91"/>
      <c r="L557" s="41">
        <v>0</v>
      </c>
      <c r="M557" s="41">
        <v>0</v>
      </c>
      <c r="N557" s="41">
        <v>0</v>
      </c>
      <c r="O557" s="41">
        <v>0</v>
      </c>
      <c r="P557" s="41">
        <v>0</v>
      </c>
      <c r="Q557" s="1475">
        <f>L557*$H557</f>
        <v>0</v>
      </c>
      <c r="R557" s="1475">
        <f>M557*$H557</f>
        <v>0</v>
      </c>
      <c r="S557" s="1475">
        <f>N557*$H557</f>
        <v>0</v>
      </c>
      <c r="T557" s="1475">
        <f>O557*$H557</f>
        <v>0</v>
      </c>
      <c r="U557" s="1475">
        <f>P557*$H557</f>
        <v>0</v>
      </c>
      <c r="V557" s="1476">
        <f t="shared" si="262"/>
        <v>0</v>
      </c>
    </row>
    <row r="558" spans="1:22" s="39" customFormat="1" ht="24" customHeight="1">
      <c r="A558" s="1860">
        <v>1</v>
      </c>
      <c r="B558" s="1860"/>
      <c r="C558" s="1860"/>
      <c r="D558" s="1860"/>
      <c r="E558" s="1839"/>
      <c r="F558" s="1844"/>
      <c r="G558" s="1643"/>
      <c r="H558" s="1814"/>
      <c r="I558" s="1765"/>
      <c r="J558" s="40" t="s">
        <v>82</v>
      </c>
      <c r="K558" s="91"/>
      <c r="L558" s="41">
        <v>0</v>
      </c>
      <c r="M558" s="41">
        <v>0</v>
      </c>
      <c r="N558" s="41">
        <v>0</v>
      </c>
      <c r="O558" s="41">
        <v>0</v>
      </c>
      <c r="P558" s="41">
        <v>0</v>
      </c>
      <c r="Q558" s="1475">
        <f>L558*$H557</f>
        <v>0</v>
      </c>
      <c r="R558" s="1475">
        <f>M558*$H557</f>
        <v>0</v>
      </c>
      <c r="S558" s="1475">
        <f>N558*$H557</f>
        <v>0</v>
      </c>
      <c r="T558" s="1475">
        <f>O558*$H557</f>
        <v>0</v>
      </c>
      <c r="U558" s="1475">
        <f>P558*$H557</f>
        <v>0</v>
      </c>
      <c r="V558" s="1476">
        <f t="shared" si="262"/>
        <v>0</v>
      </c>
    </row>
    <row r="559" spans="1:22" s="39" customFormat="1" ht="24" customHeight="1">
      <c r="A559" s="1860">
        <v>1</v>
      </c>
      <c r="B559" s="1860"/>
      <c r="C559" s="1860"/>
      <c r="D559" s="1860"/>
      <c r="E559" s="1839"/>
      <c r="F559" s="1844"/>
      <c r="G559" s="1643"/>
      <c r="H559" s="1814"/>
      <c r="I559" s="1765"/>
      <c r="J559" s="40" t="s">
        <v>90</v>
      </c>
      <c r="K559" s="91"/>
      <c r="L559" s="41">
        <f>'Budget Assumption_Lab Comp2'!K201</f>
        <v>11746.403249999999</v>
      </c>
      <c r="M559" s="41">
        <f>'Budget Assumption_Lab Comp2'!L201</f>
        <v>13111.426675000002</v>
      </c>
      <c r="N559" s="41">
        <f>'Budget Assumption_Lab Comp2'!M201</f>
        <v>15850.67735</v>
      </c>
      <c r="O559" s="41">
        <v>0</v>
      </c>
      <c r="P559" s="41">
        <v>0</v>
      </c>
      <c r="Q559" s="1475">
        <f>L559*$H557</f>
        <v>23492.806499999999</v>
      </c>
      <c r="R559" s="1475">
        <f>M559*$H557</f>
        <v>26222.853350000005</v>
      </c>
      <c r="S559" s="1475">
        <f>N559*$H557</f>
        <v>31701.3547</v>
      </c>
      <c r="T559" s="1475">
        <f>O559*$H557</f>
        <v>0</v>
      </c>
      <c r="U559" s="1475">
        <f>P559*$H557</f>
        <v>0</v>
      </c>
      <c r="V559" s="1476">
        <f t="shared" si="262"/>
        <v>81417.014550000007</v>
      </c>
    </row>
    <row r="560" spans="1:22" s="39" customFormat="1" ht="24" customHeight="1">
      <c r="A560" s="1860">
        <v>1</v>
      </c>
      <c r="B560" s="1860"/>
      <c r="C560" s="1860"/>
      <c r="D560" s="1860"/>
      <c r="E560" s="1839"/>
      <c r="F560" s="1844"/>
      <c r="G560" s="1643"/>
      <c r="H560" s="1814"/>
      <c r="I560" s="1765"/>
      <c r="J560" s="40" t="s">
        <v>83</v>
      </c>
      <c r="K560" s="91"/>
      <c r="L560" s="41">
        <v>0</v>
      </c>
      <c r="M560" s="41">
        <v>0</v>
      </c>
      <c r="N560" s="41">
        <v>0</v>
      </c>
      <c r="O560" s="41">
        <v>0</v>
      </c>
      <c r="P560" s="41">
        <v>0</v>
      </c>
      <c r="Q560" s="1475">
        <f>L560*$H557</f>
        <v>0</v>
      </c>
      <c r="R560" s="1475">
        <f>M560*$H557</f>
        <v>0</v>
      </c>
      <c r="S560" s="1475">
        <f>N560*$H557</f>
        <v>0</v>
      </c>
      <c r="T560" s="1475">
        <f>O560*$H557</f>
        <v>0</v>
      </c>
      <c r="U560" s="1475">
        <f>P560*$H557</f>
        <v>0</v>
      </c>
      <c r="V560" s="1476">
        <f t="shared" si="262"/>
        <v>0</v>
      </c>
    </row>
    <row r="561" spans="1:22" s="39" customFormat="1" ht="24" customHeight="1" thickBot="1">
      <c r="A561" s="1860">
        <v>1</v>
      </c>
      <c r="B561" s="1860"/>
      <c r="C561" s="1860"/>
      <c r="D561" s="1860"/>
      <c r="E561" s="1839"/>
      <c r="F561" s="1844"/>
      <c r="G561" s="1922"/>
      <c r="H561" s="1814"/>
      <c r="I561" s="1853"/>
      <c r="J561" s="40" t="s">
        <v>84</v>
      </c>
      <c r="K561" s="42"/>
      <c r="L561" s="814">
        <f>L552-L553</f>
        <v>0</v>
      </c>
      <c r="M561" s="814">
        <f t="shared" ref="M561:N561" si="263">M552-M553</f>
        <v>0</v>
      </c>
      <c r="N561" s="814">
        <f t="shared" si="263"/>
        <v>0</v>
      </c>
      <c r="O561" s="814">
        <f>O552-O553</f>
        <v>17969.050380000001</v>
      </c>
      <c r="P561" s="814">
        <f t="shared" ref="P561" si="264">P552-P553</f>
        <v>22518.946400000015</v>
      </c>
      <c r="Q561" s="1475">
        <f t="shared" ref="Q561:V561" si="265">Q552-Q553</f>
        <v>0</v>
      </c>
      <c r="R561" s="1475">
        <f t="shared" si="265"/>
        <v>0</v>
      </c>
      <c r="S561" s="1475">
        <f t="shared" si="265"/>
        <v>0</v>
      </c>
      <c r="T561" s="1475">
        <f t="shared" si="265"/>
        <v>35938.100760000001</v>
      </c>
      <c r="U561" s="1475">
        <f t="shared" si="265"/>
        <v>45037.892800000031</v>
      </c>
      <c r="V561" s="1476">
        <f t="shared" si="265"/>
        <v>80975.99356000009</v>
      </c>
    </row>
    <row r="562" spans="1:22" s="63" customFormat="1" ht="40.35" customHeight="1">
      <c r="A562" s="387">
        <v>2</v>
      </c>
      <c r="B562" s="387">
        <v>1</v>
      </c>
      <c r="C562" s="387">
        <v>2</v>
      </c>
      <c r="D562" s="387"/>
      <c r="E562" s="387"/>
      <c r="F562" s="1464" t="str">
        <f>CONCATENATE(A562,".",B562,".",C562,)</f>
        <v>2.1.2</v>
      </c>
      <c r="G562" s="1576" t="s">
        <v>320</v>
      </c>
      <c r="H562" s="1577"/>
      <c r="I562" s="1577"/>
      <c r="J562" s="1578"/>
      <c r="K562" s="66"/>
      <c r="L562" s="66"/>
      <c r="M562" s="66"/>
      <c r="N562" s="66"/>
      <c r="O562" s="66"/>
      <c r="P562" s="66"/>
      <c r="Q562" s="1499">
        <f>Q564</f>
        <v>0</v>
      </c>
      <c r="R562" s="1499">
        <f t="shared" ref="R562:V562" si="266">R564</f>
        <v>0</v>
      </c>
      <c r="S562" s="1499">
        <f t="shared" si="266"/>
        <v>0</v>
      </c>
      <c r="T562" s="1499">
        <f t="shared" si="266"/>
        <v>0</v>
      </c>
      <c r="U562" s="1499">
        <f t="shared" si="266"/>
        <v>0</v>
      </c>
      <c r="V562" s="1499">
        <f t="shared" si="266"/>
        <v>0</v>
      </c>
    </row>
    <row r="563" spans="1:22" s="64" customFormat="1" ht="24" customHeight="1">
      <c r="A563" s="1860">
        <v>2</v>
      </c>
      <c r="B563" s="1860">
        <v>1</v>
      </c>
      <c r="C563" s="1860">
        <v>2</v>
      </c>
      <c r="D563" s="1860">
        <v>1</v>
      </c>
      <c r="E563" s="1839"/>
      <c r="F563" s="1844" t="str">
        <f>CONCATENATE(A563,".",B563,".",C563,".",D563,)</f>
        <v>2.1.2.1</v>
      </c>
      <c r="G563" s="1642" t="s">
        <v>1002</v>
      </c>
      <c r="H563" s="1601" t="s">
        <v>1003</v>
      </c>
      <c r="I563" s="1764" t="s">
        <v>1004</v>
      </c>
      <c r="J563" s="36" t="s">
        <v>79</v>
      </c>
      <c r="K563" s="896"/>
      <c r="L563" s="896">
        <f>'Budget Assumption_Lab Comp2'!K253+'Budget Assumption_Lab Comp2'!K257</f>
        <v>79237</v>
      </c>
      <c r="M563" s="896">
        <f>'Budget Assumption_Lab Comp2'!L253+'Budget Assumption_Lab Comp2'!L257</f>
        <v>79237</v>
      </c>
      <c r="N563" s="896">
        <f>'Budget Assumption_Lab Comp2'!M253+'Budget Assumption_Lab Comp2'!M257</f>
        <v>79237</v>
      </c>
      <c r="O563" s="896">
        <f>'Budget Assumption_Lab Comp2'!N253+'Budget Assumption_Lab Comp2'!N257</f>
        <v>79237</v>
      </c>
      <c r="P563" s="896">
        <f>'Budget Assumption_Lab Comp2'!O253+'Budget Assumption_Lab Comp2'!O257</f>
        <v>79237</v>
      </c>
      <c r="Q563" s="1475">
        <f>L563*H568</f>
        <v>0</v>
      </c>
      <c r="R563" s="1475">
        <f>M563*H568</f>
        <v>0</v>
      </c>
      <c r="S563" s="1475">
        <f>N563*H568</f>
        <v>0</v>
      </c>
      <c r="T563" s="1475">
        <f>O563*H568</f>
        <v>0</v>
      </c>
      <c r="U563" s="1475">
        <f>P563*H568</f>
        <v>0</v>
      </c>
      <c r="V563" s="1476">
        <f t="shared" ref="V563:V572" si="267">SUM(Q563:U563)</f>
        <v>0</v>
      </c>
    </row>
    <row r="564" spans="1:22" s="39" customFormat="1" ht="24" customHeight="1">
      <c r="A564" s="1860">
        <v>1</v>
      </c>
      <c r="B564" s="1860"/>
      <c r="C564" s="1860"/>
      <c r="D564" s="1860"/>
      <c r="E564" s="1839"/>
      <c r="F564" s="1844"/>
      <c r="G564" s="1643"/>
      <c r="H564" s="1601"/>
      <c r="I564" s="1765"/>
      <c r="J564" s="40" t="s">
        <v>80</v>
      </c>
      <c r="K564" s="91"/>
      <c r="L564" s="41">
        <f t="shared" ref="L564:U564" si="268">SUM(L565:L571)</f>
        <v>79237</v>
      </c>
      <c r="M564" s="41">
        <f t="shared" si="268"/>
        <v>79237</v>
      </c>
      <c r="N564" s="41">
        <f t="shared" si="268"/>
        <v>79237</v>
      </c>
      <c r="O564" s="41">
        <f t="shared" si="268"/>
        <v>79237</v>
      </c>
      <c r="P564" s="41">
        <f t="shared" si="268"/>
        <v>79237</v>
      </c>
      <c r="Q564" s="1475">
        <f t="shared" si="268"/>
        <v>0</v>
      </c>
      <c r="R564" s="1475">
        <f t="shared" si="268"/>
        <v>0</v>
      </c>
      <c r="S564" s="1475">
        <f t="shared" si="268"/>
        <v>0</v>
      </c>
      <c r="T564" s="1475">
        <f t="shared" si="268"/>
        <v>0</v>
      </c>
      <c r="U564" s="1475">
        <f t="shared" si="268"/>
        <v>0</v>
      </c>
      <c r="V564" s="1476">
        <f t="shared" si="267"/>
        <v>0</v>
      </c>
    </row>
    <row r="565" spans="1:22" s="39" customFormat="1" ht="24" customHeight="1">
      <c r="A565" s="1860">
        <v>1</v>
      </c>
      <c r="B565" s="1860"/>
      <c r="C565" s="1860"/>
      <c r="D565" s="1860"/>
      <c r="E565" s="1839"/>
      <c r="F565" s="1844"/>
      <c r="G565" s="1643"/>
      <c r="H565" s="1601"/>
      <c r="I565" s="1765"/>
      <c r="J565" s="40" t="s">
        <v>429</v>
      </c>
      <c r="K565" s="42"/>
      <c r="L565" s="41">
        <f>'Budget Assumption_Lab Comp2'!K253</f>
        <v>71937</v>
      </c>
      <c r="M565" s="41">
        <f>'Budget Assumption_Lab Comp2'!L253</f>
        <v>71937</v>
      </c>
      <c r="N565" s="41">
        <f>'Budget Assumption_Lab Comp2'!M253</f>
        <v>71937</v>
      </c>
      <c r="O565" s="41">
        <f>'Budget Assumption_Lab Comp2'!N253</f>
        <v>71937</v>
      </c>
      <c r="P565" s="41">
        <f>'Budget Assumption_Lab Comp2'!O253</f>
        <v>71937</v>
      </c>
      <c r="Q565" s="1475">
        <f>L565*$H568</f>
        <v>0</v>
      </c>
      <c r="R565" s="1475">
        <f>M565*$H568</f>
        <v>0</v>
      </c>
      <c r="S565" s="1475">
        <f>N565*$H568</f>
        <v>0</v>
      </c>
      <c r="T565" s="1475">
        <f>O565*$H568</f>
        <v>0</v>
      </c>
      <c r="U565" s="1475">
        <f>P565*$H568</f>
        <v>0</v>
      </c>
      <c r="V565" s="1476">
        <f t="shared" si="267"/>
        <v>0</v>
      </c>
    </row>
    <row r="566" spans="1:22" s="39" customFormat="1" ht="24" customHeight="1">
      <c r="A566" s="1860">
        <v>1</v>
      </c>
      <c r="B566" s="1860"/>
      <c r="C566" s="1860"/>
      <c r="D566" s="1860"/>
      <c r="E566" s="1839"/>
      <c r="F566" s="1844"/>
      <c r="G566" s="1643"/>
      <c r="H566" s="1601"/>
      <c r="I566" s="1765"/>
      <c r="J566" s="40" t="s">
        <v>133</v>
      </c>
      <c r="K566" s="42"/>
      <c r="L566" s="41">
        <f>'Budget Assumption_Lab Comp2'!K257</f>
        <v>7300</v>
      </c>
      <c r="M566" s="41">
        <f>'Budget Assumption_Lab Comp2'!L257</f>
        <v>7300</v>
      </c>
      <c r="N566" s="41">
        <f>'Budget Assumption_Lab Comp2'!M257</f>
        <v>7300</v>
      </c>
      <c r="O566" s="41">
        <f>'Budget Assumption_Lab Comp2'!N257</f>
        <v>7300</v>
      </c>
      <c r="P566" s="41">
        <f>'Budget Assumption_Lab Comp2'!O257</f>
        <v>7300</v>
      </c>
      <c r="Q566" s="1475">
        <f>L566*$H568</f>
        <v>0</v>
      </c>
      <c r="R566" s="1475">
        <f>M566*$H568</f>
        <v>0</v>
      </c>
      <c r="S566" s="1475">
        <f>N566*$H568</f>
        <v>0</v>
      </c>
      <c r="T566" s="1475">
        <f>O566*$H568</f>
        <v>0</v>
      </c>
      <c r="U566" s="1475">
        <f>P566*$H568</f>
        <v>0</v>
      </c>
      <c r="V566" s="1476">
        <f t="shared" si="267"/>
        <v>0</v>
      </c>
    </row>
    <row r="567" spans="1:22" s="39" customFormat="1" ht="24" customHeight="1">
      <c r="A567" s="1860">
        <v>1</v>
      </c>
      <c r="B567" s="1860"/>
      <c r="C567" s="1860"/>
      <c r="D567" s="1860"/>
      <c r="E567" s="1839"/>
      <c r="F567" s="1844"/>
      <c r="G567" s="1643"/>
      <c r="H567" s="1601"/>
      <c r="I567" s="1765"/>
      <c r="J567" s="40" t="s">
        <v>81</v>
      </c>
      <c r="K567" s="42"/>
      <c r="L567" s="41">
        <v>0</v>
      </c>
      <c r="M567" s="41">
        <v>0</v>
      </c>
      <c r="N567" s="41">
        <v>0</v>
      </c>
      <c r="O567" s="41">
        <v>0</v>
      </c>
      <c r="P567" s="41">
        <v>0</v>
      </c>
      <c r="Q567" s="1475">
        <f>L567*$H568</f>
        <v>0</v>
      </c>
      <c r="R567" s="1475">
        <f>M567*$H568</f>
        <v>0</v>
      </c>
      <c r="S567" s="1475">
        <f>N567*$H568</f>
        <v>0</v>
      </c>
      <c r="T567" s="1475">
        <f>O567*$H568</f>
        <v>0</v>
      </c>
      <c r="U567" s="1475">
        <f>P567*$H568</f>
        <v>0</v>
      </c>
      <c r="V567" s="1476">
        <f t="shared" si="267"/>
        <v>0</v>
      </c>
    </row>
    <row r="568" spans="1:22" s="39" customFormat="1" ht="24" customHeight="1">
      <c r="A568" s="1860">
        <v>1</v>
      </c>
      <c r="B568" s="1860"/>
      <c r="C568" s="1860"/>
      <c r="D568" s="1860"/>
      <c r="E568" s="1839"/>
      <c r="F568" s="1844"/>
      <c r="G568" s="1643"/>
      <c r="H568" s="1595">
        <v>0</v>
      </c>
      <c r="I568" s="1765"/>
      <c r="J568" s="40" t="s">
        <v>134</v>
      </c>
      <c r="K568" s="42"/>
      <c r="L568" s="41">
        <v>0</v>
      </c>
      <c r="M568" s="41">
        <v>0</v>
      </c>
      <c r="N568" s="41">
        <v>0</v>
      </c>
      <c r="O568" s="41">
        <v>0</v>
      </c>
      <c r="P568" s="41">
        <v>0</v>
      </c>
      <c r="Q568" s="1475">
        <f>L568*$H568</f>
        <v>0</v>
      </c>
      <c r="R568" s="1475">
        <f>M568*$H568</f>
        <v>0</v>
      </c>
      <c r="S568" s="1475">
        <f>N568*$H568</f>
        <v>0</v>
      </c>
      <c r="T568" s="1475">
        <f>O568*$H568</f>
        <v>0</v>
      </c>
      <c r="U568" s="1475">
        <f>P568*$H568</f>
        <v>0</v>
      </c>
      <c r="V568" s="1476">
        <f t="shared" si="267"/>
        <v>0</v>
      </c>
    </row>
    <row r="569" spans="1:22" s="39" customFormat="1" ht="24" customHeight="1">
      <c r="A569" s="1860">
        <v>1</v>
      </c>
      <c r="B569" s="1860"/>
      <c r="C569" s="1860"/>
      <c r="D569" s="1860"/>
      <c r="E569" s="1839"/>
      <c r="F569" s="1844"/>
      <c r="G569" s="1643"/>
      <c r="H569" s="1596">
        <f>810*0.05</f>
        <v>40.5</v>
      </c>
      <c r="I569" s="1765"/>
      <c r="J569" s="40" t="s">
        <v>82</v>
      </c>
      <c r="K569" s="42"/>
      <c r="L569" s="41">
        <v>0</v>
      </c>
      <c r="M569" s="41">
        <v>0</v>
      </c>
      <c r="N569" s="41">
        <v>0</v>
      </c>
      <c r="O569" s="41">
        <v>0</v>
      </c>
      <c r="P569" s="41">
        <v>0</v>
      </c>
      <c r="Q569" s="1475">
        <f>L569*$H568</f>
        <v>0</v>
      </c>
      <c r="R569" s="1475">
        <f>M569*$H568</f>
        <v>0</v>
      </c>
      <c r="S569" s="1475">
        <f>N569*$H568</f>
        <v>0</v>
      </c>
      <c r="T569" s="1475">
        <f>O569*$H568</f>
        <v>0</v>
      </c>
      <c r="U569" s="1475">
        <f>P569*$H568</f>
        <v>0</v>
      </c>
      <c r="V569" s="1476">
        <f t="shared" si="267"/>
        <v>0</v>
      </c>
    </row>
    <row r="570" spans="1:22" s="39" customFormat="1" ht="24" customHeight="1">
      <c r="A570" s="1860">
        <v>1</v>
      </c>
      <c r="B570" s="1860"/>
      <c r="C570" s="1860"/>
      <c r="D570" s="1860"/>
      <c r="E570" s="1839"/>
      <c r="F570" s="1844"/>
      <c r="G570" s="1643"/>
      <c r="H570" s="1596"/>
      <c r="I570" s="1765"/>
      <c r="J570" s="40" t="s">
        <v>90</v>
      </c>
      <c r="K570" s="42"/>
      <c r="L570" s="41">
        <v>0</v>
      </c>
      <c r="M570" s="41">
        <v>0</v>
      </c>
      <c r="N570" s="41">
        <v>0</v>
      </c>
      <c r="O570" s="41">
        <v>0</v>
      </c>
      <c r="P570" s="41">
        <v>0</v>
      </c>
      <c r="Q570" s="1475">
        <f>L570*$H568</f>
        <v>0</v>
      </c>
      <c r="R570" s="1475">
        <f>M570*$H568</f>
        <v>0</v>
      </c>
      <c r="S570" s="1475">
        <f>N570*$H568</f>
        <v>0</v>
      </c>
      <c r="T570" s="1475">
        <f>O570*$H568</f>
        <v>0</v>
      </c>
      <c r="U570" s="1475">
        <f>P570*$H568</f>
        <v>0</v>
      </c>
      <c r="V570" s="1476">
        <f t="shared" si="267"/>
        <v>0</v>
      </c>
    </row>
    <row r="571" spans="1:22" s="39" customFormat="1" ht="24" customHeight="1">
      <c r="A571" s="1860">
        <v>1</v>
      </c>
      <c r="B571" s="1860"/>
      <c r="C571" s="1860"/>
      <c r="D571" s="1860"/>
      <c r="E571" s="1839"/>
      <c r="F571" s="1844"/>
      <c r="G571" s="1643"/>
      <c r="H571" s="1596"/>
      <c r="I571" s="1765"/>
      <c r="J571" s="40" t="s">
        <v>83</v>
      </c>
      <c r="K571" s="42"/>
      <c r="L571" s="41">
        <v>0</v>
      </c>
      <c r="M571" s="41">
        <v>0</v>
      </c>
      <c r="N571" s="41">
        <v>0</v>
      </c>
      <c r="O571" s="41">
        <v>0</v>
      </c>
      <c r="P571" s="41">
        <v>0</v>
      </c>
      <c r="Q571" s="1475">
        <f>L571*$H568</f>
        <v>0</v>
      </c>
      <c r="R571" s="1475">
        <f>M571*$H568</f>
        <v>0</v>
      </c>
      <c r="S571" s="1475">
        <f>N571*$H568</f>
        <v>0</v>
      </c>
      <c r="T571" s="1475">
        <f>O571*$H568</f>
        <v>0</v>
      </c>
      <c r="U571" s="1475">
        <f>P571*$H568</f>
        <v>0</v>
      </c>
      <c r="V571" s="1476">
        <f t="shared" si="267"/>
        <v>0</v>
      </c>
    </row>
    <row r="572" spans="1:22" s="39" customFormat="1" ht="24" customHeight="1">
      <c r="A572" s="1860">
        <v>1</v>
      </c>
      <c r="B572" s="1860"/>
      <c r="C572" s="1860"/>
      <c r="D572" s="1860"/>
      <c r="E572" s="1839"/>
      <c r="F572" s="1844"/>
      <c r="G572" s="1922"/>
      <c r="H572" s="1683"/>
      <c r="I572" s="1853"/>
      <c r="J572" s="40" t="s">
        <v>84</v>
      </c>
      <c r="K572" s="42"/>
      <c r="L572" s="41">
        <f>L563-L564</f>
        <v>0</v>
      </c>
      <c r="M572" s="41">
        <f t="shared" ref="M572:U572" si="269">M563-M564</f>
        <v>0</v>
      </c>
      <c r="N572" s="41">
        <f t="shared" si="269"/>
        <v>0</v>
      </c>
      <c r="O572" s="41">
        <f t="shared" si="269"/>
        <v>0</v>
      </c>
      <c r="P572" s="41">
        <f t="shared" si="269"/>
        <v>0</v>
      </c>
      <c r="Q572" s="1475">
        <f t="shared" si="269"/>
        <v>0</v>
      </c>
      <c r="R572" s="1475">
        <f t="shared" si="269"/>
        <v>0</v>
      </c>
      <c r="S572" s="1475">
        <f t="shared" si="269"/>
        <v>0</v>
      </c>
      <c r="T572" s="1475">
        <f t="shared" si="269"/>
        <v>0</v>
      </c>
      <c r="U572" s="1475">
        <f t="shared" si="269"/>
        <v>0</v>
      </c>
      <c r="V572" s="1476">
        <f t="shared" si="267"/>
        <v>0</v>
      </c>
    </row>
    <row r="573" spans="1:22" s="63" customFormat="1" ht="44.1" customHeight="1">
      <c r="A573" s="387">
        <v>2</v>
      </c>
      <c r="B573" s="387">
        <v>1</v>
      </c>
      <c r="C573" s="387">
        <v>3</v>
      </c>
      <c r="D573" s="387"/>
      <c r="E573" s="387"/>
      <c r="F573" s="919" t="str">
        <f>CONCATENATE(A573,".",B573,".",C573,)</f>
        <v>2.1.3</v>
      </c>
      <c r="G573" s="1576" t="s">
        <v>329</v>
      </c>
      <c r="H573" s="1577"/>
      <c r="I573" s="1577"/>
      <c r="J573" s="1578"/>
      <c r="K573" s="66"/>
      <c r="L573" s="906"/>
      <c r="M573" s="907"/>
      <c r="N573" s="907"/>
      <c r="O573" s="907"/>
      <c r="P573" s="907"/>
      <c r="Q573" s="1503">
        <f>Q575+Q585+Q595+Q605+Q615</f>
        <v>31764585</v>
      </c>
      <c r="R573" s="1503">
        <f t="shared" ref="R573:V573" si="270">R575+R585+R595+R605+R615</f>
        <v>31826860</v>
      </c>
      <c r="S573" s="1503">
        <f t="shared" si="270"/>
        <v>31890435</v>
      </c>
      <c r="T573" s="1503">
        <f t="shared" si="270"/>
        <v>31954835</v>
      </c>
      <c r="U573" s="1503">
        <f t="shared" si="270"/>
        <v>32020520</v>
      </c>
      <c r="V573" s="1503">
        <f t="shared" si="270"/>
        <v>159457235</v>
      </c>
    </row>
    <row r="574" spans="1:22" s="64" customFormat="1" ht="24" customHeight="1">
      <c r="A574" s="1860">
        <v>2</v>
      </c>
      <c r="B574" s="1860">
        <v>1</v>
      </c>
      <c r="C574" s="1860">
        <v>3</v>
      </c>
      <c r="D574" s="1860">
        <v>1</v>
      </c>
      <c r="E574" s="1839"/>
      <c r="F574" s="1844" t="str">
        <f>CONCATENATE(A574,".",B574,".",C574,".",D574,)</f>
        <v>2.1.3.1</v>
      </c>
      <c r="G574" s="1642" t="s">
        <v>1005</v>
      </c>
      <c r="H574" s="1601" t="s">
        <v>146</v>
      </c>
      <c r="I574" s="1764" t="s">
        <v>1006</v>
      </c>
      <c r="J574" s="36" t="s">
        <v>79</v>
      </c>
      <c r="K574" s="896"/>
      <c r="L574" s="891">
        <f>'Budget Assumption_Lab Comp2'!K250</f>
        <v>65580</v>
      </c>
      <c r="M574" s="891">
        <f>'Budget Assumption_Lab Comp2'!L250</f>
        <v>66890</v>
      </c>
      <c r="N574" s="891">
        <f>'Budget Assumption_Lab Comp2'!M250</f>
        <v>68230</v>
      </c>
      <c r="O574" s="891">
        <f>'Budget Assumption_Lab Comp2'!N250</f>
        <v>69590</v>
      </c>
      <c r="P574" s="891">
        <f>'Budget Assumption_Lab Comp2'!O250</f>
        <v>70980</v>
      </c>
      <c r="Q574" s="1504">
        <f>L574*$H$579</f>
        <v>2360880</v>
      </c>
      <c r="R574" s="1504">
        <f t="shared" ref="R574:U574" si="271">M574*$H$579</f>
        <v>2408040</v>
      </c>
      <c r="S574" s="1504">
        <f t="shared" si="271"/>
        <v>2456280</v>
      </c>
      <c r="T574" s="1504">
        <f t="shared" si="271"/>
        <v>2505240</v>
      </c>
      <c r="U574" s="1504">
        <f t="shared" si="271"/>
        <v>2555280</v>
      </c>
      <c r="V574" s="1505">
        <f t="shared" ref="V574" si="272">SUM(Q574:U574)</f>
        <v>12285720</v>
      </c>
    </row>
    <row r="575" spans="1:22" s="39" customFormat="1" ht="24" customHeight="1">
      <c r="A575" s="1860">
        <v>1</v>
      </c>
      <c r="B575" s="1860"/>
      <c r="C575" s="1860"/>
      <c r="D575" s="1860"/>
      <c r="E575" s="1839"/>
      <c r="F575" s="1844"/>
      <c r="G575" s="1643"/>
      <c r="H575" s="1601"/>
      <c r="I575" s="1765"/>
      <c r="J575" s="40" t="s">
        <v>80</v>
      </c>
      <c r="K575" s="91"/>
      <c r="L575" s="41">
        <f t="shared" ref="L575:U575" si="273">SUM(L576:L582)</f>
        <v>65580</v>
      </c>
      <c r="M575" s="41">
        <f t="shared" si="273"/>
        <v>66890</v>
      </c>
      <c r="N575" s="41">
        <f t="shared" si="273"/>
        <v>68230</v>
      </c>
      <c r="O575" s="41">
        <f t="shared" si="273"/>
        <v>69590</v>
      </c>
      <c r="P575" s="41">
        <f t="shared" si="273"/>
        <v>70980</v>
      </c>
      <c r="Q575" s="1504">
        <f t="shared" si="273"/>
        <v>2360880</v>
      </c>
      <c r="R575" s="1504">
        <f t="shared" si="273"/>
        <v>2408040</v>
      </c>
      <c r="S575" s="1504">
        <f t="shared" si="273"/>
        <v>2456280</v>
      </c>
      <c r="T575" s="1504">
        <f t="shared" si="273"/>
        <v>2505240</v>
      </c>
      <c r="U575" s="1504">
        <f t="shared" si="273"/>
        <v>2555280</v>
      </c>
      <c r="V575" s="1505">
        <f>SUM(Q575:U575)</f>
        <v>12285720</v>
      </c>
    </row>
    <row r="576" spans="1:22" s="39" customFormat="1" ht="24" customHeight="1">
      <c r="A576" s="1860">
        <v>1</v>
      </c>
      <c r="B576" s="1860"/>
      <c r="C576" s="1860"/>
      <c r="D576" s="1860"/>
      <c r="E576" s="1839"/>
      <c r="F576" s="1844"/>
      <c r="G576" s="1643"/>
      <c r="H576" s="1601"/>
      <c r="I576" s="1765"/>
      <c r="J576" s="40" t="s">
        <v>429</v>
      </c>
      <c r="K576" s="91"/>
      <c r="L576" s="37">
        <f>L574*1</f>
        <v>65580</v>
      </c>
      <c r="M576" s="37">
        <f t="shared" ref="M576:P576" si="274">M574*1</f>
        <v>66890</v>
      </c>
      <c r="N576" s="37">
        <f t="shared" si="274"/>
        <v>68230</v>
      </c>
      <c r="O576" s="37">
        <f t="shared" si="274"/>
        <v>69590</v>
      </c>
      <c r="P576" s="37">
        <f t="shared" si="274"/>
        <v>70980</v>
      </c>
      <c r="Q576" s="1504">
        <f>L576*$H579</f>
        <v>2360880</v>
      </c>
      <c r="R576" s="1504">
        <f>M576*$H579</f>
        <v>2408040</v>
      </c>
      <c r="S576" s="1504">
        <f>N576*$H579</f>
        <v>2456280</v>
      </c>
      <c r="T576" s="1504">
        <f>O576*$H579</f>
        <v>2505240</v>
      </c>
      <c r="U576" s="1504">
        <f>P576*$H579</f>
        <v>2555280</v>
      </c>
      <c r="V576" s="1505">
        <f>SUM(Q576:U576)</f>
        <v>12285720</v>
      </c>
    </row>
    <row r="577" spans="1:22" s="39" customFormat="1" ht="24" customHeight="1">
      <c r="A577" s="1860">
        <v>1</v>
      </c>
      <c r="B577" s="1860"/>
      <c r="C577" s="1860"/>
      <c r="D577" s="1860"/>
      <c r="E577" s="1839"/>
      <c r="F577" s="1844"/>
      <c r="G577" s="1643"/>
      <c r="H577" s="1601"/>
      <c r="I577" s="1765"/>
      <c r="J577" s="40" t="s">
        <v>133</v>
      </c>
      <c r="K577" s="91"/>
      <c r="L577" s="37">
        <v>0</v>
      </c>
      <c r="M577" s="37">
        <v>0</v>
      </c>
      <c r="N577" s="37">
        <v>0</v>
      </c>
      <c r="O577" s="37">
        <v>0</v>
      </c>
      <c r="P577" s="37">
        <v>0</v>
      </c>
      <c r="Q577" s="1504">
        <f>L577*$H$579</f>
        <v>0</v>
      </c>
      <c r="R577" s="1504">
        <f t="shared" ref="R577" si="275">M577*$H$579</f>
        <v>0</v>
      </c>
      <c r="S577" s="1504">
        <f t="shared" ref="S577" si="276">N577*$H$579</f>
        <v>0</v>
      </c>
      <c r="T577" s="1504">
        <f t="shared" ref="T577" si="277">O577*$H$579</f>
        <v>0</v>
      </c>
      <c r="U577" s="1504">
        <f t="shared" ref="U577" si="278">P577*$H$579</f>
        <v>0</v>
      </c>
      <c r="V577" s="1505">
        <f t="shared" ref="V577:V582" si="279">SUM(Q577:U577)</f>
        <v>0</v>
      </c>
    </row>
    <row r="578" spans="1:22" s="39" customFormat="1" ht="24" customHeight="1">
      <c r="A578" s="1860">
        <v>1</v>
      </c>
      <c r="B578" s="1860"/>
      <c r="C578" s="1860"/>
      <c r="D578" s="1860"/>
      <c r="E578" s="1839"/>
      <c r="F578" s="1844"/>
      <c r="G578" s="1643"/>
      <c r="H578" s="1601"/>
      <c r="I578" s="1765"/>
      <c r="J578" s="40" t="s">
        <v>81</v>
      </c>
      <c r="K578" s="91"/>
      <c r="L578" s="37">
        <v>0</v>
      </c>
      <c r="M578" s="37">
        <v>0</v>
      </c>
      <c r="N578" s="37">
        <v>0</v>
      </c>
      <c r="O578" s="37">
        <v>0</v>
      </c>
      <c r="P578" s="37">
        <v>0</v>
      </c>
      <c r="Q578" s="1504">
        <f t="shared" ref="Q578:Q582" si="280">L578*$H$579</f>
        <v>0</v>
      </c>
      <c r="R578" s="1504">
        <f t="shared" ref="R578:R582" si="281">M578*$H$579</f>
        <v>0</v>
      </c>
      <c r="S578" s="1504">
        <f t="shared" ref="S578:S582" si="282">N578*$H$579</f>
        <v>0</v>
      </c>
      <c r="T578" s="1504">
        <f t="shared" ref="T578:T582" si="283">O578*$H$579</f>
        <v>0</v>
      </c>
      <c r="U578" s="1504">
        <f t="shared" ref="U578:U582" si="284">P578*$H$579</f>
        <v>0</v>
      </c>
      <c r="V578" s="1505">
        <f t="shared" si="279"/>
        <v>0</v>
      </c>
    </row>
    <row r="579" spans="1:22" s="39" customFormat="1" ht="24" customHeight="1">
      <c r="A579" s="1860">
        <v>1</v>
      </c>
      <c r="B579" s="1860"/>
      <c r="C579" s="1860"/>
      <c r="D579" s="1860"/>
      <c r="E579" s="1839"/>
      <c r="F579" s="1844"/>
      <c r="G579" s="1643"/>
      <c r="H579" s="1595">
        <f>'Budget Assumption_Lab Comp2'!Q250</f>
        <v>36</v>
      </c>
      <c r="I579" s="1765"/>
      <c r="J579" s="40" t="s">
        <v>134</v>
      </c>
      <c r="K579" s="91"/>
      <c r="L579" s="37">
        <v>0</v>
      </c>
      <c r="M579" s="37">
        <v>0</v>
      </c>
      <c r="N579" s="37">
        <v>0</v>
      </c>
      <c r="O579" s="37">
        <v>0</v>
      </c>
      <c r="P579" s="37">
        <v>0</v>
      </c>
      <c r="Q579" s="1504">
        <f t="shared" si="280"/>
        <v>0</v>
      </c>
      <c r="R579" s="1504">
        <f t="shared" si="281"/>
        <v>0</v>
      </c>
      <c r="S579" s="1504">
        <f t="shared" si="282"/>
        <v>0</v>
      </c>
      <c r="T579" s="1504">
        <f t="shared" si="283"/>
        <v>0</v>
      </c>
      <c r="U579" s="1504">
        <f t="shared" si="284"/>
        <v>0</v>
      </c>
      <c r="V579" s="1505">
        <f t="shared" si="279"/>
        <v>0</v>
      </c>
    </row>
    <row r="580" spans="1:22" s="39" customFormat="1" ht="24" customHeight="1">
      <c r="A580" s="1860">
        <v>1</v>
      </c>
      <c r="B580" s="1860"/>
      <c r="C580" s="1860"/>
      <c r="D580" s="1860"/>
      <c r="E580" s="1839"/>
      <c r="F580" s="1844"/>
      <c r="G580" s="1643"/>
      <c r="H580" s="1596">
        <f>810*0.05</f>
        <v>40.5</v>
      </c>
      <c r="I580" s="1765"/>
      <c r="J580" s="40" t="s">
        <v>82</v>
      </c>
      <c r="K580" s="91"/>
      <c r="L580" s="37">
        <v>0</v>
      </c>
      <c r="M580" s="37">
        <v>0</v>
      </c>
      <c r="N580" s="37">
        <v>0</v>
      </c>
      <c r="O580" s="37">
        <v>0</v>
      </c>
      <c r="P580" s="37">
        <v>0</v>
      </c>
      <c r="Q580" s="1504">
        <f t="shared" si="280"/>
        <v>0</v>
      </c>
      <c r="R580" s="1504">
        <f t="shared" si="281"/>
        <v>0</v>
      </c>
      <c r="S580" s="1504">
        <f t="shared" si="282"/>
        <v>0</v>
      </c>
      <c r="T580" s="1504">
        <f t="shared" si="283"/>
        <v>0</v>
      </c>
      <c r="U580" s="1504">
        <f t="shared" si="284"/>
        <v>0</v>
      </c>
      <c r="V580" s="1505">
        <f t="shared" si="279"/>
        <v>0</v>
      </c>
    </row>
    <row r="581" spans="1:22" s="39" customFormat="1" ht="24" customHeight="1">
      <c r="A581" s="1860">
        <v>1</v>
      </c>
      <c r="B581" s="1860"/>
      <c r="C581" s="1860"/>
      <c r="D581" s="1860"/>
      <c r="E581" s="1839"/>
      <c r="F581" s="1844"/>
      <c r="G581" s="1643"/>
      <c r="H581" s="1596"/>
      <c r="I581" s="1765"/>
      <c r="J581" s="40" t="s">
        <v>90</v>
      </c>
      <c r="K581" s="91"/>
      <c r="L581" s="37">
        <v>0</v>
      </c>
      <c r="M581" s="37">
        <v>0</v>
      </c>
      <c r="N581" s="37">
        <v>0</v>
      </c>
      <c r="O581" s="37">
        <v>0</v>
      </c>
      <c r="P581" s="37">
        <v>0</v>
      </c>
      <c r="Q581" s="1504">
        <f t="shared" si="280"/>
        <v>0</v>
      </c>
      <c r="R581" s="1504">
        <f t="shared" si="281"/>
        <v>0</v>
      </c>
      <c r="S581" s="1504">
        <f t="shared" si="282"/>
        <v>0</v>
      </c>
      <c r="T581" s="1504">
        <f t="shared" si="283"/>
        <v>0</v>
      </c>
      <c r="U581" s="1504">
        <f t="shared" si="284"/>
        <v>0</v>
      </c>
      <c r="V581" s="1505">
        <f t="shared" si="279"/>
        <v>0</v>
      </c>
    </row>
    <row r="582" spans="1:22" s="39" customFormat="1" ht="24" customHeight="1">
      <c r="A582" s="1860">
        <v>1</v>
      </c>
      <c r="B582" s="1860"/>
      <c r="C582" s="1860"/>
      <c r="D582" s="1860"/>
      <c r="E582" s="1839"/>
      <c r="F582" s="1844"/>
      <c r="G582" s="1643"/>
      <c r="H582" s="1596"/>
      <c r="I582" s="1765"/>
      <c r="J582" s="40" t="s">
        <v>83</v>
      </c>
      <c r="K582" s="91"/>
      <c r="L582" s="37">
        <v>0</v>
      </c>
      <c r="M582" s="37">
        <v>0</v>
      </c>
      <c r="N582" s="37">
        <v>0</v>
      </c>
      <c r="O582" s="37">
        <v>0</v>
      </c>
      <c r="P582" s="37">
        <v>0</v>
      </c>
      <c r="Q582" s="1504">
        <f t="shared" si="280"/>
        <v>0</v>
      </c>
      <c r="R582" s="1504">
        <f t="shared" si="281"/>
        <v>0</v>
      </c>
      <c r="S582" s="1504">
        <f t="shared" si="282"/>
        <v>0</v>
      </c>
      <c r="T582" s="1504">
        <f t="shared" si="283"/>
        <v>0</v>
      </c>
      <c r="U582" s="1504">
        <f t="shared" si="284"/>
        <v>0</v>
      </c>
      <c r="V582" s="1505">
        <f t="shared" si="279"/>
        <v>0</v>
      </c>
    </row>
    <row r="583" spans="1:22" s="39" customFormat="1" ht="24" customHeight="1" thickBot="1">
      <c r="A583" s="1860">
        <v>1</v>
      </c>
      <c r="B583" s="1860"/>
      <c r="C583" s="1860"/>
      <c r="D583" s="1860"/>
      <c r="E583" s="1839"/>
      <c r="F583" s="1845"/>
      <c r="G583" s="1802"/>
      <c r="H583" s="1597"/>
      <c r="I583" s="1766"/>
      <c r="J583" s="80" t="s">
        <v>84</v>
      </c>
      <c r="K583" s="824"/>
      <c r="L583" s="814">
        <f t="shared" ref="L583:V583" si="285">L574-L575</f>
        <v>0</v>
      </c>
      <c r="M583" s="814">
        <f t="shared" si="285"/>
        <v>0</v>
      </c>
      <c r="N583" s="814">
        <f t="shared" si="285"/>
        <v>0</v>
      </c>
      <c r="O583" s="814">
        <f t="shared" si="285"/>
        <v>0</v>
      </c>
      <c r="P583" s="814">
        <f t="shared" si="285"/>
        <v>0</v>
      </c>
      <c r="Q583" s="1506">
        <f t="shared" si="285"/>
        <v>0</v>
      </c>
      <c r="R583" s="1506">
        <f t="shared" si="285"/>
        <v>0</v>
      </c>
      <c r="S583" s="1506">
        <f t="shared" si="285"/>
        <v>0</v>
      </c>
      <c r="T583" s="1506">
        <f t="shared" si="285"/>
        <v>0</v>
      </c>
      <c r="U583" s="1506">
        <f t="shared" si="285"/>
        <v>0</v>
      </c>
      <c r="V583" s="1507">
        <f t="shared" si="285"/>
        <v>0</v>
      </c>
    </row>
    <row r="584" spans="1:22" s="64" customFormat="1" ht="24" customHeight="1">
      <c r="A584" s="1860">
        <v>2</v>
      </c>
      <c r="B584" s="1860">
        <v>1</v>
      </c>
      <c r="C584" s="1860">
        <v>3</v>
      </c>
      <c r="D584" s="1860">
        <v>2</v>
      </c>
      <c r="E584" s="1839"/>
      <c r="F584" s="1846" t="str">
        <f>CONCATENATE(A584,".",B584,".",C584,".",D584,)</f>
        <v>2.1.3.2</v>
      </c>
      <c r="G584" s="2004" t="s">
        <v>1007</v>
      </c>
      <c r="H584" s="1679" t="s">
        <v>146</v>
      </c>
      <c r="I584" s="1789" t="s">
        <v>1008</v>
      </c>
      <c r="J584" s="262" t="s">
        <v>79</v>
      </c>
      <c r="K584" s="908"/>
      <c r="L584" s="909">
        <f>'Budget Assumption_Lab Comp2'!K251</f>
        <v>43290</v>
      </c>
      <c r="M584" s="909">
        <f>'Budget Assumption_Lab Comp2'!L251</f>
        <v>43720</v>
      </c>
      <c r="N584" s="909">
        <f>'Budget Assumption_Lab Comp2'!M251</f>
        <v>44160</v>
      </c>
      <c r="O584" s="909">
        <f>'Budget Assumption_Lab Comp2'!N251</f>
        <v>44600</v>
      </c>
      <c r="P584" s="909">
        <f>'Budget Assumption_Lab Comp2'!O251</f>
        <v>45050</v>
      </c>
      <c r="Q584" s="1508">
        <f>L584*$H$589</f>
        <v>562770</v>
      </c>
      <c r="R584" s="1508">
        <f t="shared" ref="R584:U584" si="286">M584*$H$589</f>
        <v>568360</v>
      </c>
      <c r="S584" s="1508">
        <f t="shared" si="286"/>
        <v>574080</v>
      </c>
      <c r="T584" s="1508">
        <f t="shared" si="286"/>
        <v>579800</v>
      </c>
      <c r="U584" s="1508">
        <f t="shared" si="286"/>
        <v>585650</v>
      </c>
      <c r="V584" s="1509">
        <f>SUM(Q584:U584)</f>
        <v>2870660</v>
      </c>
    </row>
    <row r="585" spans="1:22" s="39" customFormat="1" ht="24" customHeight="1" thickBot="1">
      <c r="A585" s="1860">
        <v>1</v>
      </c>
      <c r="B585" s="1860"/>
      <c r="C585" s="1860"/>
      <c r="D585" s="1860"/>
      <c r="E585" s="1839"/>
      <c r="F585" s="1844"/>
      <c r="G585" s="1643"/>
      <c r="H585" s="1601"/>
      <c r="I585" s="1765"/>
      <c r="J585" s="40" t="s">
        <v>80</v>
      </c>
      <c r="K585" s="91"/>
      <c r="L585" s="41">
        <f t="shared" ref="L585:U585" si="287">SUM(L586:L592)</f>
        <v>43290</v>
      </c>
      <c r="M585" s="41">
        <f t="shared" si="287"/>
        <v>43720</v>
      </c>
      <c r="N585" s="41">
        <f t="shared" si="287"/>
        <v>44160</v>
      </c>
      <c r="O585" s="41">
        <f t="shared" si="287"/>
        <v>44600</v>
      </c>
      <c r="P585" s="41">
        <f t="shared" si="287"/>
        <v>45050</v>
      </c>
      <c r="Q585" s="1510">
        <f t="shared" si="287"/>
        <v>562770</v>
      </c>
      <c r="R585" s="1510">
        <f t="shared" si="287"/>
        <v>568360</v>
      </c>
      <c r="S585" s="1510">
        <f t="shared" si="287"/>
        <v>574080</v>
      </c>
      <c r="T585" s="1510">
        <f t="shared" si="287"/>
        <v>579800</v>
      </c>
      <c r="U585" s="1510">
        <f t="shared" si="287"/>
        <v>585650</v>
      </c>
      <c r="V585" s="1511">
        <f>SUM(Q585:U585)</f>
        <v>2870660</v>
      </c>
    </row>
    <row r="586" spans="1:22" s="39" customFormat="1" ht="24" customHeight="1" thickBot="1">
      <c r="A586" s="1860">
        <v>1</v>
      </c>
      <c r="B586" s="1860"/>
      <c r="C586" s="1860"/>
      <c r="D586" s="1860"/>
      <c r="E586" s="1839"/>
      <c r="F586" s="1844"/>
      <c r="G586" s="1643"/>
      <c r="H586" s="1601"/>
      <c r="I586" s="1765"/>
      <c r="J586" s="40" t="s">
        <v>429</v>
      </c>
      <c r="K586" s="91"/>
      <c r="L586" s="41">
        <f>L584*1</f>
        <v>43290</v>
      </c>
      <c r="M586" s="41">
        <f t="shared" ref="M586:P586" si="288">M584*1</f>
        <v>43720</v>
      </c>
      <c r="N586" s="41">
        <f t="shared" si="288"/>
        <v>44160</v>
      </c>
      <c r="O586" s="41">
        <f t="shared" si="288"/>
        <v>44600</v>
      </c>
      <c r="P586" s="41">
        <f t="shared" si="288"/>
        <v>45050</v>
      </c>
      <c r="Q586" s="1508">
        <f>L586*$H$589</f>
        <v>562770</v>
      </c>
      <c r="R586" s="1508">
        <f t="shared" ref="R586" si="289">M586*$H$589</f>
        <v>568360</v>
      </c>
      <c r="S586" s="1508">
        <f t="shared" ref="S586" si="290">N586*$H$589</f>
        <v>574080</v>
      </c>
      <c r="T586" s="1508">
        <f t="shared" ref="T586" si="291">O586*$H$589</f>
        <v>579800</v>
      </c>
      <c r="U586" s="1508">
        <f t="shared" ref="U586" si="292">P586*$H$589</f>
        <v>585650</v>
      </c>
      <c r="V586" s="1511">
        <f t="shared" ref="V586:V592" si="293">SUM(Q586:U586)</f>
        <v>2870660</v>
      </c>
    </row>
    <row r="587" spans="1:22" s="39" customFormat="1" ht="24" customHeight="1" thickBot="1">
      <c r="A587" s="1860">
        <v>1</v>
      </c>
      <c r="B587" s="1860"/>
      <c r="C587" s="1860"/>
      <c r="D587" s="1860"/>
      <c r="E587" s="1839"/>
      <c r="F587" s="1844"/>
      <c r="G587" s="1643"/>
      <c r="H587" s="1601"/>
      <c r="I587" s="1765"/>
      <c r="J587" s="40" t="s">
        <v>133</v>
      </c>
      <c r="K587" s="91"/>
      <c r="L587" s="41">
        <v>0</v>
      </c>
      <c r="M587" s="41">
        <v>0</v>
      </c>
      <c r="N587" s="41">
        <v>0</v>
      </c>
      <c r="O587" s="41">
        <v>0</v>
      </c>
      <c r="P587" s="41">
        <v>0</v>
      </c>
      <c r="Q587" s="1508">
        <f t="shared" ref="Q587:Q592" si="294">L587*$H$589</f>
        <v>0</v>
      </c>
      <c r="R587" s="1508">
        <f t="shared" ref="R587:R592" si="295">M587*$H$589</f>
        <v>0</v>
      </c>
      <c r="S587" s="1508">
        <f t="shared" ref="S587:S592" si="296">N587*$H$589</f>
        <v>0</v>
      </c>
      <c r="T587" s="1508">
        <f t="shared" ref="T587:T592" si="297">O587*$H$589</f>
        <v>0</v>
      </c>
      <c r="U587" s="1508">
        <f t="shared" ref="U587:U592" si="298">P587*$H$589</f>
        <v>0</v>
      </c>
      <c r="V587" s="1511">
        <f t="shared" si="293"/>
        <v>0</v>
      </c>
    </row>
    <row r="588" spans="1:22" s="39" customFormat="1" ht="24" customHeight="1" thickBot="1">
      <c r="A588" s="1860">
        <v>1</v>
      </c>
      <c r="B588" s="1860"/>
      <c r="C588" s="1860"/>
      <c r="D588" s="1860"/>
      <c r="E588" s="1839"/>
      <c r="F588" s="1844"/>
      <c r="G588" s="1643"/>
      <c r="H588" s="1601"/>
      <c r="I588" s="1765"/>
      <c r="J588" s="40" t="s">
        <v>81</v>
      </c>
      <c r="K588" s="91"/>
      <c r="L588" s="41">
        <v>0</v>
      </c>
      <c r="M588" s="41">
        <v>0</v>
      </c>
      <c r="N588" s="41">
        <v>0</v>
      </c>
      <c r="O588" s="41">
        <v>0</v>
      </c>
      <c r="P588" s="41">
        <v>0</v>
      </c>
      <c r="Q588" s="1508">
        <f t="shared" si="294"/>
        <v>0</v>
      </c>
      <c r="R588" s="1508">
        <f t="shared" si="295"/>
        <v>0</v>
      </c>
      <c r="S588" s="1508">
        <f t="shared" si="296"/>
        <v>0</v>
      </c>
      <c r="T588" s="1508">
        <f t="shared" si="297"/>
        <v>0</v>
      </c>
      <c r="U588" s="1508">
        <f t="shared" si="298"/>
        <v>0</v>
      </c>
      <c r="V588" s="1511">
        <f t="shared" si="293"/>
        <v>0</v>
      </c>
    </row>
    <row r="589" spans="1:22" s="39" customFormat="1" ht="24" customHeight="1" thickBot="1">
      <c r="A589" s="1860">
        <v>1</v>
      </c>
      <c r="B589" s="1860"/>
      <c r="C589" s="1860"/>
      <c r="D589" s="1860"/>
      <c r="E589" s="1839"/>
      <c r="F589" s="1844"/>
      <c r="G589" s="1643"/>
      <c r="H589" s="1595">
        <f>'Budget Assumption_Lab Comp2'!Q251</f>
        <v>13</v>
      </c>
      <c r="I589" s="1765"/>
      <c r="J589" s="40" t="s">
        <v>134</v>
      </c>
      <c r="K589" s="91"/>
      <c r="L589" s="41">
        <f>L580*30%</f>
        <v>0</v>
      </c>
      <c r="M589" s="41">
        <f>M580*30%</f>
        <v>0</v>
      </c>
      <c r="N589" s="41">
        <f>N580*30%</f>
        <v>0</v>
      </c>
      <c r="O589" s="41">
        <f>O580*30%</f>
        <v>0</v>
      </c>
      <c r="P589" s="41">
        <f>P580*30%</f>
        <v>0</v>
      </c>
      <c r="Q589" s="1508">
        <f t="shared" si="294"/>
        <v>0</v>
      </c>
      <c r="R589" s="1508">
        <f t="shared" si="295"/>
        <v>0</v>
      </c>
      <c r="S589" s="1508">
        <f t="shared" si="296"/>
        <v>0</v>
      </c>
      <c r="T589" s="1508">
        <f t="shared" si="297"/>
        <v>0</v>
      </c>
      <c r="U589" s="1508">
        <f t="shared" si="298"/>
        <v>0</v>
      </c>
      <c r="V589" s="1511">
        <f t="shared" si="293"/>
        <v>0</v>
      </c>
    </row>
    <row r="590" spans="1:22" s="39" customFormat="1" ht="24" customHeight="1" thickBot="1">
      <c r="A590" s="1860">
        <v>1</v>
      </c>
      <c r="B590" s="1860"/>
      <c r="C590" s="1860"/>
      <c r="D590" s="1860"/>
      <c r="E590" s="1839"/>
      <c r="F590" s="1844"/>
      <c r="G590" s="1643"/>
      <c r="H590" s="1596">
        <f>810*0.05</f>
        <v>40.5</v>
      </c>
      <c r="I590" s="1765"/>
      <c r="J590" s="40" t="s">
        <v>82</v>
      </c>
      <c r="K590" s="91"/>
      <c r="L590" s="41">
        <v>0</v>
      </c>
      <c r="M590" s="41">
        <v>0</v>
      </c>
      <c r="N590" s="41">
        <v>0</v>
      </c>
      <c r="O590" s="41">
        <v>0</v>
      </c>
      <c r="P590" s="41">
        <v>0</v>
      </c>
      <c r="Q590" s="1508">
        <f t="shared" si="294"/>
        <v>0</v>
      </c>
      <c r="R590" s="1508">
        <f t="shared" si="295"/>
        <v>0</v>
      </c>
      <c r="S590" s="1508">
        <f t="shared" si="296"/>
        <v>0</v>
      </c>
      <c r="T590" s="1508">
        <f t="shared" si="297"/>
        <v>0</v>
      </c>
      <c r="U590" s="1508">
        <f t="shared" si="298"/>
        <v>0</v>
      </c>
      <c r="V590" s="1511">
        <f t="shared" si="293"/>
        <v>0</v>
      </c>
    </row>
    <row r="591" spans="1:22" s="39" customFormat="1" ht="24" customHeight="1" thickBot="1">
      <c r="A591" s="1860">
        <v>1</v>
      </c>
      <c r="B591" s="1860"/>
      <c r="C591" s="1860"/>
      <c r="D591" s="1860"/>
      <c r="E591" s="1839"/>
      <c r="F591" s="1844"/>
      <c r="G591" s="1643"/>
      <c r="H591" s="1596"/>
      <c r="I591" s="1765"/>
      <c r="J591" s="40" t="s">
        <v>90</v>
      </c>
      <c r="K591" s="91"/>
      <c r="L591" s="41">
        <v>0</v>
      </c>
      <c r="M591" s="41">
        <v>0</v>
      </c>
      <c r="N591" s="41">
        <v>0</v>
      </c>
      <c r="O591" s="41">
        <v>0</v>
      </c>
      <c r="P591" s="41">
        <v>0</v>
      </c>
      <c r="Q591" s="1508">
        <f t="shared" si="294"/>
        <v>0</v>
      </c>
      <c r="R591" s="1508">
        <f t="shared" si="295"/>
        <v>0</v>
      </c>
      <c r="S591" s="1508">
        <f t="shared" si="296"/>
        <v>0</v>
      </c>
      <c r="T591" s="1508">
        <f t="shared" si="297"/>
        <v>0</v>
      </c>
      <c r="U591" s="1508">
        <f t="shared" si="298"/>
        <v>0</v>
      </c>
      <c r="V591" s="1511">
        <f t="shared" si="293"/>
        <v>0</v>
      </c>
    </row>
    <row r="592" spans="1:22" s="39" customFormat="1" ht="24" customHeight="1">
      <c r="A592" s="1860">
        <v>1</v>
      </c>
      <c r="B592" s="1860"/>
      <c r="C592" s="1860"/>
      <c r="D592" s="1860"/>
      <c r="E592" s="1839"/>
      <c r="F592" s="1844"/>
      <c r="G592" s="1643"/>
      <c r="H592" s="1596"/>
      <c r="I592" s="1765"/>
      <c r="J592" s="40" t="s">
        <v>83</v>
      </c>
      <c r="K592" s="91"/>
      <c r="L592" s="41">
        <v>0</v>
      </c>
      <c r="M592" s="41">
        <v>0</v>
      </c>
      <c r="N592" s="41">
        <v>0</v>
      </c>
      <c r="O592" s="41">
        <v>0</v>
      </c>
      <c r="P592" s="41">
        <v>0</v>
      </c>
      <c r="Q592" s="1508">
        <f t="shared" si="294"/>
        <v>0</v>
      </c>
      <c r="R592" s="1508">
        <f t="shared" si="295"/>
        <v>0</v>
      </c>
      <c r="S592" s="1508">
        <f t="shared" si="296"/>
        <v>0</v>
      </c>
      <c r="T592" s="1508">
        <f t="shared" si="297"/>
        <v>0</v>
      </c>
      <c r="U592" s="1508">
        <f t="shared" si="298"/>
        <v>0</v>
      </c>
      <c r="V592" s="1511">
        <f t="shared" si="293"/>
        <v>0</v>
      </c>
    </row>
    <row r="593" spans="1:22" s="39" customFormat="1" ht="24" customHeight="1" thickBot="1">
      <c r="A593" s="1860">
        <v>1</v>
      </c>
      <c r="B593" s="1860"/>
      <c r="C593" s="1860"/>
      <c r="D593" s="1860"/>
      <c r="E593" s="1839"/>
      <c r="F593" s="1845"/>
      <c r="G593" s="1802"/>
      <c r="H593" s="1597"/>
      <c r="I593" s="1766"/>
      <c r="J593" s="80" t="s">
        <v>84</v>
      </c>
      <c r="K593" s="824"/>
      <c r="L593" s="814">
        <f t="shared" ref="L593:V593" si="299">L584-L585</f>
        <v>0</v>
      </c>
      <c r="M593" s="814">
        <f t="shared" si="299"/>
        <v>0</v>
      </c>
      <c r="N593" s="814">
        <f t="shared" si="299"/>
        <v>0</v>
      </c>
      <c r="O593" s="814">
        <f t="shared" si="299"/>
        <v>0</v>
      </c>
      <c r="P593" s="814">
        <f t="shared" si="299"/>
        <v>0</v>
      </c>
      <c r="Q593" s="1506">
        <f t="shared" si="299"/>
        <v>0</v>
      </c>
      <c r="R593" s="1506">
        <f t="shared" si="299"/>
        <v>0</v>
      </c>
      <c r="S593" s="1506">
        <f t="shared" si="299"/>
        <v>0</v>
      </c>
      <c r="T593" s="1506">
        <f t="shared" si="299"/>
        <v>0</v>
      </c>
      <c r="U593" s="1506">
        <f t="shared" si="299"/>
        <v>0</v>
      </c>
      <c r="V593" s="1507">
        <f t="shared" si="299"/>
        <v>0</v>
      </c>
    </row>
    <row r="594" spans="1:22" s="64" customFormat="1" ht="24" customHeight="1">
      <c r="A594" s="1860">
        <v>2</v>
      </c>
      <c r="B594" s="1860">
        <v>1</v>
      </c>
      <c r="C594" s="1860">
        <v>3</v>
      </c>
      <c r="D594" s="1860">
        <v>3</v>
      </c>
      <c r="E594" s="1839"/>
      <c r="F594" s="1846" t="str">
        <f>CONCATENATE(A594,".",B594,".",C594,".",D594,)</f>
        <v>2.1.3.3</v>
      </c>
      <c r="G594" s="2004" t="s">
        <v>1009</v>
      </c>
      <c r="H594" s="1679" t="s">
        <v>146</v>
      </c>
      <c r="I594" s="1789" t="s">
        <v>1010</v>
      </c>
      <c r="J594" s="262" t="s">
        <v>79</v>
      </c>
      <c r="K594" s="908"/>
      <c r="L594" s="909">
        <f>'Budget Assumption_Lab Comp2'!K252</f>
        <v>634730</v>
      </c>
      <c r="M594" s="909">
        <f>'Budget Assumption_Lab Comp2'!L252</f>
        <v>641080</v>
      </c>
      <c r="N594" s="909">
        <f>'Budget Assumption_Lab Comp2'!M252</f>
        <v>647490</v>
      </c>
      <c r="O594" s="909">
        <f>'Budget Assumption_Lab Comp2'!N252</f>
        <v>653970</v>
      </c>
      <c r="P594" s="909">
        <f>'Budget Assumption_Lab Comp2'!O252</f>
        <v>660500</v>
      </c>
      <c r="Q594" s="1508">
        <f>L594*$H$599</f>
        <v>952095</v>
      </c>
      <c r="R594" s="1508">
        <f t="shared" ref="R594:U594" si="300">M594*$H$599</f>
        <v>961620</v>
      </c>
      <c r="S594" s="1508">
        <f t="shared" si="300"/>
        <v>971235</v>
      </c>
      <c r="T594" s="1508">
        <f t="shared" si="300"/>
        <v>980955</v>
      </c>
      <c r="U594" s="1508">
        <f t="shared" si="300"/>
        <v>990750</v>
      </c>
      <c r="V594" s="1509">
        <f>SUM(Q594:U594)</f>
        <v>4856655</v>
      </c>
    </row>
    <row r="595" spans="1:22" s="39" customFormat="1" ht="24" customHeight="1" thickBot="1">
      <c r="A595" s="1860">
        <v>1</v>
      </c>
      <c r="B595" s="1860"/>
      <c r="C595" s="1860"/>
      <c r="D595" s="1860"/>
      <c r="E595" s="1839"/>
      <c r="F595" s="1844"/>
      <c r="G595" s="1643"/>
      <c r="H595" s="1601"/>
      <c r="I595" s="1765"/>
      <c r="J595" s="40" t="s">
        <v>80</v>
      </c>
      <c r="K595" s="91"/>
      <c r="L595" s="41">
        <f t="shared" ref="L595:U595" si="301">SUM(L596:L602)</f>
        <v>634730</v>
      </c>
      <c r="M595" s="41">
        <f t="shared" si="301"/>
        <v>641080</v>
      </c>
      <c r="N595" s="41">
        <f t="shared" si="301"/>
        <v>647490</v>
      </c>
      <c r="O595" s="41">
        <f t="shared" si="301"/>
        <v>653970</v>
      </c>
      <c r="P595" s="41">
        <f t="shared" si="301"/>
        <v>660500</v>
      </c>
      <c r="Q595" s="1510">
        <f t="shared" si="301"/>
        <v>952095</v>
      </c>
      <c r="R595" s="1510">
        <f t="shared" si="301"/>
        <v>961620</v>
      </c>
      <c r="S595" s="1510">
        <f t="shared" si="301"/>
        <v>971235</v>
      </c>
      <c r="T595" s="1510">
        <f t="shared" si="301"/>
        <v>980955</v>
      </c>
      <c r="U595" s="1510">
        <f t="shared" si="301"/>
        <v>990750</v>
      </c>
      <c r="V595" s="1511">
        <f>SUM(Q595:U595)</f>
        <v>4856655</v>
      </c>
    </row>
    <row r="596" spans="1:22" s="39" customFormat="1" ht="24" customHeight="1" thickBot="1">
      <c r="A596" s="1860">
        <v>1</v>
      </c>
      <c r="B596" s="1860"/>
      <c r="C596" s="1860"/>
      <c r="D596" s="1860"/>
      <c r="E596" s="1839"/>
      <c r="F596" s="1844"/>
      <c r="G596" s="1643"/>
      <c r="H596" s="1601"/>
      <c r="I596" s="1765"/>
      <c r="J596" s="40" t="s">
        <v>429</v>
      </c>
      <c r="K596" s="91"/>
      <c r="L596" s="41">
        <f>L594*1</f>
        <v>634730</v>
      </c>
      <c r="M596" s="41">
        <f t="shared" ref="M596:P596" si="302">M594*1</f>
        <v>641080</v>
      </c>
      <c r="N596" s="41">
        <f t="shared" si="302"/>
        <v>647490</v>
      </c>
      <c r="O596" s="41">
        <f t="shared" si="302"/>
        <v>653970</v>
      </c>
      <c r="P596" s="41">
        <f t="shared" si="302"/>
        <v>660500</v>
      </c>
      <c r="Q596" s="1508">
        <f>L596*$H$599</f>
        <v>952095</v>
      </c>
      <c r="R596" s="1508">
        <f t="shared" ref="R596" si="303">M596*$H$599</f>
        <v>961620</v>
      </c>
      <c r="S596" s="1508">
        <f t="shared" ref="S596" si="304">N596*$H$599</f>
        <v>971235</v>
      </c>
      <c r="T596" s="1508">
        <f t="shared" ref="T596" si="305">O596*$H$599</f>
        <v>980955</v>
      </c>
      <c r="U596" s="1508">
        <f t="shared" ref="U596" si="306">P596*$H$599</f>
        <v>990750</v>
      </c>
      <c r="V596" s="1511">
        <f t="shared" ref="V596:V602" si="307">SUM(Q596:U596)</f>
        <v>4856655</v>
      </c>
    </row>
    <row r="597" spans="1:22" s="39" customFormat="1" ht="24" customHeight="1" thickBot="1">
      <c r="A597" s="1860">
        <v>1</v>
      </c>
      <c r="B597" s="1860"/>
      <c r="C597" s="1860"/>
      <c r="D597" s="1860"/>
      <c r="E597" s="1839"/>
      <c r="F597" s="1844"/>
      <c r="G597" s="1643"/>
      <c r="H597" s="1601"/>
      <c r="I597" s="1765"/>
      <c r="J597" s="40" t="s">
        <v>133</v>
      </c>
      <c r="K597" s="91"/>
      <c r="L597" s="41">
        <v>0</v>
      </c>
      <c r="M597" s="41">
        <v>0</v>
      </c>
      <c r="N597" s="41">
        <v>0</v>
      </c>
      <c r="O597" s="41">
        <v>0</v>
      </c>
      <c r="P597" s="41">
        <v>0</v>
      </c>
      <c r="Q597" s="1508">
        <f t="shared" ref="Q597:Q602" si="308">L597*$H$599</f>
        <v>0</v>
      </c>
      <c r="R597" s="1508">
        <f t="shared" ref="R597:R602" si="309">M597*$H$599</f>
        <v>0</v>
      </c>
      <c r="S597" s="1508">
        <f t="shared" ref="S597:S602" si="310">N597*$H$599</f>
        <v>0</v>
      </c>
      <c r="T597" s="1508">
        <f t="shared" ref="T597:T602" si="311">O597*$H$599</f>
        <v>0</v>
      </c>
      <c r="U597" s="1508">
        <f t="shared" ref="U597:U602" si="312">P597*$H$599</f>
        <v>0</v>
      </c>
      <c r="V597" s="1511">
        <f t="shared" si="307"/>
        <v>0</v>
      </c>
    </row>
    <row r="598" spans="1:22" s="39" customFormat="1" ht="24" customHeight="1" thickBot="1">
      <c r="A598" s="1860">
        <v>1</v>
      </c>
      <c r="B598" s="1860"/>
      <c r="C598" s="1860"/>
      <c r="D598" s="1860"/>
      <c r="E598" s="1839"/>
      <c r="F598" s="1844"/>
      <c r="G598" s="1643"/>
      <c r="H598" s="1601"/>
      <c r="I598" s="1765"/>
      <c r="J598" s="40" t="s">
        <v>81</v>
      </c>
      <c r="K598" s="91"/>
      <c r="L598" s="41">
        <v>0</v>
      </c>
      <c r="M598" s="41">
        <v>0</v>
      </c>
      <c r="N598" s="41">
        <v>0</v>
      </c>
      <c r="O598" s="41">
        <v>0</v>
      </c>
      <c r="P598" s="41">
        <v>0</v>
      </c>
      <c r="Q598" s="1508">
        <f t="shared" si="308"/>
        <v>0</v>
      </c>
      <c r="R598" s="1508">
        <f t="shared" si="309"/>
        <v>0</v>
      </c>
      <c r="S598" s="1508">
        <f t="shared" si="310"/>
        <v>0</v>
      </c>
      <c r="T598" s="1508">
        <f t="shared" si="311"/>
        <v>0</v>
      </c>
      <c r="U598" s="1508">
        <f t="shared" si="312"/>
        <v>0</v>
      </c>
      <c r="V598" s="1511">
        <f t="shared" si="307"/>
        <v>0</v>
      </c>
    </row>
    <row r="599" spans="1:22" s="39" customFormat="1" ht="24" customHeight="1" thickBot="1">
      <c r="A599" s="1860">
        <v>1</v>
      </c>
      <c r="B599" s="1860"/>
      <c r="C599" s="1860"/>
      <c r="D599" s="1860"/>
      <c r="E599" s="1839"/>
      <c r="F599" s="1844"/>
      <c r="G599" s="1643"/>
      <c r="H599" s="1595">
        <f>'Budget Assumption_Lab Comp2'!Q252</f>
        <v>1.5</v>
      </c>
      <c r="I599" s="1765"/>
      <c r="J599" s="40" t="s">
        <v>134</v>
      </c>
      <c r="K599" s="91"/>
      <c r="L599" s="41">
        <f>L590*30%</f>
        <v>0</v>
      </c>
      <c r="M599" s="41">
        <f>M590*30%</f>
        <v>0</v>
      </c>
      <c r="N599" s="41">
        <f>N590*30%</f>
        <v>0</v>
      </c>
      <c r="O599" s="41">
        <f>O590*30%</f>
        <v>0</v>
      </c>
      <c r="P599" s="41">
        <f>P590*30%</f>
        <v>0</v>
      </c>
      <c r="Q599" s="1508">
        <f t="shared" si="308"/>
        <v>0</v>
      </c>
      <c r="R599" s="1508">
        <f t="shared" si="309"/>
        <v>0</v>
      </c>
      <c r="S599" s="1508">
        <f t="shared" si="310"/>
        <v>0</v>
      </c>
      <c r="T599" s="1508">
        <f t="shared" si="311"/>
        <v>0</v>
      </c>
      <c r="U599" s="1508">
        <f t="shared" si="312"/>
        <v>0</v>
      </c>
      <c r="V599" s="1511">
        <f t="shared" si="307"/>
        <v>0</v>
      </c>
    </row>
    <row r="600" spans="1:22" s="39" customFormat="1" ht="24" customHeight="1" thickBot="1">
      <c r="A600" s="1860">
        <v>1</v>
      </c>
      <c r="B600" s="1860"/>
      <c r="C600" s="1860"/>
      <c r="D600" s="1860"/>
      <c r="E600" s="1839"/>
      <c r="F600" s="1844"/>
      <c r="G600" s="1643"/>
      <c r="H600" s="1596">
        <f>810*0.05</f>
        <v>40.5</v>
      </c>
      <c r="I600" s="1765"/>
      <c r="J600" s="40" t="s">
        <v>82</v>
      </c>
      <c r="K600" s="91"/>
      <c r="L600" s="41">
        <v>0</v>
      </c>
      <c r="M600" s="41">
        <v>0</v>
      </c>
      <c r="N600" s="41">
        <v>0</v>
      </c>
      <c r="O600" s="41">
        <v>0</v>
      </c>
      <c r="P600" s="41">
        <v>0</v>
      </c>
      <c r="Q600" s="1508">
        <f t="shared" si="308"/>
        <v>0</v>
      </c>
      <c r="R600" s="1508">
        <f t="shared" si="309"/>
        <v>0</v>
      </c>
      <c r="S600" s="1508">
        <f t="shared" si="310"/>
        <v>0</v>
      </c>
      <c r="T600" s="1508">
        <f t="shared" si="311"/>
        <v>0</v>
      </c>
      <c r="U600" s="1508">
        <f t="shared" si="312"/>
        <v>0</v>
      </c>
      <c r="V600" s="1511">
        <f t="shared" si="307"/>
        <v>0</v>
      </c>
    </row>
    <row r="601" spans="1:22" s="39" customFormat="1" ht="24" customHeight="1" thickBot="1">
      <c r="A601" s="1860">
        <v>1</v>
      </c>
      <c r="B601" s="1860"/>
      <c r="C601" s="1860"/>
      <c r="D601" s="1860"/>
      <c r="E601" s="1839"/>
      <c r="F601" s="1844"/>
      <c r="G601" s="1643"/>
      <c r="H601" s="1596"/>
      <c r="I601" s="1765"/>
      <c r="J601" s="40" t="s">
        <v>90</v>
      </c>
      <c r="K601" s="91"/>
      <c r="L601" s="41">
        <v>0</v>
      </c>
      <c r="M601" s="41">
        <v>0</v>
      </c>
      <c r="N601" s="41">
        <v>0</v>
      </c>
      <c r="O601" s="41">
        <v>0</v>
      </c>
      <c r="P601" s="41">
        <v>0</v>
      </c>
      <c r="Q601" s="1508">
        <f t="shared" si="308"/>
        <v>0</v>
      </c>
      <c r="R601" s="1508">
        <f t="shared" si="309"/>
        <v>0</v>
      </c>
      <c r="S601" s="1508">
        <f t="shared" si="310"/>
        <v>0</v>
      </c>
      <c r="T601" s="1508">
        <f t="shared" si="311"/>
        <v>0</v>
      </c>
      <c r="U601" s="1508">
        <f t="shared" si="312"/>
        <v>0</v>
      </c>
      <c r="V601" s="1511">
        <f t="shared" si="307"/>
        <v>0</v>
      </c>
    </row>
    <row r="602" spans="1:22" s="39" customFormat="1" ht="24" customHeight="1">
      <c r="A602" s="1860">
        <v>1</v>
      </c>
      <c r="B602" s="1860"/>
      <c r="C602" s="1860"/>
      <c r="D602" s="1860"/>
      <c r="E602" s="1839"/>
      <c r="F602" s="1844"/>
      <c r="G602" s="1643"/>
      <c r="H602" s="1596"/>
      <c r="I602" s="1765"/>
      <c r="J602" s="40" t="s">
        <v>83</v>
      </c>
      <c r="K602" s="91"/>
      <c r="L602" s="41">
        <v>0</v>
      </c>
      <c r="M602" s="41">
        <v>0</v>
      </c>
      <c r="N602" s="41">
        <v>0</v>
      </c>
      <c r="O602" s="41">
        <v>0</v>
      </c>
      <c r="P602" s="41">
        <v>0</v>
      </c>
      <c r="Q602" s="1508">
        <f t="shared" si="308"/>
        <v>0</v>
      </c>
      <c r="R602" s="1508">
        <f t="shared" si="309"/>
        <v>0</v>
      </c>
      <c r="S602" s="1508">
        <f t="shared" si="310"/>
        <v>0</v>
      </c>
      <c r="T602" s="1508">
        <f t="shared" si="311"/>
        <v>0</v>
      </c>
      <c r="U602" s="1508">
        <f t="shared" si="312"/>
        <v>0</v>
      </c>
      <c r="V602" s="1511">
        <f t="shared" si="307"/>
        <v>0</v>
      </c>
    </row>
    <row r="603" spans="1:22" s="39" customFormat="1" ht="24" customHeight="1" thickBot="1">
      <c r="A603" s="1860">
        <v>1</v>
      </c>
      <c r="B603" s="1860"/>
      <c r="C603" s="1860"/>
      <c r="D603" s="1860"/>
      <c r="E603" s="1839"/>
      <c r="F603" s="1845"/>
      <c r="G603" s="1802"/>
      <c r="H603" s="1597"/>
      <c r="I603" s="1766"/>
      <c r="J603" s="80" t="s">
        <v>84</v>
      </c>
      <c r="K603" s="824"/>
      <c r="L603" s="814">
        <f t="shared" ref="L603:V603" si="313">L594-L595</f>
        <v>0</v>
      </c>
      <c r="M603" s="814">
        <f t="shared" si="313"/>
        <v>0</v>
      </c>
      <c r="N603" s="814">
        <f t="shared" si="313"/>
        <v>0</v>
      </c>
      <c r="O603" s="814">
        <f t="shared" si="313"/>
        <v>0</v>
      </c>
      <c r="P603" s="814">
        <f t="shared" si="313"/>
        <v>0</v>
      </c>
      <c r="Q603" s="1506">
        <f t="shared" si="313"/>
        <v>0</v>
      </c>
      <c r="R603" s="1506">
        <f t="shared" si="313"/>
        <v>0</v>
      </c>
      <c r="S603" s="1506">
        <f t="shared" si="313"/>
        <v>0</v>
      </c>
      <c r="T603" s="1506">
        <f t="shared" si="313"/>
        <v>0</v>
      </c>
      <c r="U603" s="1506">
        <f t="shared" si="313"/>
        <v>0</v>
      </c>
      <c r="V603" s="1507">
        <f t="shared" si="313"/>
        <v>0</v>
      </c>
    </row>
    <row r="604" spans="1:22" s="64" customFormat="1" ht="24" customHeight="1">
      <c r="A604" s="1860">
        <v>2</v>
      </c>
      <c r="B604" s="1860">
        <v>1</v>
      </c>
      <c r="C604" s="1860">
        <v>3</v>
      </c>
      <c r="D604" s="1860">
        <v>4</v>
      </c>
      <c r="E604" s="1839"/>
      <c r="F604" s="1846" t="str">
        <f>CONCATENATE(A604,".",B604,".",C604,".",D604,)</f>
        <v>2.1.3.4</v>
      </c>
      <c r="G604" s="2004" t="s">
        <v>1014</v>
      </c>
      <c r="H604" s="1679" t="s">
        <v>1089</v>
      </c>
      <c r="I604" s="1789" t="s">
        <v>1008</v>
      </c>
      <c r="J604" s="262" t="s">
        <v>79</v>
      </c>
      <c r="K604" s="908"/>
      <c r="L604" s="909">
        <f>'Budget Assumption_Lab Comp2'!$K$256</f>
        <v>23290</v>
      </c>
      <c r="M604" s="909">
        <f>'Budget Assumption_Lab Comp2'!$K$256</f>
        <v>23290</v>
      </c>
      <c r="N604" s="909">
        <f>'Budget Assumption_Lab Comp2'!$K$256</f>
        <v>23290</v>
      </c>
      <c r="O604" s="909">
        <f>'Budget Assumption_Lab Comp2'!$K$256</f>
        <v>23290</v>
      </c>
      <c r="P604" s="909">
        <f>'Budget Assumption_Lab Comp2'!$K$256</f>
        <v>23290</v>
      </c>
      <c r="Q604" s="1508">
        <f>L604*$H$609</f>
        <v>978180</v>
      </c>
      <c r="R604" s="1508">
        <f t="shared" ref="R604:U604" si="314">M604*$H$609</f>
        <v>978180</v>
      </c>
      <c r="S604" s="1508">
        <f t="shared" si="314"/>
        <v>978180</v>
      </c>
      <c r="T604" s="1508">
        <f t="shared" si="314"/>
        <v>978180</v>
      </c>
      <c r="U604" s="1508">
        <f t="shared" si="314"/>
        <v>978180</v>
      </c>
      <c r="V604" s="1509">
        <f>SUM(Q604:U604)</f>
        <v>4890900</v>
      </c>
    </row>
    <row r="605" spans="1:22" s="39" customFormat="1" ht="24" customHeight="1" thickBot="1">
      <c r="A605" s="1860">
        <v>1</v>
      </c>
      <c r="B605" s="1860"/>
      <c r="C605" s="1860"/>
      <c r="D605" s="1860"/>
      <c r="E605" s="1839"/>
      <c r="F605" s="1844"/>
      <c r="G605" s="1643"/>
      <c r="H605" s="1601"/>
      <c r="I605" s="1765"/>
      <c r="J605" s="40" t="s">
        <v>80</v>
      </c>
      <c r="K605" s="91"/>
      <c r="L605" s="41">
        <f t="shared" ref="L605:U605" si="315">SUM(L606:L612)</f>
        <v>23290</v>
      </c>
      <c r="M605" s="41">
        <f t="shared" si="315"/>
        <v>23290</v>
      </c>
      <c r="N605" s="41">
        <f t="shared" si="315"/>
        <v>23290</v>
      </c>
      <c r="O605" s="41">
        <f t="shared" si="315"/>
        <v>23290</v>
      </c>
      <c r="P605" s="41">
        <f t="shared" si="315"/>
        <v>23290</v>
      </c>
      <c r="Q605" s="1510">
        <f t="shared" si="315"/>
        <v>978180</v>
      </c>
      <c r="R605" s="1510">
        <f t="shared" si="315"/>
        <v>978180</v>
      </c>
      <c r="S605" s="1510">
        <f t="shared" si="315"/>
        <v>978180</v>
      </c>
      <c r="T605" s="1510">
        <f t="shared" si="315"/>
        <v>978180</v>
      </c>
      <c r="U605" s="1510">
        <f t="shared" si="315"/>
        <v>978180</v>
      </c>
      <c r="V605" s="1511">
        <f>SUM(Q605:U605)</f>
        <v>4890900</v>
      </c>
    </row>
    <row r="606" spans="1:22" s="39" customFormat="1" ht="24" customHeight="1" thickBot="1">
      <c r="A606" s="1860">
        <v>1</v>
      </c>
      <c r="B606" s="1860"/>
      <c r="C606" s="1860"/>
      <c r="D606" s="1860"/>
      <c r="E606" s="1839"/>
      <c r="F606" s="1844"/>
      <c r="G606" s="1643"/>
      <c r="H606" s="1601"/>
      <c r="I606" s="1765"/>
      <c r="J606" s="40" t="s">
        <v>429</v>
      </c>
      <c r="K606" s="91"/>
      <c r="L606" s="41">
        <v>0</v>
      </c>
      <c r="M606" s="41">
        <v>0</v>
      </c>
      <c r="N606" s="41">
        <v>0</v>
      </c>
      <c r="O606" s="41">
        <v>0</v>
      </c>
      <c r="P606" s="41">
        <v>0</v>
      </c>
      <c r="Q606" s="1508">
        <f>L606*$H$609</f>
        <v>0</v>
      </c>
      <c r="R606" s="1508">
        <f t="shared" ref="R606" si="316">M606*$H$609</f>
        <v>0</v>
      </c>
      <c r="S606" s="1508">
        <f t="shared" ref="S606" si="317">N606*$H$609</f>
        <v>0</v>
      </c>
      <c r="T606" s="1508">
        <f t="shared" ref="T606" si="318">O606*$H$609</f>
        <v>0</v>
      </c>
      <c r="U606" s="1508">
        <f t="shared" ref="U606" si="319">P606*$H$609</f>
        <v>0</v>
      </c>
      <c r="V606" s="1511">
        <f t="shared" ref="V606:V612" si="320">SUM(Q606:U606)</f>
        <v>0</v>
      </c>
    </row>
    <row r="607" spans="1:22" s="39" customFormat="1" ht="24" customHeight="1" thickBot="1">
      <c r="A607" s="1860">
        <v>1</v>
      </c>
      <c r="B607" s="1860"/>
      <c r="C607" s="1860"/>
      <c r="D607" s="1860"/>
      <c r="E607" s="1839"/>
      <c r="F607" s="1844"/>
      <c r="G607" s="1643"/>
      <c r="H607" s="1601"/>
      <c r="I607" s="1765"/>
      <c r="J607" s="40" t="s">
        <v>133</v>
      </c>
      <c r="K607" s="91"/>
      <c r="L607" s="41">
        <f>L604*1</f>
        <v>23290</v>
      </c>
      <c r="M607" s="41">
        <f t="shared" ref="M607:P607" si="321">M604*1</f>
        <v>23290</v>
      </c>
      <c r="N607" s="41">
        <f t="shared" si="321"/>
        <v>23290</v>
      </c>
      <c r="O607" s="41">
        <f t="shared" si="321"/>
        <v>23290</v>
      </c>
      <c r="P607" s="41">
        <f t="shared" si="321"/>
        <v>23290</v>
      </c>
      <c r="Q607" s="1508">
        <f t="shared" ref="Q607:Q612" si="322">L607*$H$609</f>
        <v>978180</v>
      </c>
      <c r="R607" s="1508">
        <f t="shared" ref="R607:R612" si="323">M607*$H$609</f>
        <v>978180</v>
      </c>
      <c r="S607" s="1508">
        <f t="shared" ref="S607:S612" si="324">N607*$H$609</f>
        <v>978180</v>
      </c>
      <c r="T607" s="1508">
        <f t="shared" ref="T607:T612" si="325">O607*$H$609</f>
        <v>978180</v>
      </c>
      <c r="U607" s="1508">
        <f t="shared" ref="U607:U612" si="326">P607*$H$609</f>
        <v>978180</v>
      </c>
      <c r="V607" s="1511">
        <f t="shared" si="320"/>
        <v>4890900</v>
      </c>
    </row>
    <row r="608" spans="1:22" s="39" customFormat="1" ht="24" customHeight="1" thickBot="1">
      <c r="A608" s="1860">
        <v>1</v>
      </c>
      <c r="B608" s="1860"/>
      <c r="C608" s="1860"/>
      <c r="D608" s="1860"/>
      <c r="E608" s="1839"/>
      <c r="F608" s="1844"/>
      <c r="G608" s="1643"/>
      <c r="H608" s="1601"/>
      <c r="I608" s="1765"/>
      <c r="J608" s="40" t="s">
        <v>81</v>
      </c>
      <c r="K608" s="91"/>
      <c r="L608" s="41">
        <v>0</v>
      </c>
      <c r="M608" s="41">
        <v>0</v>
      </c>
      <c r="N608" s="41">
        <v>0</v>
      </c>
      <c r="O608" s="41">
        <v>0</v>
      </c>
      <c r="P608" s="41">
        <v>0</v>
      </c>
      <c r="Q608" s="1508">
        <f t="shared" si="322"/>
        <v>0</v>
      </c>
      <c r="R608" s="1508">
        <f t="shared" si="323"/>
        <v>0</v>
      </c>
      <c r="S608" s="1508">
        <f t="shared" si="324"/>
        <v>0</v>
      </c>
      <c r="T608" s="1508">
        <f t="shared" si="325"/>
        <v>0</v>
      </c>
      <c r="U608" s="1508">
        <f t="shared" si="326"/>
        <v>0</v>
      </c>
      <c r="V608" s="1511">
        <f t="shared" si="320"/>
        <v>0</v>
      </c>
    </row>
    <row r="609" spans="1:22" s="39" customFormat="1" ht="24" customHeight="1" thickBot="1">
      <c r="A609" s="1860">
        <v>1</v>
      </c>
      <c r="B609" s="1860"/>
      <c r="C609" s="1860"/>
      <c r="D609" s="1860"/>
      <c r="E609" s="1839"/>
      <c r="F609" s="1844"/>
      <c r="G609" s="1643"/>
      <c r="H609" s="1595">
        <f>'Budget Assumption_Lab Comp2'!R254</f>
        <v>42</v>
      </c>
      <c r="I609" s="1765"/>
      <c r="J609" s="40" t="s">
        <v>134</v>
      </c>
      <c r="K609" s="91"/>
      <c r="L609" s="41">
        <f>L600*30%</f>
        <v>0</v>
      </c>
      <c r="M609" s="41">
        <f>M600*30%</f>
        <v>0</v>
      </c>
      <c r="N609" s="41">
        <f>N600*30%</f>
        <v>0</v>
      </c>
      <c r="O609" s="41">
        <f>O600*30%</f>
        <v>0</v>
      </c>
      <c r="P609" s="41">
        <f>P600*30%</f>
        <v>0</v>
      </c>
      <c r="Q609" s="1508">
        <f t="shared" si="322"/>
        <v>0</v>
      </c>
      <c r="R609" s="1508">
        <f t="shared" si="323"/>
        <v>0</v>
      </c>
      <c r="S609" s="1508">
        <f t="shared" si="324"/>
        <v>0</v>
      </c>
      <c r="T609" s="1508">
        <f t="shared" si="325"/>
        <v>0</v>
      </c>
      <c r="U609" s="1508">
        <f t="shared" si="326"/>
        <v>0</v>
      </c>
      <c r="V609" s="1511">
        <f t="shared" si="320"/>
        <v>0</v>
      </c>
    </row>
    <row r="610" spans="1:22" s="39" customFormat="1" ht="24" customHeight="1" thickBot="1">
      <c r="A610" s="1860">
        <v>1</v>
      </c>
      <c r="B610" s="1860"/>
      <c r="C610" s="1860"/>
      <c r="D610" s="1860"/>
      <c r="E610" s="1839"/>
      <c r="F610" s="1844"/>
      <c r="G610" s="1643"/>
      <c r="H610" s="1596">
        <f>810*0.05</f>
        <v>40.5</v>
      </c>
      <c r="I610" s="1765"/>
      <c r="J610" s="40" t="s">
        <v>82</v>
      </c>
      <c r="K610" s="91"/>
      <c r="L610" s="41">
        <v>0</v>
      </c>
      <c r="M610" s="41">
        <v>0</v>
      </c>
      <c r="N610" s="41">
        <v>0</v>
      </c>
      <c r="O610" s="41">
        <v>0</v>
      </c>
      <c r="P610" s="41">
        <v>0</v>
      </c>
      <c r="Q610" s="1508">
        <f t="shared" si="322"/>
        <v>0</v>
      </c>
      <c r="R610" s="1508">
        <f t="shared" si="323"/>
        <v>0</v>
      </c>
      <c r="S610" s="1508">
        <f t="shared" si="324"/>
        <v>0</v>
      </c>
      <c r="T610" s="1508">
        <f t="shared" si="325"/>
        <v>0</v>
      </c>
      <c r="U610" s="1508">
        <f t="shared" si="326"/>
        <v>0</v>
      </c>
      <c r="V610" s="1511">
        <f t="shared" si="320"/>
        <v>0</v>
      </c>
    </row>
    <row r="611" spans="1:22" s="39" customFormat="1" ht="24" customHeight="1" thickBot="1">
      <c r="A611" s="1860">
        <v>1</v>
      </c>
      <c r="B611" s="1860"/>
      <c r="C611" s="1860"/>
      <c r="D611" s="1860"/>
      <c r="E611" s="1839"/>
      <c r="F611" s="1844"/>
      <c r="G611" s="1643"/>
      <c r="H611" s="1596"/>
      <c r="I611" s="1765"/>
      <c r="J611" s="40" t="s">
        <v>90</v>
      </c>
      <c r="K611" s="91"/>
      <c r="L611" s="41">
        <v>0</v>
      </c>
      <c r="M611" s="41">
        <v>0</v>
      </c>
      <c r="N611" s="41">
        <v>0</v>
      </c>
      <c r="O611" s="41">
        <v>0</v>
      </c>
      <c r="P611" s="41">
        <v>0</v>
      </c>
      <c r="Q611" s="1508">
        <f t="shared" si="322"/>
        <v>0</v>
      </c>
      <c r="R611" s="1508">
        <f t="shared" si="323"/>
        <v>0</v>
      </c>
      <c r="S611" s="1508">
        <f t="shared" si="324"/>
        <v>0</v>
      </c>
      <c r="T611" s="1508">
        <f t="shared" si="325"/>
        <v>0</v>
      </c>
      <c r="U611" s="1508">
        <f t="shared" si="326"/>
        <v>0</v>
      </c>
      <c r="V611" s="1511">
        <f t="shared" si="320"/>
        <v>0</v>
      </c>
    </row>
    <row r="612" spans="1:22" s="39" customFormat="1" ht="24" customHeight="1">
      <c r="A612" s="1860">
        <v>1</v>
      </c>
      <c r="B612" s="1860"/>
      <c r="C612" s="1860"/>
      <c r="D612" s="1860"/>
      <c r="E612" s="1839"/>
      <c r="F612" s="1844"/>
      <c r="G612" s="1643"/>
      <c r="H612" s="1596"/>
      <c r="I612" s="1765"/>
      <c r="J612" s="40" t="s">
        <v>83</v>
      </c>
      <c r="K612" s="91"/>
      <c r="L612" s="41">
        <v>0</v>
      </c>
      <c r="M612" s="41">
        <v>0</v>
      </c>
      <c r="N612" s="41">
        <v>0</v>
      </c>
      <c r="O612" s="41">
        <v>0</v>
      </c>
      <c r="P612" s="41">
        <v>0</v>
      </c>
      <c r="Q612" s="1508">
        <f t="shared" si="322"/>
        <v>0</v>
      </c>
      <c r="R612" s="1508">
        <f t="shared" si="323"/>
        <v>0</v>
      </c>
      <c r="S612" s="1508">
        <f t="shared" si="324"/>
        <v>0</v>
      </c>
      <c r="T612" s="1508">
        <f t="shared" si="325"/>
        <v>0</v>
      </c>
      <c r="U612" s="1508">
        <f t="shared" si="326"/>
        <v>0</v>
      </c>
      <c r="V612" s="1511">
        <f t="shared" si="320"/>
        <v>0</v>
      </c>
    </row>
    <row r="613" spans="1:22" s="39" customFormat="1" ht="24" customHeight="1" thickBot="1">
      <c r="A613" s="1860">
        <v>1</v>
      </c>
      <c r="B613" s="1860"/>
      <c r="C613" s="1860"/>
      <c r="D613" s="1860"/>
      <c r="E613" s="1839"/>
      <c r="F613" s="1845"/>
      <c r="G613" s="1802"/>
      <c r="H613" s="1597"/>
      <c r="I613" s="1766"/>
      <c r="J613" s="80" t="s">
        <v>84</v>
      </c>
      <c r="K613" s="824"/>
      <c r="L613" s="814">
        <f t="shared" ref="L613:V613" si="327">L604-L605</f>
        <v>0</v>
      </c>
      <c r="M613" s="814">
        <f t="shared" si="327"/>
        <v>0</v>
      </c>
      <c r="N613" s="814">
        <f t="shared" si="327"/>
        <v>0</v>
      </c>
      <c r="O613" s="814">
        <f t="shared" si="327"/>
        <v>0</v>
      </c>
      <c r="P613" s="814">
        <f t="shared" si="327"/>
        <v>0</v>
      </c>
      <c r="Q613" s="1506">
        <f t="shared" si="327"/>
        <v>0</v>
      </c>
      <c r="R613" s="1506">
        <f t="shared" si="327"/>
        <v>0</v>
      </c>
      <c r="S613" s="1506">
        <f t="shared" si="327"/>
        <v>0</v>
      </c>
      <c r="T613" s="1506">
        <f t="shared" si="327"/>
        <v>0</v>
      </c>
      <c r="U613" s="1506">
        <f t="shared" si="327"/>
        <v>0</v>
      </c>
      <c r="V613" s="1507">
        <f t="shared" si="327"/>
        <v>0</v>
      </c>
    </row>
    <row r="614" spans="1:22" s="64" customFormat="1" ht="24" customHeight="1">
      <c r="A614" s="1860">
        <v>2</v>
      </c>
      <c r="B614" s="1860">
        <v>1</v>
      </c>
      <c r="C614" s="1860">
        <v>3</v>
      </c>
      <c r="D614" s="1860">
        <v>5</v>
      </c>
      <c r="E614" s="1839"/>
      <c r="F614" s="1846" t="str">
        <f>CONCATENATE(A614,".",B614,".",C614,".",D614,)</f>
        <v>2.1.3.5</v>
      </c>
      <c r="G614" s="2004" t="s">
        <v>1011</v>
      </c>
      <c r="H614" s="1679" t="s">
        <v>1013</v>
      </c>
      <c r="I614" s="1789" t="s">
        <v>1012</v>
      </c>
      <c r="J614" s="262" t="s">
        <v>79</v>
      </c>
      <c r="K614" s="908"/>
      <c r="L614" s="909">
        <f>'Budget Assumption_Lab Comp2'!$K$248+'Budget Assumption_Lab Comp2'!$K$249+'Budget Assumption_Lab Comp2'!$K$250+'Budget Assumption_Lab Comp2'!$K$251+'Budget Assumption_Lab Comp2'!$K$252</f>
        <v>791490</v>
      </c>
      <c r="M614" s="909">
        <f>'Budget Assumption_Lab Comp2'!$K$248+'Budget Assumption_Lab Comp2'!$K$249+'Budget Assumption_Lab Comp2'!$K$250+'Budget Assumption_Lab Comp2'!$K$251+'Budget Assumption_Lab Comp2'!$K$252</f>
        <v>791490</v>
      </c>
      <c r="N614" s="909">
        <f>'Budget Assumption_Lab Comp2'!$K$248+'Budget Assumption_Lab Comp2'!$K$249+'Budget Assumption_Lab Comp2'!$K$250+'Budget Assumption_Lab Comp2'!$K$251+'Budget Assumption_Lab Comp2'!$K$252</f>
        <v>791490</v>
      </c>
      <c r="O614" s="909">
        <f>'Budget Assumption_Lab Comp2'!$K$248+'Budget Assumption_Lab Comp2'!$K$249+'Budget Assumption_Lab Comp2'!$K$250+'Budget Assumption_Lab Comp2'!$K$251+'Budget Assumption_Lab Comp2'!$K$252</f>
        <v>791490</v>
      </c>
      <c r="P614" s="909">
        <f>'Budget Assumption_Lab Comp2'!$K$248+'Budget Assumption_Lab Comp2'!$K$249+'Budget Assumption_Lab Comp2'!$K$250+'Budget Assumption_Lab Comp2'!$K$251+'Budget Assumption_Lab Comp2'!$K$252</f>
        <v>791490</v>
      </c>
      <c r="Q614" s="1508">
        <f>L614*$H$619</f>
        <v>26910660</v>
      </c>
      <c r="R614" s="1508">
        <f t="shared" ref="R614:U614" si="328">M614*$H$619</f>
        <v>26910660</v>
      </c>
      <c r="S614" s="1508">
        <f t="shared" si="328"/>
        <v>26910660</v>
      </c>
      <c r="T614" s="1508">
        <f t="shared" si="328"/>
        <v>26910660</v>
      </c>
      <c r="U614" s="1508">
        <f t="shared" si="328"/>
        <v>26910660</v>
      </c>
      <c r="V614" s="1509">
        <f>SUM(Q614:U614)</f>
        <v>134553300</v>
      </c>
    </row>
    <row r="615" spans="1:22" s="39" customFormat="1" ht="24" customHeight="1" thickBot="1">
      <c r="A615" s="1860">
        <v>1</v>
      </c>
      <c r="B615" s="1860"/>
      <c r="C615" s="1860"/>
      <c r="D615" s="1860"/>
      <c r="E615" s="1839"/>
      <c r="F615" s="1844"/>
      <c r="G615" s="1643"/>
      <c r="H615" s="1601"/>
      <c r="I615" s="1765"/>
      <c r="J615" s="40" t="s">
        <v>80</v>
      </c>
      <c r="K615" s="91"/>
      <c r="L615" s="41">
        <f t="shared" ref="L615:U615" si="329">SUM(L616:L622)</f>
        <v>791490</v>
      </c>
      <c r="M615" s="41">
        <f t="shared" si="329"/>
        <v>791490</v>
      </c>
      <c r="N615" s="41">
        <f t="shared" si="329"/>
        <v>791490</v>
      </c>
      <c r="O615" s="41">
        <f t="shared" si="329"/>
        <v>791490</v>
      </c>
      <c r="P615" s="41">
        <f t="shared" si="329"/>
        <v>791490</v>
      </c>
      <c r="Q615" s="1510">
        <f t="shared" si="329"/>
        <v>26910660</v>
      </c>
      <c r="R615" s="1510">
        <f t="shared" si="329"/>
        <v>26910660</v>
      </c>
      <c r="S615" s="1510">
        <f t="shared" si="329"/>
        <v>26910660</v>
      </c>
      <c r="T615" s="1510">
        <f t="shared" si="329"/>
        <v>26910660</v>
      </c>
      <c r="U615" s="1510">
        <f t="shared" si="329"/>
        <v>26910660</v>
      </c>
      <c r="V615" s="1511">
        <f>SUM(Q615:U615)</f>
        <v>134553300</v>
      </c>
    </row>
    <row r="616" spans="1:22" s="39" customFormat="1" ht="24" customHeight="1" thickBot="1">
      <c r="A616" s="1860">
        <v>1</v>
      </c>
      <c r="B616" s="1860"/>
      <c r="C616" s="1860"/>
      <c r="D616" s="1860"/>
      <c r="E616" s="1839"/>
      <c r="F616" s="1844"/>
      <c r="G616" s="1643"/>
      <c r="H616" s="1601"/>
      <c r="I616" s="1765"/>
      <c r="J616" s="40" t="s">
        <v>429</v>
      </c>
      <c r="K616" s="91"/>
      <c r="L616" s="41">
        <v>0</v>
      </c>
      <c r="M616" s="41">
        <v>0</v>
      </c>
      <c r="N616" s="41">
        <v>0</v>
      </c>
      <c r="O616" s="41">
        <v>0</v>
      </c>
      <c r="P616" s="41">
        <v>0</v>
      </c>
      <c r="Q616" s="1508">
        <f>L616*$H$619</f>
        <v>0</v>
      </c>
      <c r="R616" s="1508">
        <f t="shared" ref="R616" si="330">M616*$H$619</f>
        <v>0</v>
      </c>
      <c r="S616" s="1508">
        <f t="shared" ref="S616" si="331">N616*$H$619</f>
        <v>0</v>
      </c>
      <c r="T616" s="1508">
        <f t="shared" ref="T616" si="332">O616*$H$619</f>
        <v>0</v>
      </c>
      <c r="U616" s="1508">
        <f t="shared" ref="U616" si="333">P616*$H$619</f>
        <v>0</v>
      </c>
      <c r="V616" s="1511">
        <f t="shared" ref="V616:V622" si="334">SUM(Q616:U616)</f>
        <v>0</v>
      </c>
    </row>
    <row r="617" spans="1:22" s="39" customFormat="1" ht="24" customHeight="1" thickBot="1">
      <c r="A617" s="1860">
        <v>1</v>
      </c>
      <c r="B617" s="1860"/>
      <c r="C617" s="1860"/>
      <c r="D617" s="1860"/>
      <c r="E617" s="1839"/>
      <c r="F617" s="1844"/>
      <c r="G617" s="1643"/>
      <c r="H617" s="1601"/>
      <c r="I617" s="1765"/>
      <c r="J617" s="40" t="s">
        <v>133</v>
      </c>
      <c r="K617" s="91"/>
      <c r="L617" s="41">
        <v>0</v>
      </c>
      <c r="M617" s="41">
        <v>0</v>
      </c>
      <c r="N617" s="41">
        <v>0</v>
      </c>
      <c r="O617" s="41">
        <v>0</v>
      </c>
      <c r="P617" s="41">
        <v>0</v>
      </c>
      <c r="Q617" s="1508">
        <f t="shared" ref="Q617:Q622" si="335">L617*$H$619</f>
        <v>0</v>
      </c>
      <c r="R617" s="1508">
        <f t="shared" ref="R617:R622" si="336">M617*$H$619</f>
        <v>0</v>
      </c>
      <c r="S617" s="1508">
        <f t="shared" ref="S617:S622" si="337">N617*$H$619</f>
        <v>0</v>
      </c>
      <c r="T617" s="1508">
        <f t="shared" ref="T617:T622" si="338">O617*$H$619</f>
        <v>0</v>
      </c>
      <c r="U617" s="1508">
        <f t="shared" ref="U617:U622" si="339">P617*$H$619</f>
        <v>0</v>
      </c>
      <c r="V617" s="1511">
        <f t="shared" si="334"/>
        <v>0</v>
      </c>
    </row>
    <row r="618" spans="1:22" s="39" customFormat="1" ht="24" customHeight="1" thickBot="1">
      <c r="A618" s="1860">
        <v>1</v>
      </c>
      <c r="B618" s="1860"/>
      <c r="C618" s="1860"/>
      <c r="D618" s="1860"/>
      <c r="E618" s="1839"/>
      <c r="F618" s="1844"/>
      <c r="G618" s="1643"/>
      <c r="H618" s="1601"/>
      <c r="I618" s="1765"/>
      <c r="J618" s="40" t="s">
        <v>81</v>
      </c>
      <c r="K618" s="91"/>
      <c r="L618" s="41">
        <v>0</v>
      </c>
      <c r="M618" s="41">
        <v>0</v>
      </c>
      <c r="N618" s="41">
        <v>0</v>
      </c>
      <c r="O618" s="41">
        <v>0</v>
      </c>
      <c r="P618" s="41">
        <v>0</v>
      </c>
      <c r="Q618" s="1508">
        <f t="shared" si="335"/>
        <v>0</v>
      </c>
      <c r="R618" s="1508">
        <f t="shared" si="336"/>
        <v>0</v>
      </c>
      <c r="S618" s="1508">
        <f t="shared" si="337"/>
        <v>0</v>
      </c>
      <c r="T618" s="1508">
        <f t="shared" si="338"/>
        <v>0</v>
      </c>
      <c r="U618" s="1508">
        <f t="shared" si="339"/>
        <v>0</v>
      </c>
      <c r="V618" s="1511">
        <f t="shared" si="334"/>
        <v>0</v>
      </c>
    </row>
    <row r="619" spans="1:22" s="39" customFormat="1" ht="24" customHeight="1" thickBot="1">
      <c r="A619" s="1860">
        <v>1</v>
      </c>
      <c r="B619" s="1860"/>
      <c r="C619" s="1860"/>
      <c r="D619" s="1860"/>
      <c r="E619" s="1839"/>
      <c r="F619" s="1844"/>
      <c r="G619" s="1643"/>
      <c r="H619" s="1595">
        <f>'Budget Assumption_Lab Comp2'!$R$250</f>
        <v>34</v>
      </c>
      <c r="I619" s="1765"/>
      <c r="J619" s="40" t="s">
        <v>134</v>
      </c>
      <c r="K619" s="91"/>
      <c r="L619" s="41">
        <f>L614*1</f>
        <v>791490</v>
      </c>
      <c r="M619" s="41">
        <f t="shared" ref="M619:P619" si="340">M614*1</f>
        <v>791490</v>
      </c>
      <c r="N619" s="41">
        <f t="shared" si="340"/>
        <v>791490</v>
      </c>
      <c r="O619" s="41">
        <f t="shared" si="340"/>
        <v>791490</v>
      </c>
      <c r="P619" s="41">
        <f t="shared" si="340"/>
        <v>791490</v>
      </c>
      <c r="Q619" s="1508">
        <f t="shared" si="335"/>
        <v>26910660</v>
      </c>
      <c r="R619" s="1508">
        <f t="shared" si="336"/>
        <v>26910660</v>
      </c>
      <c r="S619" s="1508">
        <f t="shared" si="337"/>
        <v>26910660</v>
      </c>
      <c r="T619" s="1508">
        <f t="shared" si="338"/>
        <v>26910660</v>
      </c>
      <c r="U619" s="1508">
        <f t="shared" si="339"/>
        <v>26910660</v>
      </c>
      <c r="V619" s="1511">
        <f t="shared" si="334"/>
        <v>134553300</v>
      </c>
    </row>
    <row r="620" spans="1:22" s="39" customFormat="1" ht="24" customHeight="1" thickBot="1">
      <c r="A620" s="1860">
        <v>1</v>
      </c>
      <c r="B620" s="1860"/>
      <c r="C620" s="1860"/>
      <c r="D620" s="1860"/>
      <c r="E620" s="1839"/>
      <c r="F620" s="1844"/>
      <c r="G620" s="1643"/>
      <c r="H620" s="1596">
        <f>810*0.05</f>
        <v>40.5</v>
      </c>
      <c r="I620" s="1765"/>
      <c r="J620" s="40" t="s">
        <v>82</v>
      </c>
      <c r="K620" s="91"/>
      <c r="L620" s="41">
        <v>0</v>
      </c>
      <c r="M620" s="41">
        <v>0</v>
      </c>
      <c r="N620" s="41">
        <v>0</v>
      </c>
      <c r="O620" s="41">
        <v>0</v>
      </c>
      <c r="P620" s="41">
        <v>0</v>
      </c>
      <c r="Q620" s="1508">
        <f t="shared" si="335"/>
        <v>0</v>
      </c>
      <c r="R620" s="1508">
        <f t="shared" si="336"/>
        <v>0</v>
      </c>
      <c r="S620" s="1508">
        <f t="shared" si="337"/>
        <v>0</v>
      </c>
      <c r="T620" s="1508">
        <f t="shared" si="338"/>
        <v>0</v>
      </c>
      <c r="U620" s="1508">
        <f t="shared" si="339"/>
        <v>0</v>
      </c>
      <c r="V620" s="1511">
        <f t="shared" si="334"/>
        <v>0</v>
      </c>
    </row>
    <row r="621" spans="1:22" s="39" customFormat="1" ht="24" customHeight="1" thickBot="1">
      <c r="A621" s="1860">
        <v>1</v>
      </c>
      <c r="B621" s="1860"/>
      <c r="C621" s="1860"/>
      <c r="D621" s="1860"/>
      <c r="E621" s="1839"/>
      <c r="F621" s="1844"/>
      <c r="G621" s="1643"/>
      <c r="H621" s="1596"/>
      <c r="I621" s="1765"/>
      <c r="J621" s="40" t="s">
        <v>90</v>
      </c>
      <c r="K621" s="91"/>
      <c r="L621" s="41">
        <v>0</v>
      </c>
      <c r="M621" s="41">
        <v>0</v>
      </c>
      <c r="N621" s="41">
        <v>0</v>
      </c>
      <c r="O621" s="41">
        <v>0</v>
      </c>
      <c r="P621" s="41">
        <v>0</v>
      </c>
      <c r="Q621" s="1508">
        <f t="shared" si="335"/>
        <v>0</v>
      </c>
      <c r="R621" s="1508">
        <f t="shared" si="336"/>
        <v>0</v>
      </c>
      <c r="S621" s="1508">
        <f t="shared" si="337"/>
        <v>0</v>
      </c>
      <c r="T621" s="1508">
        <f t="shared" si="338"/>
        <v>0</v>
      </c>
      <c r="U621" s="1508">
        <f t="shared" si="339"/>
        <v>0</v>
      </c>
      <c r="V621" s="1511">
        <f t="shared" si="334"/>
        <v>0</v>
      </c>
    </row>
    <row r="622" spans="1:22" s="39" customFormat="1" ht="24" customHeight="1">
      <c r="A622" s="1860">
        <v>1</v>
      </c>
      <c r="B622" s="1860"/>
      <c r="C622" s="1860"/>
      <c r="D622" s="1860"/>
      <c r="E622" s="1839"/>
      <c r="F622" s="1844"/>
      <c r="G622" s="1643"/>
      <c r="H622" s="1596"/>
      <c r="I622" s="1765"/>
      <c r="J622" s="40" t="s">
        <v>83</v>
      </c>
      <c r="K622" s="42"/>
      <c r="L622" s="41">
        <v>0</v>
      </c>
      <c r="M622" s="41">
        <v>0</v>
      </c>
      <c r="N622" s="41">
        <v>0</v>
      </c>
      <c r="O622" s="41">
        <v>0</v>
      </c>
      <c r="P622" s="41">
        <v>0</v>
      </c>
      <c r="Q622" s="1508">
        <f t="shared" si="335"/>
        <v>0</v>
      </c>
      <c r="R622" s="1508">
        <f t="shared" si="336"/>
        <v>0</v>
      </c>
      <c r="S622" s="1508">
        <f t="shared" si="337"/>
        <v>0</v>
      </c>
      <c r="T622" s="1508">
        <f t="shared" si="338"/>
        <v>0</v>
      </c>
      <c r="U622" s="1508">
        <f t="shared" si="339"/>
        <v>0</v>
      </c>
      <c r="V622" s="1511">
        <f t="shared" si="334"/>
        <v>0</v>
      </c>
    </row>
    <row r="623" spans="1:22" s="39" customFormat="1" ht="24" customHeight="1" thickBot="1">
      <c r="A623" s="1860">
        <v>1</v>
      </c>
      <c r="B623" s="1860"/>
      <c r="C623" s="1860"/>
      <c r="D623" s="1860"/>
      <c r="E623" s="1839"/>
      <c r="F623" s="1845"/>
      <c r="G623" s="1802"/>
      <c r="H623" s="1597"/>
      <c r="I623" s="1766"/>
      <c r="J623" s="80" t="s">
        <v>84</v>
      </c>
      <c r="K623" s="81"/>
      <c r="L623" s="814">
        <f t="shared" ref="L623:V623" si="341">L614-L615</f>
        <v>0</v>
      </c>
      <c r="M623" s="814">
        <f t="shared" si="341"/>
        <v>0</v>
      </c>
      <c r="N623" s="814">
        <f t="shared" si="341"/>
        <v>0</v>
      </c>
      <c r="O623" s="814">
        <f t="shared" si="341"/>
        <v>0</v>
      </c>
      <c r="P623" s="814">
        <f t="shared" si="341"/>
        <v>0</v>
      </c>
      <c r="Q623" s="1506">
        <f t="shared" si="341"/>
        <v>0</v>
      </c>
      <c r="R623" s="1506">
        <f t="shared" si="341"/>
        <v>0</v>
      </c>
      <c r="S623" s="1506">
        <f t="shared" si="341"/>
        <v>0</v>
      </c>
      <c r="T623" s="1506">
        <f t="shared" si="341"/>
        <v>0</v>
      </c>
      <c r="U623" s="1506">
        <f t="shared" si="341"/>
        <v>0</v>
      </c>
      <c r="V623" s="1507">
        <f t="shared" si="341"/>
        <v>0</v>
      </c>
    </row>
    <row r="624" spans="1:22" s="63" customFormat="1" ht="34.35" customHeight="1">
      <c r="A624" s="98">
        <v>2</v>
      </c>
      <c r="B624" s="98">
        <v>1</v>
      </c>
      <c r="C624" s="98">
        <v>4</v>
      </c>
      <c r="D624" s="98"/>
      <c r="E624" s="98"/>
      <c r="F624" s="919" t="str">
        <f>CONCATENATE(A624,".",B624,".",C624,)</f>
        <v>2.1.4</v>
      </c>
      <c r="G624" s="1567" t="s">
        <v>395</v>
      </c>
      <c r="H624" s="1568"/>
      <c r="I624" s="1568"/>
      <c r="J624" s="1569"/>
      <c r="K624" s="66"/>
      <c r="L624" s="910"/>
      <c r="M624" s="382"/>
      <c r="N624" s="382"/>
      <c r="O624" s="382"/>
      <c r="P624" s="382"/>
      <c r="Q624" s="1499">
        <f>Q626+Q636</f>
        <v>646064.81599999999</v>
      </c>
      <c r="R624" s="1499">
        <f t="shared" ref="R624:V624" si="342">R626+R636</f>
        <v>706874.45440000005</v>
      </c>
      <c r="S624" s="1499">
        <f t="shared" si="342"/>
        <v>784482.47360000003</v>
      </c>
      <c r="T624" s="1499">
        <f t="shared" si="342"/>
        <v>792938.13840000005</v>
      </c>
      <c r="U624" s="1499">
        <f t="shared" si="342"/>
        <v>934266.95999999985</v>
      </c>
      <c r="V624" s="1499">
        <f t="shared" si="342"/>
        <v>3864626.8423999995</v>
      </c>
    </row>
    <row r="625" spans="1:22" s="64" customFormat="1" ht="24" customHeight="1">
      <c r="A625" s="1860">
        <v>2</v>
      </c>
      <c r="B625" s="1860">
        <v>1</v>
      </c>
      <c r="C625" s="1860">
        <v>4</v>
      </c>
      <c r="D625" s="1860">
        <v>1</v>
      </c>
      <c r="E625" s="1839"/>
      <c r="F625" s="1844" t="str">
        <f>CONCATENATE(A625,".",B625,".",C625,".",D625,)</f>
        <v>2.1.4.1</v>
      </c>
      <c r="G625" s="1664" t="s">
        <v>1015</v>
      </c>
      <c r="H625" s="1601" t="s">
        <v>1016</v>
      </c>
      <c r="I625" s="1764" t="s">
        <v>1017</v>
      </c>
      <c r="J625" s="36" t="s">
        <v>79</v>
      </c>
      <c r="K625" s="896"/>
      <c r="L625" s="1430">
        <f>'Budget Assumption_Lab Comp2'!$G$407</f>
        <v>0.35416666666666669</v>
      </c>
      <c r="M625" s="1430">
        <f>'Budget Assumption_Lab Comp2'!$I$407</f>
        <v>0.24583333333333332</v>
      </c>
      <c r="N625" s="1430">
        <f>'Budget Assumption_Lab Comp2'!$K$407</f>
        <v>0.11666666666666667</v>
      </c>
      <c r="O625" s="1430">
        <f>'Budget Assumption_Lab Comp2'!$M$407</f>
        <v>0.13333333333333333</v>
      </c>
      <c r="P625" s="1430">
        <f>'Budget Assumption_Lab Comp2'!$O$407</f>
        <v>0.15</v>
      </c>
      <c r="Q625" s="1475">
        <f>L625*H630</f>
        <v>90950</v>
      </c>
      <c r="R625" s="1475">
        <f>M625*H630</f>
        <v>63130</v>
      </c>
      <c r="S625" s="1475">
        <f>N625*H630</f>
        <v>29960</v>
      </c>
      <c r="T625" s="1475">
        <f>O625*H630</f>
        <v>34240</v>
      </c>
      <c r="U625" s="1475">
        <f>P625*H630</f>
        <v>38520</v>
      </c>
      <c r="V625" s="1476">
        <f>SUM(Q625:U625)</f>
        <v>256800</v>
      </c>
    </row>
    <row r="626" spans="1:22" s="39" customFormat="1" ht="24" customHeight="1">
      <c r="A626" s="1860">
        <v>1</v>
      </c>
      <c r="B626" s="1860"/>
      <c r="C626" s="1860"/>
      <c r="D626" s="1860"/>
      <c r="E626" s="1839"/>
      <c r="F626" s="1844"/>
      <c r="G626" s="1665"/>
      <c r="H626" s="1601"/>
      <c r="I626" s="1765"/>
      <c r="J626" s="40" t="s">
        <v>80</v>
      </c>
      <c r="K626" s="91"/>
      <c r="L626" s="41">
        <f t="shared" ref="L626:U626" si="343">SUM(L627:L633)</f>
        <v>0.35416666666666669</v>
      </c>
      <c r="M626" s="41">
        <f t="shared" si="343"/>
        <v>0.24583333333333332</v>
      </c>
      <c r="N626" s="41">
        <f t="shared" si="343"/>
        <v>0.11666666666666667</v>
      </c>
      <c r="O626" s="41">
        <f t="shared" si="343"/>
        <v>0</v>
      </c>
      <c r="P626" s="41">
        <f t="shared" si="343"/>
        <v>0</v>
      </c>
      <c r="Q626" s="1475">
        <f t="shared" si="343"/>
        <v>90950</v>
      </c>
      <c r="R626" s="1475">
        <f t="shared" si="343"/>
        <v>63130</v>
      </c>
      <c r="S626" s="1475">
        <f t="shared" si="343"/>
        <v>29960</v>
      </c>
      <c r="T626" s="1475">
        <f t="shared" si="343"/>
        <v>0</v>
      </c>
      <c r="U626" s="1475">
        <f t="shared" si="343"/>
        <v>0</v>
      </c>
      <c r="V626" s="1476">
        <f t="shared" ref="V626:V633" si="344">SUM(Q626:U626)</f>
        <v>184040</v>
      </c>
    </row>
    <row r="627" spans="1:22" s="39" customFormat="1" ht="24" customHeight="1">
      <c r="A627" s="1860">
        <v>1</v>
      </c>
      <c r="B627" s="1860"/>
      <c r="C627" s="1860"/>
      <c r="D627" s="1860"/>
      <c r="E627" s="1839"/>
      <c r="F627" s="1844"/>
      <c r="G627" s="1665"/>
      <c r="H627" s="1601"/>
      <c r="I627" s="1765"/>
      <c r="J627" s="40" t="s">
        <v>429</v>
      </c>
      <c r="K627" s="42"/>
      <c r="L627" s="41">
        <v>0</v>
      </c>
      <c r="M627" s="41">
        <v>0</v>
      </c>
      <c r="N627" s="41">
        <v>0</v>
      </c>
      <c r="O627" s="41">
        <v>0</v>
      </c>
      <c r="P627" s="41">
        <v>0</v>
      </c>
      <c r="Q627" s="1475">
        <f>L627*$H630</f>
        <v>0</v>
      </c>
      <c r="R627" s="1475">
        <f>M627*$H630</f>
        <v>0</v>
      </c>
      <c r="S627" s="1475">
        <f>N627*$H630</f>
        <v>0</v>
      </c>
      <c r="T627" s="1475">
        <f>O627*$H630</f>
        <v>0</v>
      </c>
      <c r="U627" s="1475">
        <f>P627*$H630</f>
        <v>0</v>
      </c>
      <c r="V627" s="1476">
        <f t="shared" si="344"/>
        <v>0</v>
      </c>
    </row>
    <row r="628" spans="1:22" s="39" customFormat="1" ht="24" customHeight="1">
      <c r="A628" s="1860">
        <v>1</v>
      </c>
      <c r="B628" s="1860"/>
      <c r="C628" s="1860"/>
      <c r="D628" s="1860"/>
      <c r="E628" s="1839"/>
      <c r="F628" s="1844"/>
      <c r="G628" s="1665"/>
      <c r="H628" s="1601"/>
      <c r="I628" s="1765"/>
      <c r="J628" s="40" t="s">
        <v>133</v>
      </c>
      <c r="K628" s="42"/>
      <c r="L628" s="41">
        <v>0</v>
      </c>
      <c r="M628" s="41">
        <v>0</v>
      </c>
      <c r="N628" s="41">
        <v>0</v>
      </c>
      <c r="O628" s="41">
        <v>0</v>
      </c>
      <c r="P628" s="41">
        <v>0</v>
      </c>
      <c r="Q628" s="1475">
        <f>L628*$H630</f>
        <v>0</v>
      </c>
      <c r="R628" s="1475">
        <f>M628*$H630</f>
        <v>0</v>
      </c>
      <c r="S628" s="1475">
        <f>N628*$H630</f>
        <v>0</v>
      </c>
      <c r="T628" s="1475">
        <f>O628*$H630</f>
        <v>0</v>
      </c>
      <c r="U628" s="1475">
        <f>P628*$H630</f>
        <v>0</v>
      </c>
      <c r="V628" s="1476">
        <f t="shared" si="344"/>
        <v>0</v>
      </c>
    </row>
    <row r="629" spans="1:22" s="39" customFormat="1" ht="24" customHeight="1">
      <c r="A629" s="1860">
        <v>1</v>
      </c>
      <c r="B629" s="1860"/>
      <c r="C629" s="1860"/>
      <c r="D629" s="1860"/>
      <c r="E629" s="1839"/>
      <c r="F629" s="1844"/>
      <c r="G629" s="1665"/>
      <c r="H629" s="1601"/>
      <c r="I629" s="1765"/>
      <c r="J629" s="40" t="s">
        <v>81</v>
      </c>
      <c r="K629" s="42"/>
      <c r="L629" s="41">
        <v>0</v>
      </c>
      <c r="M629" s="41">
        <v>0</v>
      </c>
      <c r="N629" s="41">
        <v>0</v>
      </c>
      <c r="O629" s="41">
        <v>0</v>
      </c>
      <c r="P629" s="41">
        <v>0</v>
      </c>
      <c r="Q629" s="1475">
        <f>L629*$H630</f>
        <v>0</v>
      </c>
      <c r="R629" s="1475">
        <f>M629*$H630</f>
        <v>0</v>
      </c>
      <c r="S629" s="1475">
        <f>N629*$H630</f>
        <v>0</v>
      </c>
      <c r="T629" s="1475">
        <f>O629*$H630</f>
        <v>0</v>
      </c>
      <c r="U629" s="1475">
        <f>P629*$H630</f>
        <v>0</v>
      </c>
      <c r="V629" s="1476">
        <f t="shared" si="344"/>
        <v>0</v>
      </c>
    </row>
    <row r="630" spans="1:22" s="39" customFormat="1" ht="24" customHeight="1">
      <c r="A630" s="1860">
        <v>1</v>
      </c>
      <c r="B630" s="1860"/>
      <c r="C630" s="1860"/>
      <c r="D630" s="1860"/>
      <c r="E630" s="1839"/>
      <c r="F630" s="1844"/>
      <c r="G630" s="1665"/>
      <c r="H630" s="1595">
        <f>'Budget Assumption_Lab Comp2'!$P$406</f>
        <v>256800</v>
      </c>
      <c r="I630" s="1765"/>
      <c r="J630" s="40" t="s">
        <v>134</v>
      </c>
      <c r="K630" s="42"/>
      <c r="L630" s="41">
        <v>0</v>
      </c>
      <c r="M630" s="41">
        <v>0</v>
      </c>
      <c r="N630" s="41">
        <v>0</v>
      </c>
      <c r="O630" s="41">
        <v>0</v>
      </c>
      <c r="P630" s="41">
        <v>0</v>
      </c>
      <c r="Q630" s="1475">
        <f>L630*$H630</f>
        <v>0</v>
      </c>
      <c r="R630" s="1475">
        <f>M630*$H630</f>
        <v>0</v>
      </c>
      <c r="S630" s="1475">
        <f>N630*$H630</f>
        <v>0</v>
      </c>
      <c r="T630" s="1475">
        <f>O630*$H630</f>
        <v>0</v>
      </c>
      <c r="U630" s="1475">
        <f>P630*$H630</f>
        <v>0</v>
      </c>
      <c r="V630" s="1476">
        <f t="shared" si="344"/>
        <v>0</v>
      </c>
    </row>
    <row r="631" spans="1:22" s="39" customFormat="1" ht="24" customHeight="1">
      <c r="A631" s="1860">
        <v>1</v>
      </c>
      <c r="B631" s="1860"/>
      <c r="C631" s="1860"/>
      <c r="D631" s="1860"/>
      <c r="E631" s="1839"/>
      <c r="F631" s="1844"/>
      <c r="G631" s="1665"/>
      <c r="H631" s="1596">
        <f>810*0.05</f>
        <v>40.5</v>
      </c>
      <c r="I631" s="1765"/>
      <c r="J631" s="40" t="s">
        <v>82</v>
      </c>
      <c r="K631" s="42"/>
      <c r="L631" s="1430">
        <f>L625</f>
        <v>0.35416666666666669</v>
      </c>
      <c r="M631" s="1430">
        <f>M625</f>
        <v>0.24583333333333332</v>
      </c>
      <c r="N631" s="1430">
        <f>N625</f>
        <v>0.11666666666666667</v>
      </c>
      <c r="O631" s="41">
        <v>0</v>
      </c>
      <c r="P631" s="41">
        <v>0</v>
      </c>
      <c r="Q631" s="1475">
        <f>L631*$H630</f>
        <v>90950</v>
      </c>
      <c r="R631" s="1475">
        <f>M631*$H630</f>
        <v>63130</v>
      </c>
      <c r="S631" s="1475">
        <f>N631*$H630</f>
        <v>29960</v>
      </c>
      <c r="T631" s="1475">
        <f>O631*$H630</f>
        <v>0</v>
      </c>
      <c r="U631" s="1475">
        <f>P631*$H630</f>
        <v>0</v>
      </c>
      <c r="V631" s="1476">
        <f t="shared" si="344"/>
        <v>184040</v>
      </c>
    </row>
    <row r="632" spans="1:22" s="39" customFormat="1" ht="24" customHeight="1">
      <c r="A632" s="1860">
        <v>1</v>
      </c>
      <c r="B632" s="1860"/>
      <c r="C632" s="1860"/>
      <c r="D632" s="1860"/>
      <c r="E632" s="1839"/>
      <c r="F632" s="1844"/>
      <c r="G632" s="1665"/>
      <c r="H632" s="1596"/>
      <c r="I632" s="1765"/>
      <c r="J632" s="40" t="s">
        <v>90</v>
      </c>
      <c r="K632" s="42"/>
      <c r="L632" s="41">
        <v>0</v>
      </c>
      <c r="M632" s="41">
        <v>0</v>
      </c>
      <c r="N632" s="41">
        <v>0</v>
      </c>
      <c r="O632" s="41">
        <v>0</v>
      </c>
      <c r="P632" s="41">
        <v>0</v>
      </c>
      <c r="Q632" s="1475">
        <f>L632*$H630</f>
        <v>0</v>
      </c>
      <c r="R632" s="1475">
        <f>M632*$H630</f>
        <v>0</v>
      </c>
      <c r="S632" s="1475">
        <f>N632*$H630</f>
        <v>0</v>
      </c>
      <c r="T632" s="1475">
        <f>O632*$H630</f>
        <v>0</v>
      </c>
      <c r="U632" s="1475">
        <f>P632*$H630</f>
        <v>0</v>
      </c>
      <c r="V632" s="1476">
        <f t="shared" si="344"/>
        <v>0</v>
      </c>
    </row>
    <row r="633" spans="1:22" s="39" customFormat="1" ht="24" customHeight="1">
      <c r="A633" s="1860">
        <v>1</v>
      </c>
      <c r="B633" s="1860"/>
      <c r="C633" s="1860"/>
      <c r="D633" s="1860"/>
      <c r="E633" s="1839"/>
      <c r="F633" s="1844"/>
      <c r="G633" s="1665"/>
      <c r="H633" s="1596"/>
      <c r="I633" s="1765"/>
      <c r="J633" s="40" t="s">
        <v>83</v>
      </c>
      <c r="K633" s="42"/>
      <c r="L633" s="41">
        <v>0</v>
      </c>
      <c r="M633" s="41">
        <v>0</v>
      </c>
      <c r="N633" s="41">
        <v>0</v>
      </c>
      <c r="O633" s="41">
        <v>0</v>
      </c>
      <c r="P633" s="41">
        <v>0</v>
      </c>
      <c r="Q633" s="1475">
        <f>L633*$H630</f>
        <v>0</v>
      </c>
      <c r="R633" s="1475">
        <f>M633*$H630</f>
        <v>0</v>
      </c>
      <c r="S633" s="1475">
        <f>N633*$H630</f>
        <v>0</v>
      </c>
      <c r="T633" s="1475">
        <f>O633*$H630</f>
        <v>0</v>
      </c>
      <c r="U633" s="1475">
        <f>P633*$H630</f>
        <v>0</v>
      </c>
      <c r="V633" s="1476">
        <f t="shared" si="344"/>
        <v>0</v>
      </c>
    </row>
    <row r="634" spans="1:22" s="39" customFormat="1" ht="24" customHeight="1" thickBot="1">
      <c r="A634" s="1860">
        <v>1</v>
      </c>
      <c r="B634" s="1860"/>
      <c r="C634" s="1860"/>
      <c r="D634" s="1860"/>
      <c r="E634" s="1839"/>
      <c r="F634" s="1844"/>
      <c r="G634" s="1678"/>
      <c r="H634" s="1597"/>
      <c r="I634" s="1766"/>
      <c r="J634" s="80" t="s">
        <v>84</v>
      </c>
      <c r="K634" s="81"/>
      <c r="L634" s="814">
        <f t="shared" ref="L634:V634" si="345">L625-L626</f>
        <v>0</v>
      </c>
      <c r="M634" s="814">
        <f t="shared" si="345"/>
        <v>0</v>
      </c>
      <c r="N634" s="814">
        <f t="shared" si="345"/>
        <v>0</v>
      </c>
      <c r="O634" s="83">
        <f t="shared" si="345"/>
        <v>0.13333333333333333</v>
      </c>
      <c r="P634" s="83">
        <f t="shared" si="345"/>
        <v>0.15</v>
      </c>
      <c r="Q634" s="1487">
        <f t="shared" si="345"/>
        <v>0</v>
      </c>
      <c r="R634" s="1487">
        <f t="shared" si="345"/>
        <v>0</v>
      </c>
      <c r="S634" s="1487">
        <f t="shared" si="345"/>
        <v>0</v>
      </c>
      <c r="T634" s="1487">
        <f t="shared" si="345"/>
        <v>34240</v>
      </c>
      <c r="U634" s="1487">
        <f t="shared" si="345"/>
        <v>38520</v>
      </c>
      <c r="V634" s="1500">
        <f t="shared" si="345"/>
        <v>72760</v>
      </c>
    </row>
    <row r="635" spans="1:22" s="62" customFormat="1" ht="24" customHeight="1">
      <c r="A635" s="1860">
        <v>2</v>
      </c>
      <c r="B635" s="1860">
        <v>1</v>
      </c>
      <c r="C635" s="1860">
        <v>4</v>
      </c>
      <c r="D635" s="1860">
        <v>2</v>
      </c>
      <c r="E635" s="1839"/>
      <c r="F635" s="1846" t="str">
        <f>CONCATENATE(A635,".",B635,".",C635,".",D635,)</f>
        <v>2.1.4.2</v>
      </c>
      <c r="G635" s="2004" t="s">
        <v>1018</v>
      </c>
      <c r="H635" s="1679" t="s">
        <v>146</v>
      </c>
      <c r="I635" s="1789" t="s">
        <v>1090</v>
      </c>
      <c r="J635" s="262" t="s">
        <v>79</v>
      </c>
      <c r="K635" s="905"/>
      <c r="L635" s="816">
        <f>'Budget Assumption_Lab Comp2'!$K$187+5000</f>
        <v>10279.904</v>
      </c>
      <c r="M635" s="816">
        <f>'Budget Assumption_Lab Comp2'!$L$187+6000</f>
        <v>11921.193600000002</v>
      </c>
      <c r="N635" s="816">
        <f>'Budget Assumption_Lab Comp2'!$M$187+7000</f>
        <v>13972.6384</v>
      </c>
      <c r="O635" s="816">
        <f>'Budget Assumption_Lab Comp2'!$N$187+8000</f>
        <v>16396.572679999997</v>
      </c>
      <c r="P635" s="816">
        <f>'Budget Assumption_Lab Comp2'!$O$187+9000</f>
        <v>19422.756000000001</v>
      </c>
      <c r="Q635" s="1489">
        <f>L635*H640</f>
        <v>555114.81599999999</v>
      </c>
      <c r="R635" s="1489">
        <f>M635*H640</f>
        <v>643744.45440000016</v>
      </c>
      <c r="S635" s="1489">
        <f>N635*H640</f>
        <v>754522.47360000003</v>
      </c>
      <c r="T635" s="1489">
        <f>O635*H640</f>
        <v>885414.92471999989</v>
      </c>
      <c r="U635" s="1489">
        <f>P635*H640</f>
        <v>1048828.824</v>
      </c>
      <c r="V635" s="1490">
        <f>SUM(Q635:U635)</f>
        <v>3887625.4927200004</v>
      </c>
    </row>
    <row r="636" spans="1:22" s="39" customFormat="1" ht="24" customHeight="1">
      <c r="A636" s="1860">
        <v>1</v>
      </c>
      <c r="B636" s="1860"/>
      <c r="C636" s="1860"/>
      <c r="D636" s="1860"/>
      <c r="E636" s="1839"/>
      <c r="F636" s="1844"/>
      <c r="G636" s="1643"/>
      <c r="H636" s="1601"/>
      <c r="I636" s="1765"/>
      <c r="J636" s="40" t="s">
        <v>80</v>
      </c>
      <c r="K636" s="91"/>
      <c r="L636" s="41">
        <f t="shared" ref="L636:V636" si="346">SUM(L637:L643)</f>
        <v>10279.903999999999</v>
      </c>
      <c r="M636" s="41">
        <f t="shared" si="346"/>
        <v>11921.193600000002</v>
      </c>
      <c r="N636" s="41">
        <f t="shared" si="346"/>
        <v>13972.6384</v>
      </c>
      <c r="O636" s="41">
        <f t="shared" si="346"/>
        <v>14684.0396</v>
      </c>
      <c r="P636" s="41">
        <f t="shared" si="346"/>
        <v>17301.239999999998</v>
      </c>
      <c r="Q636" s="1475">
        <f t="shared" si="346"/>
        <v>555114.81599999999</v>
      </c>
      <c r="R636" s="1475">
        <f t="shared" si="346"/>
        <v>643744.45440000005</v>
      </c>
      <c r="S636" s="1475">
        <f t="shared" si="346"/>
        <v>754522.47360000003</v>
      </c>
      <c r="T636" s="1475">
        <f t="shared" si="346"/>
        <v>792938.13840000005</v>
      </c>
      <c r="U636" s="1475">
        <f t="shared" si="346"/>
        <v>934266.95999999985</v>
      </c>
      <c r="V636" s="1476">
        <f t="shared" si="346"/>
        <v>3680586.8423999995</v>
      </c>
    </row>
    <row r="637" spans="1:22" s="39" customFormat="1" ht="24" customHeight="1">
      <c r="A637" s="1860">
        <v>1</v>
      </c>
      <c r="B637" s="1860"/>
      <c r="C637" s="1860"/>
      <c r="D637" s="1860"/>
      <c r="E637" s="1839"/>
      <c r="F637" s="1844"/>
      <c r="G637" s="1643"/>
      <c r="H637" s="1601"/>
      <c r="I637" s="1765"/>
      <c r="J637" s="40" t="s">
        <v>429</v>
      </c>
      <c r="K637" s="42"/>
      <c r="L637" s="41">
        <v>0</v>
      </c>
      <c r="M637" s="41">
        <v>0</v>
      </c>
      <c r="N637" s="41">
        <f>'Budget Assumption_Lab Comp2'!$M$207+7000</f>
        <v>12544.448</v>
      </c>
      <c r="O637" s="41">
        <f>'Budget Assumption_Lab Comp2'!$N$207+8000</f>
        <v>14684.0396</v>
      </c>
      <c r="P637" s="41">
        <f>'Budget Assumption_Lab Comp2'!$O$207+9000</f>
        <v>17301.239999999998</v>
      </c>
      <c r="Q637" s="1475">
        <f>L637*$H640</f>
        <v>0</v>
      </c>
      <c r="R637" s="1475">
        <f>M637*$H640</f>
        <v>0</v>
      </c>
      <c r="S637" s="1475">
        <f>N637*$H640</f>
        <v>677400.19200000004</v>
      </c>
      <c r="T637" s="1475">
        <f>O637*$H640</f>
        <v>792938.13840000005</v>
      </c>
      <c r="U637" s="1475">
        <f>P637*$H640</f>
        <v>934266.95999999985</v>
      </c>
      <c r="V637" s="1476">
        <f t="shared" ref="V637:V643" si="347">SUM(Q637:U637)</f>
        <v>2404605.2903999998</v>
      </c>
    </row>
    <row r="638" spans="1:22" s="39" customFormat="1" ht="24" customHeight="1">
      <c r="A638" s="1860">
        <v>1</v>
      </c>
      <c r="B638" s="1860"/>
      <c r="C638" s="1860"/>
      <c r="D638" s="1860"/>
      <c r="E638" s="1839"/>
      <c r="F638" s="1844"/>
      <c r="G638" s="1643"/>
      <c r="H638" s="1601"/>
      <c r="I638" s="1765"/>
      <c r="J638" s="40" t="s">
        <v>133</v>
      </c>
      <c r="K638" s="42"/>
      <c r="L638" s="41">
        <v>0</v>
      </c>
      <c r="M638" s="41">
        <v>0</v>
      </c>
      <c r="N638" s="41">
        <v>0</v>
      </c>
      <c r="O638" s="41">
        <v>0</v>
      </c>
      <c r="P638" s="41">
        <v>0</v>
      </c>
      <c r="Q638" s="1475">
        <f>L638*$H640</f>
        <v>0</v>
      </c>
      <c r="R638" s="1475">
        <f>M638*$H640</f>
        <v>0</v>
      </c>
      <c r="S638" s="1475">
        <f>N638*$H640</f>
        <v>0</v>
      </c>
      <c r="T638" s="1475">
        <f>O638*$H640</f>
        <v>0</v>
      </c>
      <c r="U638" s="1475">
        <f>P638*$H640</f>
        <v>0</v>
      </c>
      <c r="V638" s="1476">
        <f t="shared" si="347"/>
        <v>0</v>
      </c>
    </row>
    <row r="639" spans="1:22" s="39" customFormat="1" ht="24" customHeight="1">
      <c r="A639" s="1860">
        <v>1</v>
      </c>
      <c r="B639" s="1860"/>
      <c r="C639" s="1860"/>
      <c r="D639" s="1860"/>
      <c r="E639" s="1839"/>
      <c r="F639" s="1844"/>
      <c r="G639" s="1643"/>
      <c r="H639" s="1601"/>
      <c r="I639" s="1765"/>
      <c r="J639" s="40" t="s">
        <v>81</v>
      </c>
      <c r="K639" s="42"/>
      <c r="L639" s="41">
        <v>0</v>
      </c>
      <c r="M639" s="41">
        <v>0</v>
      </c>
      <c r="N639" s="41">
        <v>0</v>
      </c>
      <c r="O639" s="41">
        <v>0</v>
      </c>
      <c r="P639" s="41">
        <v>0</v>
      </c>
      <c r="Q639" s="1475">
        <f>L639*$H640</f>
        <v>0</v>
      </c>
      <c r="R639" s="1475">
        <f>M639*$H640</f>
        <v>0</v>
      </c>
      <c r="S639" s="1475">
        <f>N639*$H640</f>
        <v>0</v>
      </c>
      <c r="T639" s="1475">
        <f>O639*$H640</f>
        <v>0</v>
      </c>
      <c r="U639" s="1475">
        <f>P639*$H640</f>
        <v>0</v>
      </c>
      <c r="V639" s="1476">
        <f t="shared" si="347"/>
        <v>0</v>
      </c>
    </row>
    <row r="640" spans="1:22" s="39" customFormat="1" ht="24" customHeight="1">
      <c r="A640" s="1860">
        <v>1</v>
      </c>
      <c r="B640" s="1860"/>
      <c r="C640" s="1860"/>
      <c r="D640" s="1860"/>
      <c r="E640" s="1839"/>
      <c r="F640" s="1844"/>
      <c r="G640" s="1643"/>
      <c r="H640" s="1687">
        <f>'Budget Assumption_Lab Comp2'!$Q$187</f>
        <v>54</v>
      </c>
      <c r="I640" s="1765"/>
      <c r="J640" s="40" t="s">
        <v>134</v>
      </c>
      <c r="K640" s="42"/>
      <c r="L640" s="41">
        <v>0</v>
      </c>
      <c r="M640" s="41">
        <v>0</v>
      </c>
      <c r="N640" s="41">
        <v>0</v>
      </c>
      <c r="O640" s="41">
        <v>0</v>
      </c>
      <c r="P640" s="41">
        <v>0</v>
      </c>
      <c r="Q640" s="1475">
        <f>L640*$H640</f>
        <v>0</v>
      </c>
      <c r="R640" s="1475">
        <f>M640*$H640</f>
        <v>0</v>
      </c>
      <c r="S640" s="1475">
        <f>N640*$H640</f>
        <v>0</v>
      </c>
      <c r="T640" s="1475">
        <f>O640*$H640</f>
        <v>0</v>
      </c>
      <c r="U640" s="1475">
        <f>P640*$H640</f>
        <v>0</v>
      </c>
      <c r="V640" s="1476">
        <f t="shared" si="347"/>
        <v>0</v>
      </c>
    </row>
    <row r="641" spans="1:22" s="39" customFormat="1" ht="24" customHeight="1">
      <c r="A641" s="1860">
        <v>1</v>
      </c>
      <c r="B641" s="1860"/>
      <c r="C641" s="1860"/>
      <c r="D641" s="1860"/>
      <c r="E641" s="1839"/>
      <c r="F641" s="1844"/>
      <c r="G641" s="1643"/>
      <c r="H641" s="1687">
        <f>810*0.05</f>
        <v>40.5</v>
      </c>
      <c r="I641" s="1765"/>
      <c r="J641" s="40" t="s">
        <v>82</v>
      </c>
      <c r="K641" s="42"/>
      <c r="L641" s="41">
        <f>'Budget Assumption_Lab Comp2'!$K$207+5000</f>
        <v>9192.9599999999991</v>
      </c>
      <c r="M641" s="41">
        <f>'Budget Assumption_Lab Comp2'!$L$207+6000</f>
        <v>10705.632000000001</v>
      </c>
      <c r="N641" s="41">
        <v>0</v>
      </c>
      <c r="O641" s="41">
        <v>0</v>
      </c>
      <c r="P641" s="41">
        <v>0</v>
      </c>
      <c r="Q641" s="1475">
        <f>L641*$H640</f>
        <v>496419.83999999997</v>
      </c>
      <c r="R641" s="1475">
        <f>M641*$H640</f>
        <v>578104.12800000003</v>
      </c>
      <c r="S641" s="1475">
        <f>N641*$H640</f>
        <v>0</v>
      </c>
      <c r="T641" s="1475">
        <f>O641*$H640</f>
        <v>0</v>
      </c>
      <c r="U641" s="1475">
        <f>P641*$H640</f>
        <v>0</v>
      </c>
      <c r="V641" s="1476">
        <f t="shared" si="347"/>
        <v>1074523.9679999999</v>
      </c>
    </row>
    <row r="642" spans="1:22" s="39" customFormat="1" ht="24" customHeight="1">
      <c r="A642" s="1860">
        <v>1</v>
      </c>
      <c r="B642" s="1860"/>
      <c r="C642" s="1860"/>
      <c r="D642" s="1860"/>
      <c r="E642" s="1839"/>
      <c r="F642" s="1844"/>
      <c r="G642" s="1643"/>
      <c r="H642" s="1687"/>
      <c r="I642" s="1765"/>
      <c r="J642" s="40" t="s">
        <v>90</v>
      </c>
      <c r="K642" s="42"/>
      <c r="L642" s="41">
        <f>'Budget Assumption_Lab Comp2'!$K$197</f>
        <v>1086.9440000000002</v>
      </c>
      <c r="M642" s="41">
        <f>'Budget Assumption_Lab Comp2'!$L$197</f>
        <v>1215.5616</v>
      </c>
      <c r="N642" s="41">
        <f>'Budget Assumption_Lab Comp2'!$M$197</f>
        <v>1428.1904</v>
      </c>
      <c r="O642" s="41">
        <v>0</v>
      </c>
      <c r="P642" s="41">
        <v>0</v>
      </c>
      <c r="Q642" s="1475">
        <f>L642*$H640</f>
        <v>58694.97600000001</v>
      </c>
      <c r="R642" s="1475">
        <f>M642*$H640</f>
        <v>65640.326400000005</v>
      </c>
      <c r="S642" s="1475">
        <f>N642*$H640</f>
        <v>77122.281600000002</v>
      </c>
      <c r="T642" s="1475">
        <f>O642*$H640</f>
        <v>0</v>
      </c>
      <c r="U642" s="1475">
        <f>P642*$H640</f>
        <v>0</v>
      </c>
      <c r="V642" s="1476">
        <f t="shared" si="347"/>
        <v>201457.58400000003</v>
      </c>
    </row>
    <row r="643" spans="1:22" s="39" customFormat="1" ht="24" customHeight="1">
      <c r="A643" s="1860">
        <v>1</v>
      </c>
      <c r="B643" s="1860"/>
      <c r="C643" s="1860"/>
      <c r="D643" s="1860"/>
      <c r="E643" s="1839"/>
      <c r="F643" s="1844"/>
      <c r="G643" s="1643"/>
      <c r="H643" s="1687"/>
      <c r="I643" s="1765"/>
      <c r="J643" s="40" t="s">
        <v>83</v>
      </c>
      <c r="K643" s="42"/>
      <c r="L643" s="41">
        <v>0</v>
      </c>
      <c r="M643" s="41">
        <v>0</v>
      </c>
      <c r="N643" s="41">
        <v>0</v>
      </c>
      <c r="O643" s="41">
        <v>0</v>
      </c>
      <c r="P643" s="41">
        <v>0</v>
      </c>
      <c r="Q643" s="1475">
        <f>L643*$H640</f>
        <v>0</v>
      </c>
      <c r="R643" s="1475">
        <f>M643*$H640</f>
        <v>0</v>
      </c>
      <c r="S643" s="1475">
        <f>N643*$H640</f>
        <v>0</v>
      </c>
      <c r="T643" s="1475">
        <f>O643*$H640</f>
        <v>0</v>
      </c>
      <c r="U643" s="1475">
        <f>P643*$H640</f>
        <v>0</v>
      </c>
      <c r="V643" s="1476">
        <f t="shared" si="347"/>
        <v>0</v>
      </c>
    </row>
    <row r="644" spans="1:22" s="39" customFormat="1" ht="24" customHeight="1" thickBot="1">
      <c r="A644" s="1860">
        <v>1</v>
      </c>
      <c r="B644" s="1860"/>
      <c r="C644" s="1860"/>
      <c r="D644" s="1860"/>
      <c r="E644" s="1839"/>
      <c r="F644" s="1845"/>
      <c r="G644" s="1802"/>
      <c r="H644" s="1688"/>
      <c r="I644" s="1766"/>
      <c r="J644" s="80" t="s">
        <v>84</v>
      </c>
      <c r="K644" s="81"/>
      <c r="L644" s="814">
        <f t="shared" ref="L644:V644" si="348">L635-L636</f>
        <v>0</v>
      </c>
      <c r="M644" s="814">
        <f t="shared" si="348"/>
        <v>0</v>
      </c>
      <c r="N644" s="814">
        <f t="shared" si="348"/>
        <v>0</v>
      </c>
      <c r="O644" s="814">
        <f t="shared" si="348"/>
        <v>1712.5330799999974</v>
      </c>
      <c r="P644" s="814">
        <f t="shared" si="348"/>
        <v>2121.5160000000033</v>
      </c>
      <c r="Q644" s="1487">
        <f t="shared" si="348"/>
        <v>0</v>
      </c>
      <c r="R644" s="1487">
        <f t="shared" si="348"/>
        <v>0</v>
      </c>
      <c r="S644" s="1487">
        <f t="shared" si="348"/>
        <v>0</v>
      </c>
      <c r="T644" s="1487">
        <f t="shared" si="348"/>
        <v>92476.786319999839</v>
      </c>
      <c r="U644" s="1487">
        <f t="shared" si="348"/>
        <v>114561.86400000018</v>
      </c>
      <c r="V644" s="1500">
        <f t="shared" si="348"/>
        <v>207038.65032000095</v>
      </c>
    </row>
    <row r="645" spans="1:22" s="261" customFormat="1" ht="37.35" customHeight="1" thickBot="1">
      <c r="A645" s="208">
        <v>2</v>
      </c>
      <c r="B645" s="208">
        <v>1</v>
      </c>
      <c r="C645" s="208">
        <v>5</v>
      </c>
      <c r="D645" s="208"/>
      <c r="E645" s="208"/>
      <c r="F645" s="831" t="str">
        <f>CONCATENATE(A645,".",B645,".",C645,)</f>
        <v>2.1.5</v>
      </c>
      <c r="G645" s="1570" t="s">
        <v>1138</v>
      </c>
      <c r="H645" s="1571"/>
      <c r="I645" s="1571"/>
      <c r="J645" s="1572"/>
      <c r="K645" s="831"/>
      <c r="L645" s="911"/>
      <c r="M645" s="832"/>
      <c r="N645" s="832"/>
      <c r="O645" s="832"/>
      <c r="P645" s="832"/>
      <c r="Q645" s="1512">
        <f>Q647+Q657</f>
        <v>1300000</v>
      </c>
      <c r="R645" s="1512">
        <f t="shared" ref="R645:U645" si="349">R647+R657</f>
        <v>1400000</v>
      </c>
      <c r="S645" s="1512">
        <f t="shared" si="349"/>
        <v>1500000</v>
      </c>
      <c r="T645" s="1512">
        <f t="shared" si="349"/>
        <v>1120000</v>
      </c>
      <c r="U645" s="1512">
        <f t="shared" si="349"/>
        <v>1190000</v>
      </c>
      <c r="V645" s="1513">
        <f t="shared" ref="V645:V653" si="350">SUM(Q645:U645)</f>
        <v>6510000</v>
      </c>
    </row>
    <row r="646" spans="1:22" s="263" customFormat="1" ht="24" customHeight="1">
      <c r="A646" s="1860">
        <v>2</v>
      </c>
      <c r="B646" s="1860">
        <v>1</v>
      </c>
      <c r="C646" s="1860">
        <v>5</v>
      </c>
      <c r="D646" s="1860">
        <v>1</v>
      </c>
      <c r="E646" s="1839"/>
      <c r="F646" s="1850" t="str">
        <f>CONCATENATE(A646,".",B646,".",C646,".",D646,)</f>
        <v>2.1.5.1</v>
      </c>
      <c r="G646" s="1837" t="s">
        <v>1112</v>
      </c>
      <c r="H646" s="1679" t="s">
        <v>755</v>
      </c>
      <c r="I646" s="1810" t="s">
        <v>753</v>
      </c>
      <c r="J646" s="262" t="s">
        <v>79</v>
      </c>
      <c r="K646" s="912"/>
      <c r="L646" s="913">
        <v>1000</v>
      </c>
      <c r="M646" s="914">
        <v>1100</v>
      </c>
      <c r="N646" s="914">
        <v>1200</v>
      </c>
      <c r="O646" s="914">
        <v>1300</v>
      </c>
      <c r="P646" s="914">
        <v>1400</v>
      </c>
      <c r="Q646" s="1484">
        <f>L646*H651</f>
        <v>1000000</v>
      </c>
      <c r="R646" s="1484">
        <f>M646*H651</f>
        <v>1100000</v>
      </c>
      <c r="S646" s="1484">
        <f>N646*H651</f>
        <v>1200000</v>
      </c>
      <c r="T646" s="1484">
        <f>O646*H651</f>
        <v>1300000</v>
      </c>
      <c r="U646" s="1484">
        <f>P646*H651</f>
        <v>1400000</v>
      </c>
      <c r="V646" s="1485">
        <f t="shared" si="350"/>
        <v>6000000</v>
      </c>
    </row>
    <row r="647" spans="1:22" s="99" customFormat="1" ht="24" customHeight="1">
      <c r="A647" s="1860">
        <v>1</v>
      </c>
      <c r="B647" s="1860"/>
      <c r="C647" s="1860"/>
      <c r="D647" s="1860"/>
      <c r="E647" s="1839"/>
      <c r="F647" s="1850"/>
      <c r="G647" s="1838"/>
      <c r="H647" s="1601"/>
      <c r="I647" s="1558"/>
      <c r="J647" s="40" t="s">
        <v>80</v>
      </c>
      <c r="K647" s="42"/>
      <c r="L647" s="364">
        <f t="shared" ref="L647:U647" si="351">SUM(L648:L654)</f>
        <v>1000</v>
      </c>
      <c r="M647" s="364">
        <f t="shared" si="351"/>
        <v>1100</v>
      </c>
      <c r="N647" s="364">
        <f t="shared" si="351"/>
        <v>1200</v>
      </c>
      <c r="O647" s="364">
        <f t="shared" si="351"/>
        <v>909.99999999999989</v>
      </c>
      <c r="P647" s="364">
        <f t="shared" si="351"/>
        <v>979.99999999999989</v>
      </c>
      <c r="Q647" s="1475">
        <f t="shared" si="351"/>
        <v>1000000</v>
      </c>
      <c r="R647" s="1475">
        <f t="shared" si="351"/>
        <v>1100000</v>
      </c>
      <c r="S647" s="1475">
        <f t="shared" si="351"/>
        <v>1200000</v>
      </c>
      <c r="T647" s="1475">
        <f t="shared" si="351"/>
        <v>909999.99999999988</v>
      </c>
      <c r="U647" s="1475">
        <f t="shared" si="351"/>
        <v>979999.99999999988</v>
      </c>
      <c r="V647" s="1486">
        <f t="shared" si="350"/>
        <v>5190000</v>
      </c>
    </row>
    <row r="648" spans="1:22" s="99" customFormat="1" ht="24" customHeight="1">
      <c r="A648" s="1860">
        <v>1</v>
      </c>
      <c r="B648" s="1860"/>
      <c r="C648" s="1860"/>
      <c r="D648" s="1860"/>
      <c r="E648" s="1839"/>
      <c r="F648" s="1850"/>
      <c r="G648" s="1838"/>
      <c r="H648" s="1601"/>
      <c r="I648" s="1558"/>
      <c r="J648" s="40" t="s">
        <v>544</v>
      </c>
      <c r="K648" s="42"/>
      <c r="L648" s="364">
        <v>0</v>
      </c>
      <c r="M648" s="364">
        <v>0</v>
      </c>
      <c r="N648" s="364">
        <v>0</v>
      </c>
      <c r="O648" s="364">
        <v>0</v>
      </c>
      <c r="P648" s="364">
        <v>0</v>
      </c>
      <c r="Q648" s="1475">
        <f>L648*$H651</f>
        <v>0</v>
      </c>
      <c r="R648" s="1475">
        <f>M648*$H651</f>
        <v>0</v>
      </c>
      <c r="S648" s="1475">
        <f>N648*$H651</f>
        <v>0</v>
      </c>
      <c r="T648" s="1475">
        <f>O648*$H651</f>
        <v>0</v>
      </c>
      <c r="U648" s="1475">
        <f>P648*$H651</f>
        <v>0</v>
      </c>
      <c r="V648" s="1486">
        <f t="shared" si="350"/>
        <v>0</v>
      </c>
    </row>
    <row r="649" spans="1:22" s="99" customFormat="1" ht="24" customHeight="1">
      <c r="A649" s="1860">
        <v>1</v>
      </c>
      <c r="B649" s="1860"/>
      <c r="C649" s="1860"/>
      <c r="D649" s="1860"/>
      <c r="E649" s="1839"/>
      <c r="F649" s="1850"/>
      <c r="G649" s="1838"/>
      <c r="H649" s="1601"/>
      <c r="I649" s="1558"/>
      <c r="J649" s="40" t="s">
        <v>133</v>
      </c>
      <c r="K649" s="42"/>
      <c r="L649" s="364">
        <v>0</v>
      </c>
      <c r="M649" s="364">
        <v>0</v>
      </c>
      <c r="N649" s="364">
        <v>0</v>
      </c>
      <c r="O649" s="364">
        <v>0</v>
      </c>
      <c r="P649" s="364">
        <v>0</v>
      </c>
      <c r="Q649" s="1475">
        <f>L649*$H651</f>
        <v>0</v>
      </c>
      <c r="R649" s="1475">
        <f>M649*$H651</f>
        <v>0</v>
      </c>
      <c r="S649" s="1475">
        <f>N649*$H651</f>
        <v>0</v>
      </c>
      <c r="T649" s="1475">
        <f>O649*$H651</f>
        <v>0</v>
      </c>
      <c r="U649" s="1475">
        <f>P649*$H651</f>
        <v>0</v>
      </c>
      <c r="V649" s="1486">
        <f t="shared" si="350"/>
        <v>0</v>
      </c>
    </row>
    <row r="650" spans="1:22" s="99" customFormat="1" ht="24" customHeight="1">
      <c r="A650" s="1860">
        <v>1</v>
      </c>
      <c r="B650" s="1860"/>
      <c r="C650" s="1860"/>
      <c r="D650" s="1860"/>
      <c r="E650" s="1839"/>
      <c r="F650" s="1850"/>
      <c r="G650" s="1838"/>
      <c r="H650" s="1601"/>
      <c r="I650" s="1558"/>
      <c r="J650" s="40" t="s">
        <v>81</v>
      </c>
      <c r="K650" s="42"/>
      <c r="L650" s="364">
        <v>0</v>
      </c>
      <c r="M650" s="364">
        <v>0</v>
      </c>
      <c r="N650" s="364">
        <v>0</v>
      </c>
      <c r="O650" s="364">
        <v>0</v>
      </c>
      <c r="P650" s="364">
        <v>0</v>
      </c>
      <c r="Q650" s="1475">
        <f>L650*$H651</f>
        <v>0</v>
      </c>
      <c r="R650" s="1475">
        <f>M650*$H651</f>
        <v>0</v>
      </c>
      <c r="S650" s="1475">
        <f>N650*$H651</f>
        <v>0</v>
      </c>
      <c r="T650" s="1475">
        <f>O650*$H651</f>
        <v>0</v>
      </c>
      <c r="U650" s="1475">
        <f>P650*$H651</f>
        <v>0</v>
      </c>
      <c r="V650" s="1486">
        <f t="shared" si="350"/>
        <v>0</v>
      </c>
    </row>
    <row r="651" spans="1:22" s="99" customFormat="1" ht="24" customHeight="1">
      <c r="A651" s="1860">
        <v>1</v>
      </c>
      <c r="B651" s="1860"/>
      <c r="C651" s="1860"/>
      <c r="D651" s="1860"/>
      <c r="E651" s="1839"/>
      <c r="F651" s="1850"/>
      <c r="G651" s="1838"/>
      <c r="H651" s="1598">
        <v>1000</v>
      </c>
      <c r="I651" s="1558"/>
      <c r="J651" s="40" t="s">
        <v>134</v>
      </c>
      <c r="K651" s="42"/>
      <c r="L651" s="364">
        <v>0</v>
      </c>
      <c r="M651" s="364">
        <v>0</v>
      </c>
      <c r="N651" s="364">
        <v>0</v>
      </c>
      <c r="O651" s="364">
        <f>O646*0.7</f>
        <v>909.99999999999989</v>
      </c>
      <c r="P651" s="364">
        <f>P646*0.7</f>
        <v>979.99999999999989</v>
      </c>
      <c r="Q651" s="1475">
        <f>L651*$H651</f>
        <v>0</v>
      </c>
      <c r="R651" s="1475">
        <f>M651*$H651</f>
        <v>0</v>
      </c>
      <c r="S651" s="1475">
        <f>N651*$H651</f>
        <v>0</v>
      </c>
      <c r="T651" s="1475">
        <f>O651*$H651</f>
        <v>909999.99999999988</v>
      </c>
      <c r="U651" s="1475">
        <f>P651*$H651</f>
        <v>979999.99999999988</v>
      </c>
      <c r="V651" s="1486">
        <f t="shared" si="350"/>
        <v>1889999.9999999998</v>
      </c>
    </row>
    <row r="652" spans="1:22" s="99" customFormat="1" ht="24" customHeight="1">
      <c r="A652" s="1860">
        <v>1</v>
      </c>
      <c r="B652" s="1860"/>
      <c r="C652" s="1860"/>
      <c r="D652" s="1860"/>
      <c r="E652" s="1839"/>
      <c r="F652" s="1850"/>
      <c r="G652" s="1838"/>
      <c r="H652" s="1599">
        <f>810*0.05</f>
        <v>40.5</v>
      </c>
      <c r="I652" s="1558"/>
      <c r="J652" s="40" t="s">
        <v>82</v>
      </c>
      <c r="K652" s="42"/>
      <c r="L652" s="364">
        <f>L646*0.7</f>
        <v>700</v>
      </c>
      <c r="M652" s="364">
        <f t="shared" ref="M652:N652" si="352">M646*0.7</f>
        <v>770</v>
      </c>
      <c r="N652" s="364">
        <f t="shared" si="352"/>
        <v>840</v>
      </c>
      <c r="O652" s="364">
        <v>0</v>
      </c>
      <c r="P652" s="364">
        <v>0</v>
      </c>
      <c r="Q652" s="1475">
        <f>L652*$H651</f>
        <v>700000</v>
      </c>
      <c r="R652" s="1475">
        <f>M652*$H651</f>
        <v>770000</v>
      </c>
      <c r="S652" s="1475">
        <f>N652*$H651</f>
        <v>840000</v>
      </c>
      <c r="T652" s="1475">
        <f>O652*$H651</f>
        <v>0</v>
      </c>
      <c r="U652" s="1475">
        <f>P652*$H651</f>
        <v>0</v>
      </c>
      <c r="V652" s="1486">
        <f t="shared" si="350"/>
        <v>2310000</v>
      </c>
    </row>
    <row r="653" spans="1:22" s="99" customFormat="1" ht="24" customHeight="1">
      <c r="A653" s="1860">
        <v>1</v>
      </c>
      <c r="B653" s="1860"/>
      <c r="C653" s="1860"/>
      <c r="D653" s="1860"/>
      <c r="E653" s="1839"/>
      <c r="F653" s="1850"/>
      <c r="G653" s="1838"/>
      <c r="H653" s="1599"/>
      <c r="I653" s="1558"/>
      <c r="J653" s="40" t="s">
        <v>90</v>
      </c>
      <c r="K653" s="42"/>
      <c r="L653" s="364">
        <f>0.3*L646</f>
        <v>300</v>
      </c>
      <c r="M653" s="364">
        <f t="shared" ref="M653:N653" si="353">0.3*M646</f>
        <v>330</v>
      </c>
      <c r="N653" s="364">
        <f t="shared" si="353"/>
        <v>360</v>
      </c>
      <c r="O653" s="364">
        <v>0</v>
      </c>
      <c r="P653" s="364">
        <v>0</v>
      </c>
      <c r="Q653" s="1475">
        <f>L653*$H651</f>
        <v>300000</v>
      </c>
      <c r="R653" s="1475">
        <f>M653*$H651</f>
        <v>330000</v>
      </c>
      <c r="S653" s="1475">
        <f>N653*$H651</f>
        <v>360000</v>
      </c>
      <c r="T653" s="1475">
        <f>O653*$H651</f>
        <v>0</v>
      </c>
      <c r="U653" s="1475">
        <f>P653*$H651</f>
        <v>0</v>
      </c>
      <c r="V653" s="1486">
        <f t="shared" si="350"/>
        <v>990000</v>
      </c>
    </row>
    <row r="654" spans="1:22" s="99" customFormat="1" ht="24" customHeight="1">
      <c r="A654" s="1860">
        <v>1</v>
      </c>
      <c r="B654" s="1860"/>
      <c r="C654" s="1860"/>
      <c r="D654" s="1860"/>
      <c r="E654" s="1839"/>
      <c r="F654" s="1850"/>
      <c r="G654" s="1838"/>
      <c r="H654" s="1599"/>
      <c r="I654" s="1558"/>
      <c r="J654" s="40" t="s">
        <v>83</v>
      </c>
      <c r="K654" s="42"/>
      <c r="L654" s="364">
        <v>0</v>
      </c>
      <c r="M654" s="364">
        <v>0</v>
      </c>
      <c r="N654" s="364">
        <v>0</v>
      </c>
      <c r="O654" s="364">
        <v>0</v>
      </c>
      <c r="P654" s="364">
        <v>0</v>
      </c>
      <c r="Q654" s="1475">
        <f>L654*$H651</f>
        <v>0</v>
      </c>
      <c r="R654" s="1475">
        <f>M654*$H651</f>
        <v>0</v>
      </c>
      <c r="S654" s="1475">
        <f>N654*$H651</f>
        <v>0</v>
      </c>
      <c r="T654" s="1475">
        <f>O654*$H651</f>
        <v>0</v>
      </c>
      <c r="U654" s="1475">
        <f>P654*$H651</f>
        <v>0</v>
      </c>
      <c r="V654" s="1486">
        <f>SUM(Q654:U654)</f>
        <v>0</v>
      </c>
    </row>
    <row r="655" spans="1:22" s="99" customFormat="1" ht="24" customHeight="1" thickBot="1">
      <c r="A655" s="1860">
        <v>1</v>
      </c>
      <c r="B655" s="1860"/>
      <c r="C655" s="1860"/>
      <c r="D655" s="1860"/>
      <c r="E655" s="1839"/>
      <c r="F655" s="1851"/>
      <c r="G655" s="1838"/>
      <c r="H655" s="1733"/>
      <c r="I655" s="1558"/>
      <c r="J655" s="40" t="s">
        <v>84</v>
      </c>
      <c r="K655" s="42"/>
      <c r="L655" s="364">
        <f>L646-L647</f>
        <v>0</v>
      </c>
      <c r="M655" s="364">
        <f t="shared" ref="M655:U655" si="354">M646-M647</f>
        <v>0</v>
      </c>
      <c r="N655" s="364">
        <f t="shared" si="354"/>
        <v>0</v>
      </c>
      <c r="O655" s="364">
        <f t="shared" si="354"/>
        <v>390.00000000000011</v>
      </c>
      <c r="P655" s="364">
        <f t="shared" si="354"/>
        <v>420.00000000000011</v>
      </c>
      <c r="Q655" s="1475">
        <f t="shared" si="354"/>
        <v>0</v>
      </c>
      <c r="R655" s="1475">
        <f t="shared" si="354"/>
        <v>0</v>
      </c>
      <c r="S655" s="1475">
        <f t="shared" si="354"/>
        <v>0</v>
      </c>
      <c r="T655" s="1475">
        <f t="shared" si="354"/>
        <v>390000.00000000012</v>
      </c>
      <c r="U655" s="1475">
        <f t="shared" si="354"/>
        <v>420000.00000000012</v>
      </c>
      <c r="V655" s="1486">
        <f>SUM(Q655:U655)</f>
        <v>810000.00000000023</v>
      </c>
    </row>
    <row r="656" spans="1:22" s="263" customFormat="1" ht="24" customHeight="1">
      <c r="A656" s="1860">
        <v>2</v>
      </c>
      <c r="B656" s="1860">
        <v>1</v>
      </c>
      <c r="C656" s="1860">
        <v>5</v>
      </c>
      <c r="D656" s="1860">
        <v>2</v>
      </c>
      <c r="E656" s="1839"/>
      <c r="F656" s="1850" t="str">
        <f>CONCATENATE(A656,".",B656,".",C656,".",D656,)</f>
        <v>2.1.5.2</v>
      </c>
      <c r="G656" s="1837" t="s">
        <v>1113</v>
      </c>
      <c r="H656" s="1679" t="s">
        <v>755</v>
      </c>
      <c r="I656" s="1810" t="s">
        <v>754</v>
      </c>
      <c r="J656" s="262" t="s">
        <v>79</v>
      </c>
      <c r="K656" s="912"/>
      <c r="L656" s="913">
        <v>1500</v>
      </c>
      <c r="M656" s="914">
        <v>1500</v>
      </c>
      <c r="N656" s="914">
        <v>1500</v>
      </c>
      <c r="O656" s="914">
        <v>1500</v>
      </c>
      <c r="P656" s="914">
        <v>1500</v>
      </c>
      <c r="Q656" s="1484">
        <f>L656*H661</f>
        <v>300000</v>
      </c>
      <c r="R656" s="1484">
        <f>M656*H661</f>
        <v>300000</v>
      </c>
      <c r="S656" s="1484">
        <f>N656*H661</f>
        <v>300000</v>
      </c>
      <c r="T656" s="1484">
        <f>O656*H661</f>
        <v>300000</v>
      </c>
      <c r="U656" s="1484">
        <f>P656*H661</f>
        <v>300000</v>
      </c>
      <c r="V656" s="1485">
        <f t="shared" ref="V656:V663" si="355">SUM(Q656:U656)</f>
        <v>1500000</v>
      </c>
    </row>
    <row r="657" spans="1:22" s="99" customFormat="1" ht="24" customHeight="1">
      <c r="A657" s="1860">
        <v>1</v>
      </c>
      <c r="B657" s="1860"/>
      <c r="C657" s="1860"/>
      <c r="D657" s="1860"/>
      <c r="E657" s="1839"/>
      <c r="F657" s="1850"/>
      <c r="G657" s="1838"/>
      <c r="H657" s="1601"/>
      <c r="I657" s="1558"/>
      <c r="J657" s="40" t="s">
        <v>80</v>
      </c>
      <c r="K657" s="42"/>
      <c r="L657" s="364">
        <f t="shared" ref="L657:U657" si="356">SUM(L658:L664)</f>
        <v>1500</v>
      </c>
      <c r="M657" s="364">
        <f t="shared" si="356"/>
        <v>1500</v>
      </c>
      <c r="N657" s="364">
        <f t="shared" si="356"/>
        <v>1500</v>
      </c>
      <c r="O657" s="364">
        <f t="shared" si="356"/>
        <v>1050</v>
      </c>
      <c r="P657" s="364">
        <f t="shared" si="356"/>
        <v>1050</v>
      </c>
      <c r="Q657" s="1475">
        <f t="shared" si="356"/>
        <v>300000</v>
      </c>
      <c r="R657" s="1475">
        <f t="shared" si="356"/>
        <v>300000</v>
      </c>
      <c r="S657" s="1475">
        <f t="shared" si="356"/>
        <v>300000</v>
      </c>
      <c r="T657" s="1475">
        <f t="shared" si="356"/>
        <v>210000</v>
      </c>
      <c r="U657" s="1475">
        <f t="shared" si="356"/>
        <v>210000</v>
      </c>
      <c r="V657" s="1486">
        <f t="shared" si="355"/>
        <v>1320000</v>
      </c>
    </row>
    <row r="658" spans="1:22" s="99" customFormat="1" ht="24" customHeight="1">
      <c r="A658" s="1860">
        <v>1</v>
      </c>
      <c r="B658" s="1860"/>
      <c r="C658" s="1860"/>
      <c r="D658" s="1860"/>
      <c r="E658" s="1839"/>
      <c r="F658" s="1850"/>
      <c r="G658" s="1838"/>
      <c r="H658" s="1601"/>
      <c r="I658" s="1558"/>
      <c r="J658" s="40" t="s">
        <v>544</v>
      </c>
      <c r="K658" s="42"/>
      <c r="L658" s="364">
        <v>0</v>
      </c>
      <c r="M658" s="364">
        <v>0</v>
      </c>
      <c r="N658" s="364">
        <v>0</v>
      </c>
      <c r="O658" s="364">
        <v>0</v>
      </c>
      <c r="P658" s="364">
        <v>0</v>
      </c>
      <c r="Q658" s="1475">
        <f>L658*$H661</f>
        <v>0</v>
      </c>
      <c r="R658" s="1475">
        <f>M658*$H661</f>
        <v>0</v>
      </c>
      <c r="S658" s="1475">
        <f>N658*$H661</f>
        <v>0</v>
      </c>
      <c r="T658" s="1475">
        <f>O658*$H661</f>
        <v>0</v>
      </c>
      <c r="U658" s="1475">
        <f>P658*$H661</f>
        <v>0</v>
      </c>
      <c r="V658" s="1486">
        <f t="shared" si="355"/>
        <v>0</v>
      </c>
    </row>
    <row r="659" spans="1:22" s="99" customFormat="1" ht="24" customHeight="1">
      <c r="A659" s="1860">
        <v>1</v>
      </c>
      <c r="B659" s="1860"/>
      <c r="C659" s="1860"/>
      <c r="D659" s="1860"/>
      <c r="E659" s="1839"/>
      <c r="F659" s="1850"/>
      <c r="G659" s="1838"/>
      <c r="H659" s="1601"/>
      <c r="I659" s="1558"/>
      <c r="J659" s="40" t="s">
        <v>133</v>
      </c>
      <c r="K659" s="42"/>
      <c r="L659" s="364">
        <v>0</v>
      </c>
      <c r="M659" s="364">
        <v>0</v>
      </c>
      <c r="N659" s="364">
        <v>0</v>
      </c>
      <c r="O659" s="364">
        <v>0</v>
      </c>
      <c r="P659" s="364">
        <v>0</v>
      </c>
      <c r="Q659" s="1475">
        <f>L659*$H661</f>
        <v>0</v>
      </c>
      <c r="R659" s="1475">
        <f>M659*$H661</f>
        <v>0</v>
      </c>
      <c r="S659" s="1475">
        <f>N659*$H661</f>
        <v>0</v>
      </c>
      <c r="T659" s="1475">
        <f>O659*$H661</f>
        <v>0</v>
      </c>
      <c r="U659" s="1475">
        <f>P659*$H661</f>
        <v>0</v>
      </c>
      <c r="V659" s="1486">
        <f t="shared" si="355"/>
        <v>0</v>
      </c>
    </row>
    <row r="660" spans="1:22" s="99" customFormat="1" ht="24" customHeight="1">
      <c r="A660" s="1860">
        <v>1</v>
      </c>
      <c r="B660" s="1860"/>
      <c r="C660" s="1860"/>
      <c r="D660" s="1860"/>
      <c r="E660" s="1839"/>
      <c r="F660" s="1850"/>
      <c r="G660" s="1838"/>
      <c r="H660" s="1601"/>
      <c r="I660" s="1558"/>
      <c r="J660" s="40" t="s">
        <v>81</v>
      </c>
      <c r="K660" s="42"/>
      <c r="L660" s="364">
        <v>0</v>
      </c>
      <c r="M660" s="364">
        <v>0</v>
      </c>
      <c r="N660" s="364">
        <v>0</v>
      </c>
      <c r="O660" s="364">
        <v>0</v>
      </c>
      <c r="P660" s="364">
        <v>0</v>
      </c>
      <c r="Q660" s="1475">
        <f>L660*$H661</f>
        <v>0</v>
      </c>
      <c r="R660" s="1475">
        <f>M660*$H661</f>
        <v>0</v>
      </c>
      <c r="S660" s="1475">
        <f>N660*$H661</f>
        <v>0</v>
      </c>
      <c r="T660" s="1475">
        <f>O660*$H661</f>
        <v>0</v>
      </c>
      <c r="U660" s="1475">
        <f>P660*$H661</f>
        <v>0</v>
      </c>
      <c r="V660" s="1486">
        <f t="shared" si="355"/>
        <v>0</v>
      </c>
    </row>
    <row r="661" spans="1:22" s="99" customFormat="1" ht="24" customHeight="1">
      <c r="A661" s="1860">
        <v>1</v>
      </c>
      <c r="B661" s="1860"/>
      <c r="C661" s="1860"/>
      <c r="D661" s="1860"/>
      <c r="E661" s="1839"/>
      <c r="F661" s="1850"/>
      <c r="G661" s="1838"/>
      <c r="H661" s="1598">
        <v>200</v>
      </c>
      <c r="I661" s="1558"/>
      <c r="J661" s="40" t="s">
        <v>134</v>
      </c>
      <c r="K661" s="42"/>
      <c r="L661" s="364">
        <v>0</v>
      </c>
      <c r="M661" s="364">
        <v>0</v>
      </c>
      <c r="N661" s="364">
        <v>0</v>
      </c>
      <c r="O661" s="364">
        <f>O656*0.7</f>
        <v>1050</v>
      </c>
      <c r="P661" s="364">
        <f>P656*0.7</f>
        <v>1050</v>
      </c>
      <c r="Q661" s="1475">
        <f>L661*$H661</f>
        <v>0</v>
      </c>
      <c r="R661" s="1475">
        <f>M661*$H661</f>
        <v>0</v>
      </c>
      <c r="S661" s="1475">
        <f>N661*$H661</f>
        <v>0</v>
      </c>
      <c r="T661" s="1475">
        <f>O661*$H661</f>
        <v>210000</v>
      </c>
      <c r="U661" s="1475">
        <f>P661*$H661</f>
        <v>210000</v>
      </c>
      <c r="V661" s="1486">
        <f t="shared" si="355"/>
        <v>420000</v>
      </c>
    </row>
    <row r="662" spans="1:22" s="99" customFormat="1" ht="24" customHeight="1">
      <c r="A662" s="1860">
        <v>1</v>
      </c>
      <c r="B662" s="1860"/>
      <c r="C662" s="1860"/>
      <c r="D662" s="1860"/>
      <c r="E662" s="1839"/>
      <c r="F662" s="1850"/>
      <c r="G662" s="1838"/>
      <c r="H662" s="1599">
        <f>810*0.05</f>
        <v>40.5</v>
      </c>
      <c r="I662" s="1558"/>
      <c r="J662" s="40" t="s">
        <v>82</v>
      </c>
      <c r="K662" s="42"/>
      <c r="L662" s="364">
        <f>L656*0.7</f>
        <v>1050</v>
      </c>
      <c r="M662" s="364">
        <f t="shared" ref="M662:N662" si="357">M656*0.7</f>
        <v>1050</v>
      </c>
      <c r="N662" s="364">
        <f t="shared" si="357"/>
        <v>1050</v>
      </c>
      <c r="O662" s="364">
        <v>0</v>
      </c>
      <c r="P662" s="364">
        <v>0</v>
      </c>
      <c r="Q662" s="1475">
        <f>L662*$H661</f>
        <v>210000</v>
      </c>
      <c r="R662" s="1475">
        <f>M662*$H661</f>
        <v>210000</v>
      </c>
      <c r="S662" s="1475">
        <f>N662*$H661</f>
        <v>210000</v>
      </c>
      <c r="T662" s="1475">
        <f>O662*$H661</f>
        <v>0</v>
      </c>
      <c r="U662" s="1475">
        <f>P662*$H661</f>
        <v>0</v>
      </c>
      <c r="V662" s="1486">
        <f t="shared" si="355"/>
        <v>630000</v>
      </c>
    </row>
    <row r="663" spans="1:22" s="99" customFormat="1" ht="24" customHeight="1">
      <c r="A663" s="1860">
        <v>1</v>
      </c>
      <c r="B663" s="1860"/>
      <c r="C663" s="1860"/>
      <c r="D663" s="1860"/>
      <c r="E663" s="1839"/>
      <c r="F663" s="1850"/>
      <c r="G663" s="1838"/>
      <c r="H663" s="1599"/>
      <c r="I663" s="1558"/>
      <c r="J663" s="40" t="s">
        <v>90</v>
      </c>
      <c r="K663" s="42"/>
      <c r="L663" s="364">
        <f>L656*0.3</f>
        <v>450</v>
      </c>
      <c r="M663" s="364">
        <f t="shared" ref="M663:N663" si="358">M656*0.3</f>
        <v>450</v>
      </c>
      <c r="N663" s="364">
        <f t="shared" si="358"/>
        <v>450</v>
      </c>
      <c r="O663" s="364">
        <v>0</v>
      </c>
      <c r="P663" s="364">
        <v>0</v>
      </c>
      <c r="Q663" s="1475">
        <f>L663*$H661</f>
        <v>90000</v>
      </c>
      <c r="R663" s="1475">
        <f>M663*$H661</f>
        <v>90000</v>
      </c>
      <c r="S663" s="1475">
        <f>N663*$H661</f>
        <v>90000</v>
      </c>
      <c r="T663" s="1475">
        <f>O663*$H661</f>
        <v>0</v>
      </c>
      <c r="U663" s="1475">
        <f>P663*$H661</f>
        <v>0</v>
      </c>
      <c r="V663" s="1486">
        <f t="shared" si="355"/>
        <v>270000</v>
      </c>
    </row>
    <row r="664" spans="1:22" s="99" customFormat="1" ht="24" customHeight="1">
      <c r="A664" s="1860">
        <v>1</v>
      </c>
      <c r="B664" s="1860"/>
      <c r="C664" s="1860"/>
      <c r="D664" s="1860"/>
      <c r="E664" s="1839"/>
      <c r="F664" s="1850"/>
      <c r="G664" s="1838"/>
      <c r="H664" s="1599"/>
      <c r="I664" s="1558"/>
      <c r="J664" s="40" t="s">
        <v>83</v>
      </c>
      <c r="K664" s="42"/>
      <c r="L664" s="364">
        <v>0</v>
      </c>
      <c r="M664" s="364">
        <v>0</v>
      </c>
      <c r="N664" s="364">
        <v>0</v>
      </c>
      <c r="O664" s="364">
        <v>0</v>
      </c>
      <c r="P664" s="364">
        <v>0</v>
      </c>
      <c r="Q664" s="1475">
        <f>L664*$H661</f>
        <v>0</v>
      </c>
      <c r="R664" s="1475">
        <f>M664*$H661</f>
        <v>0</v>
      </c>
      <c r="S664" s="1475">
        <f>N664*$H661</f>
        <v>0</v>
      </c>
      <c r="T664" s="1475">
        <f>O664*$H661</f>
        <v>0</v>
      </c>
      <c r="U664" s="1475">
        <f>P664*$H661</f>
        <v>0</v>
      </c>
      <c r="V664" s="1486">
        <f>SUM(Q664:U664)</f>
        <v>0</v>
      </c>
    </row>
    <row r="665" spans="1:22" s="99" customFormat="1" ht="24" customHeight="1">
      <c r="A665" s="1860">
        <v>1</v>
      </c>
      <c r="B665" s="1860"/>
      <c r="C665" s="1860"/>
      <c r="D665" s="1860"/>
      <c r="E665" s="1839"/>
      <c r="F665" s="1851"/>
      <c r="G665" s="1838"/>
      <c r="H665" s="1733"/>
      <c r="I665" s="1558"/>
      <c r="J665" s="40" t="s">
        <v>84</v>
      </c>
      <c r="K665" s="42"/>
      <c r="L665" s="364">
        <f>L656-L657</f>
        <v>0</v>
      </c>
      <c r="M665" s="364">
        <f t="shared" ref="M665:U665" si="359">M656-M657</f>
        <v>0</v>
      </c>
      <c r="N665" s="364">
        <f t="shared" si="359"/>
        <v>0</v>
      </c>
      <c r="O665" s="364">
        <f t="shared" si="359"/>
        <v>450</v>
      </c>
      <c r="P665" s="364">
        <f t="shared" si="359"/>
        <v>450</v>
      </c>
      <c r="Q665" s="1475">
        <f t="shared" si="359"/>
        <v>0</v>
      </c>
      <c r="R665" s="1475">
        <f t="shared" si="359"/>
        <v>0</v>
      </c>
      <c r="S665" s="1475">
        <f t="shared" si="359"/>
        <v>0</v>
      </c>
      <c r="T665" s="1475">
        <f t="shared" si="359"/>
        <v>90000</v>
      </c>
      <c r="U665" s="1475">
        <f t="shared" si="359"/>
        <v>90000</v>
      </c>
      <c r="V665" s="1486">
        <f>SUM(Q665:U665)</f>
        <v>180000</v>
      </c>
    </row>
    <row r="666" spans="1:22" s="55" customFormat="1" ht="37.35" customHeight="1">
      <c r="A666" s="75">
        <v>2</v>
      </c>
      <c r="B666" s="75">
        <v>2</v>
      </c>
      <c r="C666" s="75"/>
      <c r="D666" s="75"/>
      <c r="E666" s="74" t="s">
        <v>12</v>
      </c>
      <c r="F666" s="915" t="str">
        <f>CONCATENATE(A666,".",B666)</f>
        <v>2.2</v>
      </c>
      <c r="G666" s="1573" t="s">
        <v>310</v>
      </c>
      <c r="H666" s="1574"/>
      <c r="I666" s="1574"/>
      <c r="J666" s="1575"/>
      <c r="K666" s="915"/>
      <c r="L666" s="916"/>
      <c r="M666" s="916"/>
      <c r="N666" s="916"/>
      <c r="O666" s="916"/>
      <c r="P666" s="916"/>
      <c r="Q666" s="1514">
        <f>Q667+Q758+Q819</f>
        <v>42140182.459177136</v>
      </c>
      <c r="R666" s="1514">
        <f t="shared" ref="R666:U666" si="360">R667+R758+R819</f>
        <v>46155519.261394851</v>
      </c>
      <c r="S666" s="1514">
        <f t="shared" si="360"/>
        <v>50191307.063834339</v>
      </c>
      <c r="T666" s="1514">
        <f t="shared" si="360"/>
        <v>54138923.746997774</v>
      </c>
      <c r="U666" s="1514">
        <f t="shared" si="360"/>
        <v>58270936.029997565</v>
      </c>
      <c r="V666" s="1514">
        <f t="shared" si="238"/>
        <v>250896868.56140167</v>
      </c>
    </row>
    <row r="667" spans="1:22" s="65" customFormat="1" ht="41.1" customHeight="1">
      <c r="A667" s="75">
        <v>2</v>
      </c>
      <c r="B667" s="75">
        <v>2</v>
      </c>
      <c r="C667" s="75">
        <v>1</v>
      </c>
      <c r="D667" s="75"/>
      <c r="E667" s="74"/>
      <c r="F667" s="917" t="str">
        <f>CONCATENATE(A667,".",B667,".",C667,)</f>
        <v>2.2.1</v>
      </c>
      <c r="G667" s="1576" t="s">
        <v>321</v>
      </c>
      <c r="H667" s="1577"/>
      <c r="I667" s="1577"/>
      <c r="J667" s="1578"/>
      <c r="K667" s="917"/>
      <c r="L667" s="385"/>
      <c r="M667" s="385"/>
      <c r="N667" s="385"/>
      <c r="O667" s="385"/>
      <c r="P667" s="385"/>
      <c r="Q667" s="1515">
        <f>Q669+Q679+Q689+Q699+Q709+Q719+Q729+Q739+Q749</f>
        <v>2064810.999177143</v>
      </c>
      <c r="R667" s="1515">
        <f t="shared" ref="R667:V667" si="361">R669+R679+R689+R699+R709+R719+R729+R739+R749</f>
        <v>2269321.0013948577</v>
      </c>
      <c r="S667" s="1515">
        <f t="shared" si="361"/>
        <v>2494282.0038343435</v>
      </c>
      <c r="T667" s="1515">
        <f t="shared" si="361"/>
        <v>2631071.886997778</v>
      </c>
      <c r="U667" s="1515">
        <f t="shared" si="361"/>
        <v>2892207.9779975559</v>
      </c>
      <c r="V667" s="1515">
        <f t="shared" si="361"/>
        <v>12351693.869401677</v>
      </c>
    </row>
    <row r="668" spans="1:22" s="64" customFormat="1" ht="24" customHeight="1">
      <c r="A668" s="1860">
        <v>2</v>
      </c>
      <c r="B668" s="1860">
        <v>2</v>
      </c>
      <c r="C668" s="1860">
        <v>1</v>
      </c>
      <c r="D668" s="1860">
        <v>1</v>
      </c>
      <c r="E668" s="1839"/>
      <c r="F668" s="1844" t="str">
        <f>CONCATENATE(A668,".",B668,".",C668,".",D668,)</f>
        <v>2.2.1.1</v>
      </c>
      <c r="G668" s="2011" t="s">
        <v>1019</v>
      </c>
      <c r="H668" s="1601" t="s">
        <v>146</v>
      </c>
      <c r="I668" s="1764" t="s">
        <v>1017</v>
      </c>
      <c r="J668" s="36" t="s">
        <v>79</v>
      </c>
      <c r="K668" s="891"/>
      <c r="L668" s="891">
        <f>'Budget Assumption_Lab Comp2'!$K$269</f>
        <v>1516.2289999999998</v>
      </c>
      <c r="M668" s="891">
        <f>'Budget Assumption_Lab Comp2'!$K$269</f>
        <v>1516.2289999999998</v>
      </c>
      <c r="N668" s="891">
        <f>'Budget Assumption_Lab Comp2'!$K$269</f>
        <v>1516.2289999999998</v>
      </c>
      <c r="O668" s="891">
        <f>'Budget Assumption_Lab Comp2'!$K$269</f>
        <v>1516.2289999999998</v>
      </c>
      <c r="P668" s="891">
        <f>'Budget Assumption_Lab Comp2'!$K$269</f>
        <v>1516.2289999999998</v>
      </c>
      <c r="Q668" s="1475">
        <f>L668*H673</f>
        <v>19710.976999999999</v>
      </c>
      <c r="R668" s="1475">
        <f>M668*H673</f>
        <v>19710.976999999999</v>
      </c>
      <c r="S668" s="1475">
        <f>N668*H673</f>
        <v>19710.976999999999</v>
      </c>
      <c r="T668" s="1475">
        <f>O668*H673</f>
        <v>19710.976999999999</v>
      </c>
      <c r="U668" s="1475">
        <f>P668*H673</f>
        <v>19710.976999999999</v>
      </c>
      <c r="V668" s="1476">
        <f t="shared" ref="V668:V675" si="362">SUM(Q668:U668)</f>
        <v>98554.884999999995</v>
      </c>
    </row>
    <row r="669" spans="1:22" s="39" customFormat="1" ht="24" customHeight="1">
      <c r="A669" s="1860">
        <v>2</v>
      </c>
      <c r="B669" s="1860"/>
      <c r="C669" s="1860"/>
      <c r="D669" s="1860"/>
      <c r="E669" s="1839"/>
      <c r="F669" s="1844"/>
      <c r="G669" s="2012"/>
      <c r="H669" s="1601"/>
      <c r="I669" s="1765"/>
      <c r="J669" s="40" t="s">
        <v>80</v>
      </c>
      <c r="K669" s="91"/>
      <c r="L669" s="41">
        <f t="shared" ref="L669:U669" si="363">SUM(L670:L676)</f>
        <v>1516.2290000000003</v>
      </c>
      <c r="M669" s="41">
        <f t="shared" si="363"/>
        <v>1516.2290000000003</v>
      </c>
      <c r="N669" s="41">
        <f t="shared" si="363"/>
        <v>1516.2290000000003</v>
      </c>
      <c r="O669" s="41">
        <f t="shared" si="363"/>
        <v>1516.2290000000003</v>
      </c>
      <c r="P669" s="41">
        <f t="shared" si="363"/>
        <v>1516.2290000000003</v>
      </c>
      <c r="Q669" s="1475">
        <f t="shared" si="363"/>
        <v>19710.977000000003</v>
      </c>
      <c r="R669" s="1475">
        <f t="shared" si="363"/>
        <v>19710.977000000003</v>
      </c>
      <c r="S669" s="1475">
        <f t="shared" si="363"/>
        <v>19710.977000000003</v>
      </c>
      <c r="T669" s="1475">
        <f t="shared" si="363"/>
        <v>19710.977000000003</v>
      </c>
      <c r="U669" s="1475">
        <f t="shared" si="363"/>
        <v>19710.977000000003</v>
      </c>
      <c r="V669" s="1476">
        <f t="shared" si="362"/>
        <v>98554.885000000009</v>
      </c>
    </row>
    <row r="670" spans="1:22" s="39" customFormat="1" ht="24" customHeight="1">
      <c r="A670" s="1860">
        <v>2</v>
      </c>
      <c r="B670" s="1860"/>
      <c r="C670" s="1860"/>
      <c r="D670" s="1860"/>
      <c r="E670" s="1839"/>
      <c r="F670" s="1844"/>
      <c r="G670" s="2012"/>
      <c r="H670" s="1601"/>
      <c r="I670" s="1765"/>
      <c r="J670" s="40" t="s">
        <v>429</v>
      </c>
      <c r="K670" s="42"/>
      <c r="L670" s="891">
        <f>'Budget Assumption_Lab Comp2'!$K$278</f>
        <v>1174.1730000000002</v>
      </c>
      <c r="M670" s="891">
        <f>'Budget Assumption_Lab Comp2'!$K$278</f>
        <v>1174.1730000000002</v>
      </c>
      <c r="N670" s="891">
        <f>'Budget Assumption_Lab Comp2'!$K$278</f>
        <v>1174.1730000000002</v>
      </c>
      <c r="O670" s="891">
        <f>'Budget Assumption_Lab Comp2'!$K$278</f>
        <v>1174.1730000000002</v>
      </c>
      <c r="P670" s="891">
        <f>'Budget Assumption_Lab Comp2'!$K$278</f>
        <v>1174.1730000000002</v>
      </c>
      <c r="Q670" s="1475">
        <f>L670*$H673</f>
        <v>15264.249000000003</v>
      </c>
      <c r="R670" s="1475">
        <f>M670*$H673</f>
        <v>15264.249000000003</v>
      </c>
      <c r="S670" s="1475">
        <f>N670*$H673</f>
        <v>15264.249000000003</v>
      </c>
      <c r="T670" s="1475">
        <f>O670*$H673</f>
        <v>15264.249000000003</v>
      </c>
      <c r="U670" s="1475">
        <f>P670*$H673</f>
        <v>15264.249000000003</v>
      </c>
      <c r="V670" s="1476">
        <f t="shared" si="362"/>
        <v>76321.245000000024</v>
      </c>
    </row>
    <row r="671" spans="1:22" s="39" customFormat="1" ht="24" customHeight="1">
      <c r="A671" s="1860">
        <v>2</v>
      </c>
      <c r="B671" s="1860"/>
      <c r="C671" s="1860"/>
      <c r="D671" s="1860"/>
      <c r="E671" s="1839"/>
      <c r="F671" s="1844"/>
      <c r="G671" s="2012"/>
      <c r="H671" s="1601"/>
      <c r="I671" s="1765"/>
      <c r="J671" s="40" t="s">
        <v>133</v>
      </c>
      <c r="K671" s="42"/>
      <c r="L671" s="41">
        <f>'Budget Assumption_Lab Comp2'!$K$287</f>
        <v>342.05599999999998</v>
      </c>
      <c r="M671" s="41">
        <f>'Budget Assumption_Lab Comp2'!$K$287</f>
        <v>342.05599999999998</v>
      </c>
      <c r="N671" s="41">
        <f>'Budget Assumption_Lab Comp2'!$K$287</f>
        <v>342.05599999999998</v>
      </c>
      <c r="O671" s="41">
        <f>'Budget Assumption_Lab Comp2'!$K$287</f>
        <v>342.05599999999998</v>
      </c>
      <c r="P671" s="41">
        <f>'Budget Assumption_Lab Comp2'!$K$287</f>
        <v>342.05599999999998</v>
      </c>
      <c r="Q671" s="1475">
        <f>L671*$H673</f>
        <v>4446.7280000000001</v>
      </c>
      <c r="R671" s="1475">
        <f>M671*$H673</f>
        <v>4446.7280000000001</v>
      </c>
      <c r="S671" s="1475">
        <f>N671*$H673</f>
        <v>4446.7280000000001</v>
      </c>
      <c r="T671" s="1475">
        <f>O671*$H673</f>
        <v>4446.7280000000001</v>
      </c>
      <c r="U671" s="1475">
        <f>P671*$H673</f>
        <v>4446.7280000000001</v>
      </c>
      <c r="V671" s="1476">
        <f t="shared" si="362"/>
        <v>22233.64</v>
      </c>
    </row>
    <row r="672" spans="1:22" s="39" customFormat="1" ht="24" customHeight="1">
      <c r="A672" s="1860">
        <v>2</v>
      </c>
      <c r="B672" s="1860"/>
      <c r="C672" s="1860"/>
      <c r="D672" s="1860"/>
      <c r="E672" s="1839"/>
      <c r="F672" s="1844"/>
      <c r="G672" s="2012"/>
      <c r="H672" s="1601"/>
      <c r="I672" s="1765"/>
      <c r="J672" s="40" t="s">
        <v>81</v>
      </c>
      <c r="K672" s="42"/>
      <c r="L672" s="41">
        <v>0</v>
      </c>
      <c r="M672" s="41">
        <v>0</v>
      </c>
      <c r="N672" s="41">
        <v>0</v>
      </c>
      <c r="O672" s="41">
        <v>0</v>
      </c>
      <c r="P672" s="41">
        <v>0</v>
      </c>
      <c r="Q672" s="1475">
        <f>L672*$H673</f>
        <v>0</v>
      </c>
      <c r="R672" s="1475">
        <f>M672*$H673</f>
        <v>0</v>
      </c>
      <c r="S672" s="1475">
        <f>N672*$H673</f>
        <v>0</v>
      </c>
      <c r="T672" s="1475">
        <f>O672*$H673</f>
        <v>0</v>
      </c>
      <c r="U672" s="1475">
        <f>P672*$H673</f>
        <v>0</v>
      </c>
      <c r="V672" s="1476">
        <f t="shared" si="362"/>
        <v>0</v>
      </c>
    </row>
    <row r="673" spans="1:25" s="39" customFormat="1" ht="24" customHeight="1">
      <c r="A673" s="1860">
        <v>2</v>
      </c>
      <c r="B673" s="1860"/>
      <c r="C673" s="1860"/>
      <c r="D673" s="1860"/>
      <c r="E673" s="1839"/>
      <c r="F673" s="1844"/>
      <c r="G673" s="2012"/>
      <c r="H673" s="1595">
        <f>'Budget Assumption_Lab Comp2'!Q269</f>
        <v>13</v>
      </c>
      <c r="I673" s="1765"/>
      <c r="J673" s="40" t="s">
        <v>134</v>
      </c>
      <c r="K673" s="42"/>
      <c r="L673" s="41">
        <v>0</v>
      </c>
      <c r="M673" s="41">
        <v>0</v>
      </c>
      <c r="N673" s="41">
        <v>0</v>
      </c>
      <c r="O673" s="41">
        <v>0</v>
      </c>
      <c r="P673" s="41">
        <v>0</v>
      </c>
      <c r="Q673" s="1475">
        <f>L673*$H673</f>
        <v>0</v>
      </c>
      <c r="R673" s="1475">
        <f>M673*$H673</f>
        <v>0</v>
      </c>
      <c r="S673" s="1475">
        <f>N673*$H673</f>
        <v>0</v>
      </c>
      <c r="T673" s="1475">
        <f>O673*$H673</f>
        <v>0</v>
      </c>
      <c r="U673" s="1475">
        <f>P673*$H673</f>
        <v>0</v>
      </c>
      <c r="V673" s="1476">
        <f t="shared" si="362"/>
        <v>0</v>
      </c>
    </row>
    <row r="674" spans="1:25" s="39" customFormat="1" ht="24" customHeight="1">
      <c r="A674" s="1860">
        <v>2</v>
      </c>
      <c r="B674" s="1860"/>
      <c r="C674" s="1860"/>
      <c r="D674" s="1860"/>
      <c r="E674" s="1839"/>
      <c r="F674" s="1844"/>
      <c r="G674" s="2012"/>
      <c r="H674" s="1596">
        <f>810*0.05</f>
        <v>40.5</v>
      </c>
      <c r="I674" s="1765"/>
      <c r="J674" s="40" t="s">
        <v>82</v>
      </c>
      <c r="K674" s="42"/>
      <c r="L674" s="41">
        <v>0</v>
      </c>
      <c r="M674" s="41">
        <v>0</v>
      </c>
      <c r="N674" s="41">
        <v>0</v>
      </c>
      <c r="O674" s="41">
        <v>0</v>
      </c>
      <c r="P674" s="41">
        <v>0</v>
      </c>
      <c r="Q674" s="1475">
        <f>L674*$H673</f>
        <v>0</v>
      </c>
      <c r="R674" s="1475">
        <f>M674*$H673</f>
        <v>0</v>
      </c>
      <c r="S674" s="1475">
        <f>N674*$H673</f>
        <v>0</v>
      </c>
      <c r="T674" s="1475">
        <f>O674*$H673</f>
        <v>0</v>
      </c>
      <c r="U674" s="1475">
        <f>P674*$H673</f>
        <v>0</v>
      </c>
      <c r="V674" s="1476">
        <f t="shared" si="362"/>
        <v>0</v>
      </c>
    </row>
    <row r="675" spans="1:25" s="39" customFormat="1" ht="24" customHeight="1">
      <c r="A675" s="1860">
        <v>2</v>
      </c>
      <c r="B675" s="1860"/>
      <c r="C675" s="1860"/>
      <c r="D675" s="1860"/>
      <c r="E675" s="1839"/>
      <c r="F675" s="1844"/>
      <c r="G675" s="2012"/>
      <c r="H675" s="1596"/>
      <c r="I675" s="1765"/>
      <c r="J675" s="40" t="s">
        <v>90</v>
      </c>
      <c r="K675" s="42"/>
      <c r="L675" s="41">
        <v>0</v>
      </c>
      <c r="M675" s="41">
        <v>0</v>
      </c>
      <c r="N675" s="41">
        <v>0</v>
      </c>
      <c r="O675" s="41">
        <v>0</v>
      </c>
      <c r="P675" s="41">
        <v>0</v>
      </c>
      <c r="Q675" s="1475">
        <f>L675*$H673</f>
        <v>0</v>
      </c>
      <c r="R675" s="1475">
        <f>M675*$H673</f>
        <v>0</v>
      </c>
      <c r="S675" s="1475">
        <f>N675*$H673</f>
        <v>0</v>
      </c>
      <c r="T675" s="1475">
        <f>O675*$H673</f>
        <v>0</v>
      </c>
      <c r="U675" s="1475">
        <f>P675*$H673</f>
        <v>0</v>
      </c>
      <c r="V675" s="1476">
        <f t="shared" si="362"/>
        <v>0</v>
      </c>
      <c r="W675" s="258"/>
      <c r="X675" s="258"/>
      <c r="Y675" s="258"/>
    </row>
    <row r="676" spans="1:25" s="39" customFormat="1" ht="24" customHeight="1">
      <c r="A676" s="1860">
        <v>2</v>
      </c>
      <c r="B676" s="1860"/>
      <c r="C676" s="1860"/>
      <c r="D676" s="1860"/>
      <c r="E676" s="1839"/>
      <c r="F676" s="1844"/>
      <c r="G676" s="2012"/>
      <c r="H676" s="1596"/>
      <c r="I676" s="1765"/>
      <c r="J676" s="40" t="s">
        <v>83</v>
      </c>
      <c r="K676" s="42"/>
      <c r="L676" s="41">
        <v>0</v>
      </c>
      <c r="M676" s="41">
        <v>0</v>
      </c>
      <c r="N676" s="41">
        <v>0</v>
      </c>
      <c r="O676" s="41">
        <v>0</v>
      </c>
      <c r="P676" s="41">
        <v>0</v>
      </c>
      <c r="Q676" s="1475">
        <f>L676*$H673</f>
        <v>0</v>
      </c>
      <c r="R676" s="1475">
        <f>M676*$H673</f>
        <v>0</v>
      </c>
      <c r="S676" s="1475">
        <f>N676*$H673</f>
        <v>0</v>
      </c>
      <c r="T676" s="1475">
        <f>O676*$H673</f>
        <v>0</v>
      </c>
      <c r="U676" s="1475">
        <f>P676*$H673</f>
        <v>0</v>
      </c>
      <c r="V676" s="1476">
        <f t="shared" ref="V676:V737" si="364">SUM(Q676:U676)</f>
        <v>0</v>
      </c>
      <c r="W676" s="258"/>
      <c r="X676" s="258"/>
      <c r="Y676" s="258"/>
    </row>
    <row r="677" spans="1:25" s="39" customFormat="1" ht="24" customHeight="1" thickBot="1">
      <c r="A677" s="1860">
        <v>2</v>
      </c>
      <c r="B677" s="1860"/>
      <c r="C677" s="1860"/>
      <c r="D677" s="1860"/>
      <c r="E677" s="1839"/>
      <c r="F677" s="1845"/>
      <c r="G677" s="2013"/>
      <c r="H677" s="1597"/>
      <c r="I677" s="1766"/>
      <c r="J677" s="80" t="s">
        <v>84</v>
      </c>
      <c r="K677" s="81"/>
      <c r="L677" s="814">
        <f>L668-L669</f>
        <v>0</v>
      </c>
      <c r="M677" s="814">
        <f t="shared" ref="M677:U677" si="365">M668-M669</f>
        <v>0</v>
      </c>
      <c r="N677" s="814">
        <f t="shared" si="365"/>
        <v>0</v>
      </c>
      <c r="O677" s="814">
        <f t="shared" si="365"/>
        <v>0</v>
      </c>
      <c r="P677" s="814">
        <f t="shared" si="365"/>
        <v>0</v>
      </c>
      <c r="Q677" s="1487">
        <f t="shared" si="365"/>
        <v>0</v>
      </c>
      <c r="R677" s="1487">
        <f t="shared" si="365"/>
        <v>0</v>
      </c>
      <c r="S677" s="1487">
        <f t="shared" si="365"/>
        <v>0</v>
      </c>
      <c r="T677" s="1487">
        <f t="shared" si="365"/>
        <v>0</v>
      </c>
      <c r="U677" s="1487">
        <f t="shared" si="365"/>
        <v>0</v>
      </c>
      <c r="V677" s="1500">
        <f t="shared" si="364"/>
        <v>0</v>
      </c>
    </row>
    <row r="678" spans="1:25" s="64" customFormat="1" ht="24" customHeight="1">
      <c r="A678" s="1860">
        <v>2</v>
      </c>
      <c r="B678" s="1860">
        <v>2</v>
      </c>
      <c r="C678" s="1860">
        <v>1</v>
      </c>
      <c r="D678" s="1860">
        <v>2</v>
      </c>
      <c r="E678" s="1839"/>
      <c r="F678" s="1951" t="str">
        <f>CONCATENATE(A678,".",B678,".",C678,".",D678,)</f>
        <v>2.2.1.2</v>
      </c>
      <c r="G678" s="2014" t="s">
        <v>1421</v>
      </c>
      <c r="H678" s="1684" t="s">
        <v>146</v>
      </c>
      <c r="I678" s="1916" t="s">
        <v>1017</v>
      </c>
      <c r="J678" s="262" t="s">
        <v>79</v>
      </c>
      <c r="K678" s="912"/>
      <c r="L678" s="891">
        <f>'Budget Assumption_Lab Comp2'!K270</f>
        <v>1166.33</v>
      </c>
      <c r="M678" s="891">
        <f>'Budget Assumption_Lab Comp2'!L270</f>
        <v>1282.963</v>
      </c>
      <c r="N678" s="891">
        <f>'Budget Assumption_Lab Comp2'!M270</f>
        <v>1411.2593000000002</v>
      </c>
      <c r="O678" s="891">
        <f>'Budget Assumption_Lab Comp2'!N270</f>
        <v>1552.3852300000001</v>
      </c>
      <c r="P678" s="891">
        <f>'Budget Assumption_Lab Comp2'!O270</f>
        <v>1707.6237530000003</v>
      </c>
      <c r="Q678" s="1484">
        <f>L678*H683</f>
        <v>368560.27999999997</v>
      </c>
      <c r="R678" s="1484">
        <f>M678*H683</f>
        <v>405416.30799999996</v>
      </c>
      <c r="S678" s="1484">
        <f>N678*H683</f>
        <v>445957.93880000006</v>
      </c>
      <c r="T678" s="1484">
        <f>O678*H683</f>
        <v>490553.73268000002</v>
      </c>
      <c r="U678" s="1484">
        <f>P678*H683</f>
        <v>539609.1059480001</v>
      </c>
      <c r="V678" s="1516">
        <f t="shared" si="364"/>
        <v>2250097.3654280002</v>
      </c>
    </row>
    <row r="679" spans="1:25" s="39" customFormat="1" ht="24" customHeight="1">
      <c r="A679" s="1860">
        <v>2</v>
      </c>
      <c r="B679" s="1860"/>
      <c r="C679" s="1860"/>
      <c r="D679" s="1860"/>
      <c r="E679" s="1839"/>
      <c r="F679" s="1952"/>
      <c r="G679" s="2015"/>
      <c r="H679" s="1685"/>
      <c r="I679" s="1662"/>
      <c r="J679" s="40" t="s">
        <v>80</v>
      </c>
      <c r="K679" s="91"/>
      <c r="L679" s="41">
        <f t="shared" ref="L679:P679" si="366">SUM(L680:L686)</f>
        <v>1166.33</v>
      </c>
      <c r="M679" s="41">
        <f t="shared" si="366"/>
        <v>1282.9630000000002</v>
      </c>
      <c r="N679" s="41">
        <f t="shared" si="366"/>
        <v>1411.2593000000002</v>
      </c>
      <c r="O679" s="41">
        <f t="shared" si="366"/>
        <v>1202.1725100000003</v>
      </c>
      <c r="P679" s="41">
        <f t="shared" si="366"/>
        <v>1322.3897610000006</v>
      </c>
      <c r="Q679" s="1475">
        <f t="shared" ref="Q679:U679" si="367">SUM(Q680:Q686)</f>
        <v>368560.27999999997</v>
      </c>
      <c r="R679" s="1475">
        <f t="shared" si="367"/>
        <v>405416.30800000002</v>
      </c>
      <c r="S679" s="1475">
        <f t="shared" si="367"/>
        <v>445957.93880000012</v>
      </c>
      <c r="T679" s="1475">
        <f t="shared" si="367"/>
        <v>379886.51316000009</v>
      </c>
      <c r="U679" s="1475">
        <f t="shared" si="367"/>
        <v>417875.16447600018</v>
      </c>
      <c r="V679" s="1476">
        <f t="shared" si="364"/>
        <v>2017696.2044360004</v>
      </c>
    </row>
    <row r="680" spans="1:25" s="39" customFormat="1" ht="24" customHeight="1">
      <c r="A680" s="1860">
        <v>2</v>
      </c>
      <c r="B680" s="1860"/>
      <c r="C680" s="1860"/>
      <c r="D680" s="1860"/>
      <c r="E680" s="1839"/>
      <c r="F680" s="1952"/>
      <c r="G680" s="2015"/>
      <c r="H680" s="1685"/>
      <c r="I680" s="1662"/>
      <c r="J680" s="40" t="s">
        <v>429</v>
      </c>
      <c r="K680" s="42"/>
      <c r="L680" s="891">
        <f>'Budget Assumption_Lab Comp2'!K279</f>
        <v>903.21</v>
      </c>
      <c r="M680" s="891">
        <f>'Budget Assumption_Lab Comp2'!L279</f>
        <v>993.53100000000006</v>
      </c>
      <c r="N680" s="891">
        <f>'Budget Assumption_Lab Comp2'!M279</f>
        <v>1092.8841000000002</v>
      </c>
      <c r="O680" s="891">
        <f>'Budget Assumption_Lab Comp2'!N279</f>
        <v>1202.1725100000003</v>
      </c>
      <c r="P680" s="891">
        <f>'Budget Assumption_Lab Comp2'!O279</f>
        <v>1322.3897610000006</v>
      </c>
      <c r="Q680" s="1475">
        <f>L680*$H683</f>
        <v>285414.36</v>
      </c>
      <c r="R680" s="1475">
        <f>M680*$H683</f>
        <v>313955.79600000003</v>
      </c>
      <c r="S680" s="1475">
        <f>N680*$H683</f>
        <v>345351.37560000009</v>
      </c>
      <c r="T680" s="1475">
        <f>O680*$H683</f>
        <v>379886.51316000009</v>
      </c>
      <c r="U680" s="1475">
        <f>P680*$H683</f>
        <v>417875.16447600018</v>
      </c>
      <c r="V680" s="1476">
        <f t="shared" si="364"/>
        <v>1742483.2092360004</v>
      </c>
    </row>
    <row r="681" spans="1:25" s="39" customFormat="1" ht="24" customHeight="1">
      <c r="A681" s="1860">
        <v>2</v>
      </c>
      <c r="B681" s="1860"/>
      <c r="C681" s="1860"/>
      <c r="D681" s="1860"/>
      <c r="E681" s="1839"/>
      <c r="F681" s="1952"/>
      <c r="G681" s="2015"/>
      <c r="H681" s="1685"/>
      <c r="I681" s="1662"/>
      <c r="J681" s="40" t="s">
        <v>133</v>
      </c>
      <c r="K681" s="42"/>
      <c r="L681" s="41">
        <v>0</v>
      </c>
      <c r="M681" s="41">
        <v>0</v>
      </c>
      <c r="N681" s="41">
        <v>0</v>
      </c>
      <c r="O681" s="41">
        <v>0</v>
      </c>
      <c r="P681" s="41">
        <v>0</v>
      </c>
      <c r="Q681" s="1475">
        <f>L681*$H683</f>
        <v>0</v>
      </c>
      <c r="R681" s="1475">
        <f>M681*$H683</f>
        <v>0</v>
      </c>
      <c r="S681" s="1475">
        <f>N681*$H683</f>
        <v>0</v>
      </c>
      <c r="T681" s="1475">
        <f>O681*$H683</f>
        <v>0</v>
      </c>
      <c r="U681" s="1475">
        <f>P681*$H683</f>
        <v>0</v>
      </c>
      <c r="V681" s="1476">
        <f t="shared" si="364"/>
        <v>0</v>
      </c>
    </row>
    <row r="682" spans="1:25" s="39" customFormat="1" ht="24" customHeight="1">
      <c r="A682" s="1860">
        <v>2</v>
      </c>
      <c r="B682" s="1860"/>
      <c r="C682" s="1860"/>
      <c r="D682" s="1860"/>
      <c r="E682" s="1839"/>
      <c r="F682" s="1952"/>
      <c r="G682" s="2015"/>
      <c r="H682" s="1685"/>
      <c r="I682" s="1662"/>
      <c r="J682" s="40" t="s">
        <v>81</v>
      </c>
      <c r="K682" s="42"/>
      <c r="L682" s="41">
        <v>0</v>
      </c>
      <c r="M682" s="41">
        <v>0</v>
      </c>
      <c r="N682" s="41">
        <v>0</v>
      </c>
      <c r="O682" s="41">
        <v>0</v>
      </c>
      <c r="P682" s="41">
        <v>0</v>
      </c>
      <c r="Q682" s="1475">
        <f>L682*$H683</f>
        <v>0</v>
      </c>
      <c r="R682" s="1475">
        <f>M682*$H683</f>
        <v>0</v>
      </c>
      <c r="S682" s="1475">
        <f>N682*$H683</f>
        <v>0</v>
      </c>
      <c r="T682" s="1475">
        <f>O682*$H683</f>
        <v>0</v>
      </c>
      <c r="U682" s="1475">
        <f>P682*$H683</f>
        <v>0</v>
      </c>
      <c r="V682" s="1476">
        <f t="shared" si="364"/>
        <v>0</v>
      </c>
    </row>
    <row r="683" spans="1:25" s="39" customFormat="1" ht="24" customHeight="1">
      <c r="A683" s="1860">
        <v>2</v>
      </c>
      <c r="B683" s="1860"/>
      <c r="C683" s="1860"/>
      <c r="D683" s="1860"/>
      <c r="E683" s="1839"/>
      <c r="F683" s="1952"/>
      <c r="G683" s="2015"/>
      <c r="H683" s="1756">
        <f>'Budget Assumption_Lab Comp2'!Q270</f>
        <v>316</v>
      </c>
      <c r="I683" s="1662"/>
      <c r="J683" s="40" t="s">
        <v>134</v>
      </c>
      <c r="K683" s="42"/>
      <c r="L683" s="41">
        <v>0</v>
      </c>
      <c r="M683" s="41">
        <v>0</v>
      </c>
      <c r="N683" s="41">
        <v>0</v>
      </c>
      <c r="O683" s="41">
        <v>0</v>
      </c>
      <c r="P683" s="41">
        <v>0</v>
      </c>
      <c r="Q683" s="1475">
        <f>L683*$H683</f>
        <v>0</v>
      </c>
      <c r="R683" s="1475">
        <f>M683*$H683</f>
        <v>0</v>
      </c>
      <c r="S683" s="1475">
        <f>N683*$H683</f>
        <v>0</v>
      </c>
      <c r="T683" s="1475">
        <f>O683*$H683</f>
        <v>0</v>
      </c>
      <c r="U683" s="1475">
        <f>P683*$H683</f>
        <v>0</v>
      </c>
      <c r="V683" s="1475">
        <f t="shared" si="364"/>
        <v>0</v>
      </c>
    </row>
    <row r="684" spans="1:25" s="39" customFormat="1" ht="24" customHeight="1">
      <c r="A684" s="1860">
        <v>2</v>
      </c>
      <c r="B684" s="1860"/>
      <c r="C684" s="1860"/>
      <c r="D684" s="1860"/>
      <c r="E684" s="1839"/>
      <c r="F684" s="1952"/>
      <c r="G684" s="2015"/>
      <c r="H684" s="1757">
        <f>810*0.05</f>
        <v>40.5</v>
      </c>
      <c r="I684" s="1662"/>
      <c r="J684" s="40" t="s">
        <v>82</v>
      </c>
      <c r="K684" s="42"/>
      <c r="L684" s="41">
        <v>0</v>
      </c>
      <c r="M684" s="41">
        <v>0</v>
      </c>
      <c r="N684" s="41">
        <v>0</v>
      </c>
      <c r="O684" s="41">
        <v>0</v>
      </c>
      <c r="P684" s="41">
        <v>0</v>
      </c>
      <c r="Q684" s="1475">
        <f>L684*$H683</f>
        <v>0</v>
      </c>
      <c r="R684" s="1475">
        <f>M684*$H683</f>
        <v>0</v>
      </c>
      <c r="S684" s="1475">
        <f>N684*$H683</f>
        <v>0</v>
      </c>
      <c r="T684" s="1475">
        <f>O684*$H683</f>
        <v>0</v>
      </c>
      <c r="U684" s="1475">
        <f>P684*$H683</f>
        <v>0</v>
      </c>
      <c r="V684" s="1475">
        <f t="shared" si="364"/>
        <v>0</v>
      </c>
    </row>
    <row r="685" spans="1:25" s="39" customFormat="1" ht="24" customHeight="1">
      <c r="A685" s="1860">
        <v>2</v>
      </c>
      <c r="B685" s="1860"/>
      <c r="C685" s="1860"/>
      <c r="D685" s="1860"/>
      <c r="E685" s="1839"/>
      <c r="F685" s="1952"/>
      <c r="G685" s="2015"/>
      <c r="H685" s="1757"/>
      <c r="I685" s="1662"/>
      <c r="J685" s="40" t="s">
        <v>90</v>
      </c>
      <c r="K685" s="42"/>
      <c r="L685" s="41">
        <f>'Budget Assumption_Lab Comp2'!K288</f>
        <v>263.12</v>
      </c>
      <c r="M685" s="41">
        <f>'Budget Assumption_Lab Comp2'!L288</f>
        <v>289.43200000000002</v>
      </c>
      <c r="N685" s="41">
        <f>'Budget Assumption_Lab Comp2'!M288</f>
        <v>318.37520000000006</v>
      </c>
      <c r="O685" s="41">
        <v>0</v>
      </c>
      <c r="P685" s="41">
        <v>0</v>
      </c>
      <c r="Q685" s="1475">
        <f>L685*$H683</f>
        <v>83145.919999999998</v>
      </c>
      <c r="R685" s="1475">
        <f>M685*$H683</f>
        <v>91460.512000000002</v>
      </c>
      <c r="S685" s="1475">
        <f>N685*$H683</f>
        <v>100606.56320000002</v>
      </c>
      <c r="T685" s="1475">
        <f>O685*$H683</f>
        <v>0</v>
      </c>
      <c r="U685" s="1475">
        <f>P685*$H683</f>
        <v>0</v>
      </c>
      <c r="V685" s="1475">
        <f t="shared" si="364"/>
        <v>275212.9952</v>
      </c>
      <c r="W685" s="258"/>
      <c r="X685" s="258"/>
      <c r="Y685" s="258"/>
    </row>
    <row r="686" spans="1:25" s="39" customFormat="1" ht="24" customHeight="1">
      <c r="A686" s="1860">
        <v>2</v>
      </c>
      <c r="B686" s="1860"/>
      <c r="C686" s="1860"/>
      <c r="D686" s="1860"/>
      <c r="E686" s="1839"/>
      <c r="F686" s="1952"/>
      <c r="G686" s="2015"/>
      <c r="H686" s="1757"/>
      <c r="I686" s="1662"/>
      <c r="J686" s="40" t="s">
        <v>83</v>
      </c>
      <c r="K686" s="42"/>
      <c r="L686" s="41">
        <v>0</v>
      </c>
      <c r="M686" s="41">
        <v>0</v>
      </c>
      <c r="N686" s="41">
        <v>0</v>
      </c>
      <c r="O686" s="41">
        <v>0</v>
      </c>
      <c r="P686" s="41">
        <v>0</v>
      </c>
      <c r="Q686" s="1475">
        <f>L686*$H683</f>
        <v>0</v>
      </c>
      <c r="R686" s="1475">
        <f>M686*$H683</f>
        <v>0</v>
      </c>
      <c r="S686" s="1475">
        <f>N686*$H683</f>
        <v>0</v>
      </c>
      <c r="T686" s="1475">
        <f>O686*$H683</f>
        <v>0</v>
      </c>
      <c r="U686" s="1475">
        <f>P686*$H683</f>
        <v>0</v>
      </c>
      <c r="V686" s="1475">
        <f t="shared" si="364"/>
        <v>0</v>
      </c>
      <c r="W686" s="258"/>
      <c r="X686" s="258"/>
      <c r="Y686" s="258"/>
    </row>
    <row r="687" spans="1:25" s="39" customFormat="1" ht="24" customHeight="1" thickBot="1">
      <c r="A687" s="1860">
        <v>2</v>
      </c>
      <c r="B687" s="1860"/>
      <c r="C687" s="1860"/>
      <c r="D687" s="1860"/>
      <c r="E687" s="1839"/>
      <c r="F687" s="1953"/>
      <c r="G687" s="2016"/>
      <c r="H687" s="1852"/>
      <c r="I687" s="1663"/>
      <c r="J687" s="80" t="s">
        <v>84</v>
      </c>
      <c r="K687" s="81"/>
      <c r="L687" s="814">
        <f>L678-L679</f>
        <v>0</v>
      </c>
      <c r="M687" s="814">
        <f t="shared" ref="M687:P687" si="368">M678-M679</f>
        <v>0</v>
      </c>
      <c r="N687" s="814">
        <f t="shared" si="368"/>
        <v>0</v>
      </c>
      <c r="O687" s="814">
        <f t="shared" si="368"/>
        <v>350.21271999999976</v>
      </c>
      <c r="P687" s="814">
        <f t="shared" si="368"/>
        <v>385.23399199999972</v>
      </c>
      <c r="Q687" s="1487">
        <f t="shared" ref="Q687:U687" si="369">Q678-Q679</f>
        <v>0</v>
      </c>
      <c r="R687" s="1487">
        <f t="shared" si="369"/>
        <v>0</v>
      </c>
      <c r="S687" s="1487">
        <f t="shared" si="369"/>
        <v>0</v>
      </c>
      <c r="T687" s="1487">
        <f t="shared" si="369"/>
        <v>110667.21951999993</v>
      </c>
      <c r="U687" s="1487">
        <f t="shared" si="369"/>
        <v>121733.94147199992</v>
      </c>
      <c r="V687" s="1487">
        <f t="shared" si="364"/>
        <v>232401.16099199984</v>
      </c>
    </row>
    <row r="688" spans="1:25" s="64" customFormat="1" ht="24" customHeight="1">
      <c r="A688" s="1860">
        <v>2</v>
      </c>
      <c r="B688" s="1860">
        <v>2</v>
      </c>
      <c r="C688" s="1860">
        <v>1</v>
      </c>
      <c r="D688" s="1860">
        <v>3</v>
      </c>
      <c r="E688" s="1839"/>
      <c r="F688" s="1846" t="str">
        <f>CONCATENATE(A688,".",B688,".",C688,".",D688,)</f>
        <v>2.2.1.3</v>
      </c>
      <c r="G688" s="1811" t="s">
        <v>1063</v>
      </c>
      <c r="H688" s="1679" t="s">
        <v>146</v>
      </c>
      <c r="I688" s="1764" t="s">
        <v>1017</v>
      </c>
      <c r="J688" s="262" t="s">
        <v>79</v>
      </c>
      <c r="K688" s="912"/>
      <c r="L688" s="891">
        <f>'Budget Assumption_Lab Comp2'!K271</f>
        <v>116.63300000000001</v>
      </c>
      <c r="M688" s="891">
        <f>'Budget Assumption_Lab Comp2'!L271</f>
        <v>128.2963</v>
      </c>
      <c r="N688" s="891">
        <f>'Budget Assumption_Lab Comp2'!M271</f>
        <v>141.12593000000001</v>
      </c>
      <c r="O688" s="891">
        <f>'Budget Assumption_Lab Comp2'!N271</f>
        <v>155.23852300000004</v>
      </c>
      <c r="P688" s="891">
        <f>'Budget Assumption_Lab Comp2'!O271</f>
        <v>170.76237530000006</v>
      </c>
      <c r="Q688" s="1484">
        <f>H693*L688</f>
        <v>36856.028000000006</v>
      </c>
      <c r="R688" s="1484">
        <f>M688*H693</f>
        <v>40541.630799999999</v>
      </c>
      <c r="S688" s="1484">
        <f>N688*H693</f>
        <v>44595.793880000005</v>
      </c>
      <c r="T688" s="1484">
        <f>O688*H693</f>
        <v>49055.37326800001</v>
      </c>
      <c r="U688" s="1484">
        <f>P688*H693</f>
        <v>53960.910594800021</v>
      </c>
      <c r="V688" s="1484">
        <f t="shared" si="364"/>
        <v>225009.73654280003</v>
      </c>
    </row>
    <row r="689" spans="1:25" s="39" customFormat="1" ht="24" customHeight="1">
      <c r="A689" s="1860">
        <v>2</v>
      </c>
      <c r="B689" s="1860"/>
      <c r="C689" s="1860"/>
      <c r="D689" s="1860"/>
      <c r="E689" s="1839"/>
      <c r="F689" s="1844"/>
      <c r="G689" s="1812"/>
      <c r="H689" s="1601"/>
      <c r="I689" s="1765"/>
      <c r="J689" s="40" t="s">
        <v>80</v>
      </c>
      <c r="K689" s="91"/>
      <c r="L689" s="41">
        <f t="shared" ref="L689:P689" si="370">SUM(L690:L696)</f>
        <v>116.63300000000001</v>
      </c>
      <c r="M689" s="41">
        <f t="shared" si="370"/>
        <v>128.2963</v>
      </c>
      <c r="N689" s="41">
        <f t="shared" si="370"/>
        <v>141.12593000000001</v>
      </c>
      <c r="O689" s="41">
        <f t="shared" si="370"/>
        <v>155.23852300000004</v>
      </c>
      <c r="P689" s="41">
        <f t="shared" si="370"/>
        <v>170.76237530000006</v>
      </c>
      <c r="Q689" s="1475">
        <f t="shared" ref="Q689:U689" si="371">SUM(Q690:Q696)</f>
        <v>36856.028000000006</v>
      </c>
      <c r="R689" s="1475">
        <f t="shared" si="371"/>
        <v>40541.630799999999</v>
      </c>
      <c r="S689" s="1475">
        <f t="shared" si="371"/>
        <v>44595.793880000005</v>
      </c>
      <c r="T689" s="1475">
        <f t="shared" si="371"/>
        <v>49055.37326800001</v>
      </c>
      <c r="U689" s="1475">
        <f t="shared" si="371"/>
        <v>53960.910594800021</v>
      </c>
      <c r="V689" s="1475">
        <f t="shared" si="364"/>
        <v>225009.73654280003</v>
      </c>
    </row>
    <row r="690" spans="1:25" s="39" customFormat="1" ht="24" customHeight="1">
      <c r="A690" s="1860">
        <v>2</v>
      </c>
      <c r="B690" s="1860"/>
      <c r="C690" s="1860"/>
      <c r="D690" s="1860"/>
      <c r="E690" s="1839"/>
      <c r="F690" s="1844"/>
      <c r="G690" s="1812"/>
      <c r="H690" s="1601"/>
      <c r="I690" s="1765"/>
      <c r="J690" s="40" t="s">
        <v>429</v>
      </c>
      <c r="K690" s="42"/>
      <c r="L690" s="891">
        <f>L688</f>
        <v>116.63300000000001</v>
      </c>
      <c r="M690" s="891">
        <f t="shared" ref="M690:P690" si="372">M688</f>
        <v>128.2963</v>
      </c>
      <c r="N690" s="891">
        <f t="shared" si="372"/>
        <v>141.12593000000001</v>
      </c>
      <c r="O690" s="891">
        <f t="shared" si="372"/>
        <v>155.23852300000004</v>
      </c>
      <c r="P690" s="891">
        <f t="shared" si="372"/>
        <v>170.76237530000006</v>
      </c>
      <c r="Q690" s="1475">
        <f>L690*$H693</f>
        <v>36856.028000000006</v>
      </c>
      <c r="R690" s="1475">
        <f>M690*$H693</f>
        <v>40541.630799999999</v>
      </c>
      <c r="S690" s="1475">
        <f>N690*$H693</f>
        <v>44595.793880000005</v>
      </c>
      <c r="T690" s="1475">
        <f>O690*$H693</f>
        <v>49055.37326800001</v>
      </c>
      <c r="U690" s="1475">
        <f>P690*$H693</f>
        <v>53960.910594800021</v>
      </c>
      <c r="V690" s="1475">
        <f t="shared" si="364"/>
        <v>225009.73654280003</v>
      </c>
    </row>
    <row r="691" spans="1:25" s="39" customFormat="1" ht="24" customHeight="1">
      <c r="A691" s="1860">
        <v>2</v>
      </c>
      <c r="B691" s="1860"/>
      <c r="C691" s="1860"/>
      <c r="D691" s="1860"/>
      <c r="E691" s="1839"/>
      <c r="F691" s="1844"/>
      <c r="G691" s="1812"/>
      <c r="H691" s="1601"/>
      <c r="I691" s="1765"/>
      <c r="J691" s="40" t="s">
        <v>133</v>
      </c>
      <c r="K691" s="42"/>
      <c r="L691" s="41">
        <v>0</v>
      </c>
      <c r="M691" s="41">
        <v>0</v>
      </c>
      <c r="N691" s="41">
        <v>0</v>
      </c>
      <c r="O691" s="41">
        <v>0</v>
      </c>
      <c r="P691" s="41">
        <v>0</v>
      </c>
      <c r="Q691" s="1475">
        <f>L691*$H693</f>
        <v>0</v>
      </c>
      <c r="R691" s="1475">
        <f>M691*$H693</f>
        <v>0</v>
      </c>
      <c r="S691" s="1475">
        <f>N691*$H693</f>
        <v>0</v>
      </c>
      <c r="T691" s="1475">
        <f>O691*$H693</f>
        <v>0</v>
      </c>
      <c r="U691" s="1475">
        <f>P691*$H693</f>
        <v>0</v>
      </c>
      <c r="V691" s="1475">
        <f t="shared" si="364"/>
        <v>0</v>
      </c>
    </row>
    <row r="692" spans="1:25" s="39" customFormat="1" ht="24" customHeight="1">
      <c r="A692" s="1860">
        <v>2</v>
      </c>
      <c r="B692" s="1860"/>
      <c r="C692" s="1860"/>
      <c r="D692" s="1860"/>
      <c r="E692" s="1839"/>
      <c r="F692" s="1844"/>
      <c r="G692" s="1812"/>
      <c r="H692" s="1601"/>
      <c r="I692" s="1765"/>
      <c r="J692" s="40" t="s">
        <v>81</v>
      </c>
      <c r="K692" s="42"/>
      <c r="L692" s="41">
        <v>0</v>
      </c>
      <c r="M692" s="41">
        <v>0</v>
      </c>
      <c r="N692" s="41">
        <v>0</v>
      </c>
      <c r="O692" s="41">
        <v>0</v>
      </c>
      <c r="P692" s="41">
        <v>0</v>
      </c>
      <c r="Q692" s="1475">
        <f>L692*$H693</f>
        <v>0</v>
      </c>
      <c r="R692" s="1475">
        <f>M692*$H693</f>
        <v>0</v>
      </c>
      <c r="S692" s="1475">
        <f>N692*$H693</f>
        <v>0</v>
      </c>
      <c r="T692" s="1475">
        <f>O692*$H693</f>
        <v>0</v>
      </c>
      <c r="U692" s="1475">
        <f>P692*$H693</f>
        <v>0</v>
      </c>
      <c r="V692" s="1475">
        <f t="shared" si="364"/>
        <v>0</v>
      </c>
    </row>
    <row r="693" spans="1:25" s="39" customFormat="1" ht="24" customHeight="1">
      <c r="A693" s="1860">
        <v>2</v>
      </c>
      <c r="B693" s="1860"/>
      <c r="C693" s="1860"/>
      <c r="D693" s="1860"/>
      <c r="E693" s="1839"/>
      <c r="F693" s="1844"/>
      <c r="G693" s="1812"/>
      <c r="H693" s="1595">
        <f>'Budget Assumption_Lab Comp2'!Q271</f>
        <v>316</v>
      </c>
      <c r="I693" s="1765"/>
      <c r="J693" s="40" t="s">
        <v>134</v>
      </c>
      <c r="K693" s="42"/>
      <c r="L693" s="41">
        <v>0</v>
      </c>
      <c r="M693" s="41">
        <v>0</v>
      </c>
      <c r="N693" s="41">
        <v>0</v>
      </c>
      <c r="O693" s="41">
        <v>0</v>
      </c>
      <c r="P693" s="41">
        <v>0</v>
      </c>
      <c r="Q693" s="1475">
        <f>L693*$H693</f>
        <v>0</v>
      </c>
      <c r="R693" s="1475">
        <f>M693*$H693</f>
        <v>0</v>
      </c>
      <c r="S693" s="1475">
        <f>N693*$H693</f>
        <v>0</v>
      </c>
      <c r="T693" s="1475">
        <f>O693*$H693</f>
        <v>0</v>
      </c>
      <c r="U693" s="1475">
        <f>P693*$H693</f>
        <v>0</v>
      </c>
      <c r="V693" s="1475">
        <f t="shared" si="364"/>
        <v>0</v>
      </c>
    </row>
    <row r="694" spans="1:25" s="39" customFormat="1" ht="24" customHeight="1">
      <c r="A694" s="1860">
        <v>2</v>
      </c>
      <c r="B694" s="1860"/>
      <c r="C694" s="1860"/>
      <c r="D694" s="1860"/>
      <c r="E694" s="1839"/>
      <c r="F694" s="1844"/>
      <c r="G694" s="1812"/>
      <c r="H694" s="1596">
        <f>810*0.05</f>
        <v>40.5</v>
      </c>
      <c r="I694" s="1765"/>
      <c r="J694" s="40" t="s">
        <v>82</v>
      </c>
      <c r="K694" s="42"/>
      <c r="L694" s="41">
        <v>0</v>
      </c>
      <c r="M694" s="41">
        <v>0</v>
      </c>
      <c r="N694" s="41">
        <v>0</v>
      </c>
      <c r="O694" s="41">
        <v>0</v>
      </c>
      <c r="P694" s="41">
        <v>0</v>
      </c>
      <c r="Q694" s="1475">
        <f>L694*$H693</f>
        <v>0</v>
      </c>
      <c r="R694" s="1475">
        <f>M694*$H693</f>
        <v>0</v>
      </c>
      <c r="S694" s="1475">
        <f>N694*$H693</f>
        <v>0</v>
      </c>
      <c r="T694" s="1475">
        <f>O694*$H693</f>
        <v>0</v>
      </c>
      <c r="U694" s="1475">
        <f>P694*$H693</f>
        <v>0</v>
      </c>
      <c r="V694" s="1475">
        <f t="shared" si="364"/>
        <v>0</v>
      </c>
    </row>
    <row r="695" spans="1:25" s="39" customFormat="1" ht="24" customHeight="1">
      <c r="A695" s="1860">
        <v>2</v>
      </c>
      <c r="B695" s="1860"/>
      <c r="C695" s="1860"/>
      <c r="D695" s="1860"/>
      <c r="E695" s="1839"/>
      <c r="F695" s="1844"/>
      <c r="G695" s="1812"/>
      <c r="H695" s="1596"/>
      <c r="I695" s="1765"/>
      <c r="J695" s="40" t="s">
        <v>90</v>
      </c>
      <c r="K695" s="42"/>
      <c r="L695" s="41">
        <v>0</v>
      </c>
      <c r="M695" s="41">
        <v>0</v>
      </c>
      <c r="N695" s="41">
        <v>0</v>
      </c>
      <c r="O695" s="41">
        <v>0</v>
      </c>
      <c r="P695" s="41">
        <v>0</v>
      </c>
      <c r="Q695" s="1475">
        <f>L695*$H693</f>
        <v>0</v>
      </c>
      <c r="R695" s="1475">
        <f>M695*$H693</f>
        <v>0</v>
      </c>
      <c r="S695" s="1475">
        <f>N695*$H693</f>
        <v>0</v>
      </c>
      <c r="T695" s="1475">
        <f>O695*$H693</f>
        <v>0</v>
      </c>
      <c r="U695" s="1475">
        <f>P695*$H693</f>
        <v>0</v>
      </c>
      <c r="V695" s="1475">
        <f t="shared" si="364"/>
        <v>0</v>
      </c>
      <c r="W695" s="258"/>
      <c r="X695" s="258"/>
      <c r="Y695" s="258"/>
    </row>
    <row r="696" spans="1:25" s="39" customFormat="1" ht="24" customHeight="1">
      <c r="A696" s="1860">
        <v>2</v>
      </c>
      <c r="B696" s="1860"/>
      <c r="C696" s="1860"/>
      <c r="D696" s="1860"/>
      <c r="E696" s="1839"/>
      <c r="F696" s="1844"/>
      <c r="G696" s="1812"/>
      <c r="H696" s="1596"/>
      <c r="I696" s="1765"/>
      <c r="J696" s="40" t="s">
        <v>83</v>
      </c>
      <c r="K696" s="42"/>
      <c r="L696" s="41">
        <v>0</v>
      </c>
      <c r="M696" s="41">
        <v>0</v>
      </c>
      <c r="N696" s="41">
        <v>0</v>
      </c>
      <c r="O696" s="41">
        <v>0</v>
      </c>
      <c r="P696" s="41">
        <v>0</v>
      </c>
      <c r="Q696" s="1475">
        <f>L696*$H693</f>
        <v>0</v>
      </c>
      <c r="R696" s="1475">
        <f>M696*$H693</f>
        <v>0</v>
      </c>
      <c r="S696" s="1475">
        <f>N696*$H693</f>
        <v>0</v>
      </c>
      <c r="T696" s="1475">
        <f>O696*$H693</f>
        <v>0</v>
      </c>
      <c r="U696" s="1475">
        <f>P696*$H693</f>
        <v>0</v>
      </c>
      <c r="V696" s="1475">
        <f t="shared" si="364"/>
        <v>0</v>
      </c>
      <c r="W696" s="258"/>
      <c r="X696" s="258"/>
      <c r="Y696" s="258"/>
    </row>
    <row r="697" spans="1:25" s="39" customFormat="1" ht="24" customHeight="1" thickBot="1">
      <c r="A697" s="1860">
        <v>2</v>
      </c>
      <c r="B697" s="1860"/>
      <c r="C697" s="1860"/>
      <c r="D697" s="1860"/>
      <c r="E697" s="1839"/>
      <c r="F697" s="1845"/>
      <c r="G697" s="1813"/>
      <c r="H697" s="1597"/>
      <c r="I697" s="1766"/>
      <c r="J697" s="80" t="s">
        <v>84</v>
      </c>
      <c r="K697" s="81"/>
      <c r="L697" s="814">
        <f>L688-L689</f>
        <v>0</v>
      </c>
      <c r="M697" s="814">
        <f t="shared" ref="M697:P697" si="373">M688-M689</f>
        <v>0</v>
      </c>
      <c r="N697" s="814">
        <f t="shared" si="373"/>
        <v>0</v>
      </c>
      <c r="O697" s="814">
        <f t="shared" si="373"/>
        <v>0</v>
      </c>
      <c r="P697" s="814">
        <f t="shared" si="373"/>
        <v>0</v>
      </c>
      <c r="Q697" s="1487">
        <f t="shared" ref="Q697:U697" si="374">Q688-Q689</f>
        <v>0</v>
      </c>
      <c r="R697" s="1487">
        <f t="shared" si="374"/>
        <v>0</v>
      </c>
      <c r="S697" s="1487">
        <f t="shared" si="374"/>
        <v>0</v>
      </c>
      <c r="T697" s="1487">
        <f t="shared" si="374"/>
        <v>0</v>
      </c>
      <c r="U697" s="1487">
        <f t="shared" si="374"/>
        <v>0</v>
      </c>
      <c r="V697" s="1487">
        <f t="shared" si="364"/>
        <v>0</v>
      </c>
    </row>
    <row r="698" spans="1:25" s="64" customFormat="1" ht="24" customHeight="1">
      <c r="A698" s="1860">
        <v>2</v>
      </c>
      <c r="B698" s="1860">
        <v>2</v>
      </c>
      <c r="C698" s="1860">
        <v>1</v>
      </c>
      <c r="D698" s="1860">
        <v>4</v>
      </c>
      <c r="E698" s="1839"/>
      <c r="F698" s="1846" t="str">
        <f>CONCATENATE(A698,".",B698,".",C698,".",D698,)</f>
        <v>2.2.1.4</v>
      </c>
      <c r="G698" s="1811" t="s">
        <v>1064</v>
      </c>
      <c r="H698" s="1679" t="s">
        <v>146</v>
      </c>
      <c r="I698" s="1764" t="s">
        <v>1017</v>
      </c>
      <c r="J698" s="262" t="s">
        <v>79</v>
      </c>
      <c r="K698" s="912"/>
      <c r="L698" s="891">
        <f>'Budget Assumption_Lab Comp2'!K272</f>
        <v>1166.33</v>
      </c>
      <c r="M698" s="891">
        <f>'Budget Assumption_Lab Comp2'!L272</f>
        <v>1282.963</v>
      </c>
      <c r="N698" s="891">
        <f>'Budget Assumption_Lab Comp2'!M272</f>
        <v>1411.2593000000002</v>
      </c>
      <c r="O698" s="891">
        <f>'Budget Assumption_Lab Comp2'!N272</f>
        <v>1552.3852300000001</v>
      </c>
      <c r="P698" s="891">
        <f>'Budget Assumption_Lab Comp2'!O272</f>
        <v>1707.6237530000003</v>
      </c>
      <c r="Q698" s="1484">
        <f>L698*$H$703</f>
        <v>50152.189999999995</v>
      </c>
      <c r="R698" s="1484">
        <f t="shared" ref="R698:U698" si="375">M698*$H$703</f>
        <v>55167.409</v>
      </c>
      <c r="S698" s="1484">
        <f t="shared" si="375"/>
        <v>60684.149900000004</v>
      </c>
      <c r="T698" s="1484">
        <f t="shared" si="375"/>
        <v>66752.564890000009</v>
      </c>
      <c r="U698" s="1484">
        <f t="shared" si="375"/>
        <v>73427.821379000015</v>
      </c>
      <c r="V698" s="1484">
        <f t="shared" si="364"/>
        <v>306184.13516900002</v>
      </c>
    </row>
    <row r="699" spans="1:25" s="39" customFormat="1" ht="24" customHeight="1">
      <c r="A699" s="1860">
        <v>2</v>
      </c>
      <c r="B699" s="1860"/>
      <c r="C699" s="1860"/>
      <c r="D699" s="1860"/>
      <c r="E699" s="1839"/>
      <c r="F699" s="1844"/>
      <c r="G699" s="1812"/>
      <c r="H699" s="1601"/>
      <c r="I699" s="1765"/>
      <c r="J699" s="40" t="s">
        <v>80</v>
      </c>
      <c r="K699" s="91"/>
      <c r="L699" s="41">
        <f t="shared" ref="L699:P699" si="376">SUM(L700:L706)</f>
        <v>1166.33</v>
      </c>
      <c r="M699" s="41">
        <f t="shared" si="376"/>
        <v>1282.963</v>
      </c>
      <c r="N699" s="41">
        <f t="shared" si="376"/>
        <v>1411.2593000000002</v>
      </c>
      <c r="O699" s="41">
        <f t="shared" si="376"/>
        <v>1552.3852300000001</v>
      </c>
      <c r="P699" s="41">
        <f t="shared" si="376"/>
        <v>1707.6237530000003</v>
      </c>
      <c r="Q699" s="1475">
        <f t="shared" ref="Q699:U699" si="377">SUM(Q700:Q706)</f>
        <v>50152.189999999995</v>
      </c>
      <c r="R699" s="1475">
        <f t="shared" si="377"/>
        <v>55167.409</v>
      </c>
      <c r="S699" s="1475">
        <f t="shared" si="377"/>
        <v>60684.149900000004</v>
      </c>
      <c r="T699" s="1475">
        <f t="shared" si="377"/>
        <v>66752.564890000009</v>
      </c>
      <c r="U699" s="1475">
        <f t="shared" si="377"/>
        <v>73427.821379000015</v>
      </c>
      <c r="V699" s="1475">
        <f t="shared" si="364"/>
        <v>306184.13516900002</v>
      </c>
    </row>
    <row r="700" spans="1:25" s="39" customFormat="1" ht="24" customHeight="1" thickBot="1">
      <c r="A700" s="1860">
        <v>2</v>
      </c>
      <c r="B700" s="1860"/>
      <c r="C700" s="1860"/>
      <c r="D700" s="1860"/>
      <c r="E700" s="1839"/>
      <c r="F700" s="1844"/>
      <c r="G700" s="1812"/>
      <c r="H700" s="1601"/>
      <c r="I700" s="1765"/>
      <c r="J700" s="40" t="s">
        <v>429</v>
      </c>
      <c r="K700" s="42"/>
      <c r="L700" s="891">
        <v>0</v>
      </c>
      <c r="M700" s="891">
        <v>0</v>
      </c>
      <c r="N700" s="891">
        <v>0</v>
      </c>
      <c r="O700" s="891">
        <f>O698</f>
        <v>1552.3852300000001</v>
      </c>
      <c r="P700" s="891">
        <f>P698</f>
        <v>1707.6237530000003</v>
      </c>
      <c r="Q700" s="1475">
        <f>L700*$H703</f>
        <v>0</v>
      </c>
      <c r="R700" s="1475">
        <f>M700*$H703</f>
        <v>0</v>
      </c>
      <c r="S700" s="1475">
        <f>N700*$H703</f>
        <v>0</v>
      </c>
      <c r="T700" s="1475">
        <f>O700*$H703</f>
        <v>66752.564890000009</v>
      </c>
      <c r="U700" s="1475">
        <f>P700*$H703</f>
        <v>73427.821379000015</v>
      </c>
      <c r="V700" s="1475">
        <f t="shared" si="364"/>
        <v>140180.38626900001</v>
      </c>
    </row>
    <row r="701" spans="1:25" s="39" customFormat="1" ht="24" customHeight="1" thickBot="1">
      <c r="A701" s="1860">
        <v>2</v>
      </c>
      <c r="B701" s="1860"/>
      <c r="C701" s="1860"/>
      <c r="D701" s="1860"/>
      <c r="E701" s="1839"/>
      <c r="F701" s="1844"/>
      <c r="G701" s="1812"/>
      <c r="H701" s="1601"/>
      <c r="I701" s="1765"/>
      <c r="J701" s="40" t="s">
        <v>133</v>
      </c>
      <c r="K701" s="42"/>
      <c r="L701" s="41">
        <v>0</v>
      </c>
      <c r="M701" s="41">
        <v>0</v>
      </c>
      <c r="N701" s="41">
        <v>0</v>
      </c>
      <c r="O701" s="41">
        <v>0</v>
      </c>
      <c r="P701" s="41">
        <v>0</v>
      </c>
      <c r="Q701" s="1484">
        <f>L701*$H$703</f>
        <v>0</v>
      </c>
      <c r="R701" s="1484">
        <f t="shared" ref="R701" si="378">M701*$H$703</f>
        <v>0</v>
      </c>
      <c r="S701" s="1484">
        <f t="shared" ref="S701" si="379">N701*$H$703</f>
        <v>0</v>
      </c>
      <c r="T701" s="1484">
        <f t="shared" ref="T701" si="380">O701*$H$703</f>
        <v>0</v>
      </c>
      <c r="U701" s="1484">
        <f t="shared" ref="U701" si="381">P701*$H$703</f>
        <v>0</v>
      </c>
      <c r="V701" s="1475">
        <f t="shared" si="364"/>
        <v>0</v>
      </c>
    </row>
    <row r="702" spans="1:25" s="39" customFormat="1" ht="24" customHeight="1" thickBot="1">
      <c r="A702" s="1860">
        <v>2</v>
      </c>
      <c r="B702" s="1860"/>
      <c r="C702" s="1860"/>
      <c r="D702" s="1860"/>
      <c r="E702" s="1839"/>
      <c r="F702" s="1844"/>
      <c r="G702" s="1812"/>
      <c r="H702" s="1601"/>
      <c r="I702" s="1765"/>
      <c r="J702" s="40" t="s">
        <v>81</v>
      </c>
      <c r="K702" s="42"/>
      <c r="L702" s="41">
        <v>0</v>
      </c>
      <c r="M702" s="41">
        <v>0</v>
      </c>
      <c r="N702" s="41">
        <v>0</v>
      </c>
      <c r="O702" s="41">
        <v>0</v>
      </c>
      <c r="P702" s="41">
        <v>0</v>
      </c>
      <c r="Q702" s="1484">
        <f t="shared" ref="Q702:Q707" si="382">L702*$H$703</f>
        <v>0</v>
      </c>
      <c r="R702" s="1484">
        <f t="shared" ref="R702:R707" si="383">M702*$H$703</f>
        <v>0</v>
      </c>
      <c r="S702" s="1484">
        <f t="shared" ref="S702:S707" si="384">N702*$H$703</f>
        <v>0</v>
      </c>
      <c r="T702" s="1484">
        <f t="shared" ref="T702:T707" si="385">O702*$H$703</f>
        <v>0</v>
      </c>
      <c r="U702" s="1484">
        <f t="shared" ref="U702:U707" si="386">P702*$H$703</f>
        <v>0</v>
      </c>
      <c r="V702" s="1475">
        <f t="shared" si="364"/>
        <v>0</v>
      </c>
    </row>
    <row r="703" spans="1:25" s="39" customFormat="1" ht="24" customHeight="1" thickBot="1">
      <c r="A703" s="1860">
        <v>2</v>
      </c>
      <c r="B703" s="1860"/>
      <c r="C703" s="1860"/>
      <c r="D703" s="1860"/>
      <c r="E703" s="1839"/>
      <c r="F703" s="1844"/>
      <c r="G703" s="1812"/>
      <c r="H703" s="1595">
        <f>'Budget Assumption_Lab Comp2'!Q281</f>
        <v>43</v>
      </c>
      <c r="I703" s="1765"/>
      <c r="J703" s="40" t="s">
        <v>134</v>
      </c>
      <c r="K703" s="42"/>
      <c r="L703" s="41">
        <v>0</v>
      </c>
      <c r="M703" s="41">
        <v>0</v>
      </c>
      <c r="N703" s="41">
        <v>0</v>
      </c>
      <c r="O703" s="41">
        <v>0</v>
      </c>
      <c r="P703" s="41">
        <v>0</v>
      </c>
      <c r="Q703" s="1484">
        <f t="shared" si="382"/>
        <v>0</v>
      </c>
      <c r="R703" s="1484">
        <f t="shared" si="383"/>
        <v>0</v>
      </c>
      <c r="S703" s="1484">
        <f t="shared" si="384"/>
        <v>0</v>
      </c>
      <c r="T703" s="1484">
        <f t="shared" si="385"/>
        <v>0</v>
      </c>
      <c r="U703" s="1484">
        <f t="shared" si="386"/>
        <v>0</v>
      </c>
      <c r="V703" s="1475">
        <f t="shared" si="364"/>
        <v>0</v>
      </c>
    </row>
    <row r="704" spans="1:25" s="39" customFormat="1" ht="24" customHeight="1" thickBot="1">
      <c r="A704" s="1860">
        <v>2</v>
      </c>
      <c r="B704" s="1860"/>
      <c r="C704" s="1860"/>
      <c r="D704" s="1860"/>
      <c r="E704" s="1839"/>
      <c r="F704" s="1844"/>
      <c r="G704" s="1812"/>
      <c r="H704" s="1596">
        <f>810*0.05</f>
        <v>40.5</v>
      </c>
      <c r="I704" s="1765"/>
      <c r="J704" s="40" t="s">
        <v>82</v>
      </c>
      <c r="K704" s="42"/>
      <c r="L704" s="41">
        <f>'Budget Assumption_Lab Comp2'!K272</f>
        <v>1166.33</v>
      </c>
      <c r="M704" s="41">
        <f>'Budget Assumption_Lab Comp2'!L272</f>
        <v>1282.963</v>
      </c>
      <c r="N704" s="41">
        <f>'Budget Assumption_Lab Comp2'!M272</f>
        <v>1411.2593000000002</v>
      </c>
      <c r="O704" s="41">
        <v>0</v>
      </c>
      <c r="P704" s="41">
        <v>0</v>
      </c>
      <c r="Q704" s="1484">
        <f t="shared" si="382"/>
        <v>50152.189999999995</v>
      </c>
      <c r="R704" s="1484">
        <f t="shared" si="383"/>
        <v>55167.409</v>
      </c>
      <c r="S704" s="1484">
        <f t="shared" si="384"/>
        <v>60684.149900000004</v>
      </c>
      <c r="T704" s="1484">
        <f t="shared" si="385"/>
        <v>0</v>
      </c>
      <c r="U704" s="1484">
        <f t="shared" si="386"/>
        <v>0</v>
      </c>
      <c r="V704" s="1475">
        <f t="shared" ref="V704:V713" si="387">SUM(Q704:U704)</f>
        <v>166003.74890000001</v>
      </c>
    </row>
    <row r="705" spans="1:25" s="39" customFormat="1" ht="24" customHeight="1" thickBot="1">
      <c r="A705" s="1860">
        <v>2</v>
      </c>
      <c r="B705" s="1860"/>
      <c r="C705" s="1860"/>
      <c r="D705" s="1860"/>
      <c r="E705" s="1839"/>
      <c r="F705" s="1844"/>
      <c r="G705" s="1812"/>
      <c r="H705" s="1596"/>
      <c r="I705" s="1765"/>
      <c r="J705" s="40" t="s">
        <v>90</v>
      </c>
      <c r="K705" s="42"/>
      <c r="L705" s="41">
        <v>0</v>
      </c>
      <c r="M705" s="41">
        <v>0</v>
      </c>
      <c r="N705" s="41">
        <v>0</v>
      </c>
      <c r="O705" s="41">
        <v>0</v>
      </c>
      <c r="P705" s="41">
        <v>0</v>
      </c>
      <c r="Q705" s="1484">
        <f t="shared" si="382"/>
        <v>0</v>
      </c>
      <c r="R705" s="1484">
        <f t="shared" si="383"/>
        <v>0</v>
      </c>
      <c r="S705" s="1484">
        <f t="shared" si="384"/>
        <v>0</v>
      </c>
      <c r="T705" s="1484">
        <f t="shared" si="385"/>
        <v>0</v>
      </c>
      <c r="U705" s="1484">
        <f t="shared" si="386"/>
        <v>0</v>
      </c>
      <c r="V705" s="1475">
        <f t="shared" si="387"/>
        <v>0</v>
      </c>
      <c r="W705" s="258"/>
      <c r="X705" s="258"/>
      <c r="Y705" s="258"/>
    </row>
    <row r="706" spans="1:25" s="39" customFormat="1" ht="24" customHeight="1" thickBot="1">
      <c r="A706" s="1860">
        <v>2</v>
      </c>
      <c r="B706" s="1860"/>
      <c r="C706" s="1860"/>
      <c r="D706" s="1860"/>
      <c r="E706" s="1839"/>
      <c r="F706" s="1844"/>
      <c r="G706" s="1812"/>
      <c r="H706" s="1596"/>
      <c r="I706" s="1765"/>
      <c r="J706" s="40" t="s">
        <v>83</v>
      </c>
      <c r="K706" s="42"/>
      <c r="L706" s="41">
        <v>0</v>
      </c>
      <c r="M706" s="41">
        <v>0</v>
      </c>
      <c r="N706" s="41">
        <v>0</v>
      </c>
      <c r="O706" s="41">
        <v>0</v>
      </c>
      <c r="P706" s="41">
        <v>0</v>
      </c>
      <c r="Q706" s="1484">
        <f t="shared" si="382"/>
        <v>0</v>
      </c>
      <c r="R706" s="1484">
        <f t="shared" si="383"/>
        <v>0</v>
      </c>
      <c r="S706" s="1484">
        <f t="shared" si="384"/>
        <v>0</v>
      </c>
      <c r="T706" s="1484">
        <f t="shared" si="385"/>
        <v>0</v>
      </c>
      <c r="U706" s="1484">
        <f t="shared" si="386"/>
        <v>0</v>
      </c>
      <c r="V706" s="1475">
        <f t="shared" si="387"/>
        <v>0</v>
      </c>
      <c r="W706" s="258"/>
      <c r="X706" s="258"/>
      <c r="Y706" s="258"/>
    </row>
    <row r="707" spans="1:25" s="39" customFormat="1" ht="24" customHeight="1" thickBot="1">
      <c r="A707" s="1860">
        <v>2</v>
      </c>
      <c r="B707" s="1860"/>
      <c r="C707" s="1860"/>
      <c r="D707" s="1860"/>
      <c r="E707" s="1839"/>
      <c r="F707" s="1845"/>
      <c r="G707" s="1813"/>
      <c r="H707" s="1597"/>
      <c r="I707" s="1766"/>
      <c r="J707" s="80" t="s">
        <v>84</v>
      </c>
      <c r="K707" s="81"/>
      <c r="L707" s="814">
        <f>L698-L699</f>
        <v>0</v>
      </c>
      <c r="M707" s="814">
        <f t="shared" ref="M707:P707" si="388">M698-M699</f>
        <v>0</v>
      </c>
      <c r="N707" s="814">
        <f t="shared" si="388"/>
        <v>0</v>
      </c>
      <c r="O707" s="814">
        <f t="shared" si="388"/>
        <v>0</v>
      </c>
      <c r="P707" s="814">
        <f t="shared" si="388"/>
        <v>0</v>
      </c>
      <c r="Q707" s="1484">
        <f t="shared" si="382"/>
        <v>0</v>
      </c>
      <c r="R707" s="1484">
        <f t="shared" si="383"/>
        <v>0</v>
      </c>
      <c r="S707" s="1484">
        <f t="shared" si="384"/>
        <v>0</v>
      </c>
      <c r="T707" s="1484">
        <f t="shared" si="385"/>
        <v>0</v>
      </c>
      <c r="U707" s="1484">
        <f t="shared" si="386"/>
        <v>0</v>
      </c>
      <c r="V707" s="1475">
        <f t="shared" si="387"/>
        <v>0</v>
      </c>
    </row>
    <row r="708" spans="1:25" s="64" customFormat="1" ht="24" customHeight="1">
      <c r="A708" s="1860">
        <v>2</v>
      </c>
      <c r="B708" s="1860">
        <v>2</v>
      </c>
      <c r="C708" s="1860">
        <v>1</v>
      </c>
      <c r="D708" s="1860">
        <v>5</v>
      </c>
      <c r="E708" s="1839"/>
      <c r="F708" s="1846" t="str">
        <f>CONCATENATE(A708,".",B708,".",C708,".",D708,)</f>
        <v>2.2.1.5</v>
      </c>
      <c r="G708" s="1811" t="s">
        <v>1065</v>
      </c>
      <c r="H708" s="1679" t="s">
        <v>146</v>
      </c>
      <c r="I708" s="1764" t="s">
        <v>1017</v>
      </c>
      <c r="J708" s="262" t="s">
        <v>79</v>
      </c>
      <c r="K708" s="912"/>
      <c r="L708" s="891">
        <f>'Budget Assumption_Lab Comp2'!K282</f>
        <v>13252.14</v>
      </c>
      <c r="M708" s="891">
        <f>'Budget Assumption_Lab Comp2'!L282</f>
        <v>14577.353999999999</v>
      </c>
      <c r="N708" s="891">
        <f>'Budget Assumption_Lab Comp2'!M282</f>
        <v>16035.089400000001</v>
      </c>
      <c r="O708" s="891">
        <f>'Budget Assumption_Lab Comp2'!N282</f>
        <v>17638.59834</v>
      </c>
      <c r="P708" s="891">
        <f>'Budget Assumption_Lab Comp2'!O282</f>
        <v>19402.458174000003</v>
      </c>
      <c r="Q708" s="1484">
        <f>L708*H713</f>
        <v>60959.84399999999</v>
      </c>
      <c r="R708" s="1484">
        <f>M708*H713</f>
        <v>67055.828399999999</v>
      </c>
      <c r="S708" s="1484">
        <f>N708*H713</f>
        <v>73761.411240000001</v>
      </c>
      <c r="T708" s="1484">
        <f>O708*H713</f>
        <v>81137.552364000003</v>
      </c>
      <c r="U708" s="1484">
        <f>P708*H713</f>
        <v>89251.307600400003</v>
      </c>
      <c r="V708" s="1484">
        <f t="shared" si="387"/>
        <v>372165.94360439997</v>
      </c>
    </row>
    <row r="709" spans="1:25" s="39" customFormat="1" ht="24" customHeight="1">
      <c r="A709" s="1860">
        <v>2</v>
      </c>
      <c r="B709" s="1860"/>
      <c r="C709" s="1860"/>
      <c r="D709" s="1860"/>
      <c r="E709" s="1839"/>
      <c r="F709" s="1844"/>
      <c r="G709" s="1812"/>
      <c r="H709" s="1601"/>
      <c r="I709" s="1765"/>
      <c r="J709" s="40" t="s">
        <v>80</v>
      </c>
      <c r="K709" s="91"/>
      <c r="L709" s="41">
        <f t="shared" ref="L709:P709" si="389">SUM(L710:L716)</f>
        <v>13252.14</v>
      </c>
      <c r="M709" s="41">
        <f t="shared" si="389"/>
        <v>14577.353999999999</v>
      </c>
      <c r="N709" s="41">
        <f t="shared" si="389"/>
        <v>16035.089400000001</v>
      </c>
      <c r="O709" s="41">
        <f t="shared" si="389"/>
        <v>17638.59834</v>
      </c>
      <c r="P709" s="41">
        <f t="shared" si="389"/>
        <v>19402.458174000003</v>
      </c>
      <c r="Q709" s="1475">
        <f t="shared" ref="Q709:U709" si="390">SUM(Q710:Q716)</f>
        <v>60959.84399999999</v>
      </c>
      <c r="R709" s="1475">
        <f t="shared" si="390"/>
        <v>67055.828399999999</v>
      </c>
      <c r="S709" s="1475">
        <f t="shared" si="390"/>
        <v>73761.411240000001</v>
      </c>
      <c r="T709" s="1475">
        <f t="shared" si="390"/>
        <v>81137.552364000003</v>
      </c>
      <c r="U709" s="1475">
        <f t="shared" si="390"/>
        <v>89251.307600400003</v>
      </c>
      <c r="V709" s="1475">
        <f t="shared" si="387"/>
        <v>372165.94360439997</v>
      </c>
    </row>
    <row r="710" spans="1:25" s="39" customFormat="1" ht="24" customHeight="1">
      <c r="A710" s="1860">
        <v>2</v>
      </c>
      <c r="B710" s="1860"/>
      <c r="C710" s="1860"/>
      <c r="D710" s="1860"/>
      <c r="E710" s="1839"/>
      <c r="F710" s="1844"/>
      <c r="G710" s="1812"/>
      <c r="H710" s="1601"/>
      <c r="I710" s="1765"/>
      <c r="J710" s="40" t="s">
        <v>429</v>
      </c>
      <c r="K710" s="42"/>
      <c r="L710" s="891">
        <f>L708*1</f>
        <v>13252.14</v>
      </c>
      <c r="M710" s="891">
        <f>M708*1</f>
        <v>14577.353999999999</v>
      </c>
      <c r="N710" s="891">
        <f t="shared" ref="N710:P710" si="391">N708*1</f>
        <v>16035.089400000001</v>
      </c>
      <c r="O710" s="891">
        <f t="shared" si="391"/>
        <v>17638.59834</v>
      </c>
      <c r="P710" s="891">
        <f t="shared" si="391"/>
        <v>19402.458174000003</v>
      </c>
      <c r="Q710" s="1475">
        <f>L710*$H713</f>
        <v>60959.84399999999</v>
      </c>
      <c r="R710" s="1475">
        <f>M710*$H713</f>
        <v>67055.828399999999</v>
      </c>
      <c r="S710" s="1475">
        <f>N710*$H713</f>
        <v>73761.411240000001</v>
      </c>
      <c r="T710" s="1475">
        <f>O710*$H713</f>
        <v>81137.552364000003</v>
      </c>
      <c r="U710" s="1475">
        <f>P710*$H713</f>
        <v>89251.307600400003</v>
      </c>
      <c r="V710" s="1475">
        <f t="shared" si="387"/>
        <v>372165.94360439997</v>
      </c>
    </row>
    <row r="711" spans="1:25" s="39" customFormat="1" ht="24" customHeight="1">
      <c r="A711" s="1860">
        <v>2</v>
      </c>
      <c r="B711" s="1860"/>
      <c r="C711" s="1860"/>
      <c r="D711" s="1860"/>
      <c r="E711" s="1839"/>
      <c r="F711" s="1844"/>
      <c r="G711" s="1812"/>
      <c r="H711" s="1601"/>
      <c r="I711" s="1765"/>
      <c r="J711" s="40" t="s">
        <v>133</v>
      </c>
      <c r="K711" s="42"/>
      <c r="L711" s="41">
        <v>0</v>
      </c>
      <c r="M711" s="41">
        <v>0</v>
      </c>
      <c r="N711" s="41">
        <v>0</v>
      </c>
      <c r="O711" s="41">
        <v>0</v>
      </c>
      <c r="P711" s="41">
        <v>0</v>
      </c>
      <c r="Q711" s="1475">
        <f>L711*$H713</f>
        <v>0</v>
      </c>
      <c r="R711" s="1475">
        <f>M711*$H713</f>
        <v>0</v>
      </c>
      <c r="S711" s="1475">
        <f>N711*$H713</f>
        <v>0</v>
      </c>
      <c r="T711" s="1475">
        <f>O711*$H713</f>
        <v>0</v>
      </c>
      <c r="U711" s="1475">
        <f>P711*$H713</f>
        <v>0</v>
      </c>
      <c r="V711" s="1475">
        <f t="shared" si="387"/>
        <v>0</v>
      </c>
    </row>
    <row r="712" spans="1:25" s="39" customFormat="1" ht="24" customHeight="1">
      <c r="A712" s="1860">
        <v>2</v>
      </c>
      <c r="B712" s="1860"/>
      <c r="C712" s="1860"/>
      <c r="D712" s="1860"/>
      <c r="E712" s="1839"/>
      <c r="F712" s="1844"/>
      <c r="G712" s="1812"/>
      <c r="H712" s="1601"/>
      <c r="I712" s="1765"/>
      <c r="J712" s="40" t="s">
        <v>81</v>
      </c>
      <c r="K712" s="42"/>
      <c r="L712" s="41">
        <v>0</v>
      </c>
      <c r="M712" s="41">
        <v>0</v>
      </c>
      <c r="N712" s="41">
        <v>0</v>
      </c>
      <c r="O712" s="41">
        <v>0</v>
      </c>
      <c r="P712" s="41">
        <v>0</v>
      </c>
      <c r="Q712" s="1475">
        <f>L712*$H713</f>
        <v>0</v>
      </c>
      <c r="R712" s="1475">
        <f>M712*$H713</f>
        <v>0</v>
      </c>
      <c r="S712" s="1475">
        <f>N712*$H713</f>
        <v>0</v>
      </c>
      <c r="T712" s="1475">
        <f>O712*$H713</f>
        <v>0</v>
      </c>
      <c r="U712" s="1475">
        <f>P712*$H713</f>
        <v>0</v>
      </c>
      <c r="V712" s="1475">
        <f t="shared" si="387"/>
        <v>0</v>
      </c>
    </row>
    <row r="713" spans="1:25" s="39" customFormat="1" ht="24" customHeight="1">
      <c r="A713" s="1860">
        <v>2</v>
      </c>
      <c r="B713" s="1860"/>
      <c r="C713" s="1860"/>
      <c r="D713" s="1860"/>
      <c r="E713" s="1839"/>
      <c r="F713" s="1844"/>
      <c r="G713" s="1812"/>
      <c r="H713" s="1595">
        <f>'Budget Assumption_Lab Comp2'!Q282</f>
        <v>4.5999999999999996</v>
      </c>
      <c r="I713" s="1765"/>
      <c r="J713" s="40" t="s">
        <v>134</v>
      </c>
      <c r="K713" s="42"/>
      <c r="L713" s="41">
        <v>0</v>
      </c>
      <c r="M713" s="41">
        <v>0</v>
      </c>
      <c r="N713" s="41">
        <v>0</v>
      </c>
      <c r="O713" s="41">
        <v>0</v>
      </c>
      <c r="P713" s="41">
        <v>0</v>
      </c>
      <c r="Q713" s="1475">
        <f>L713*$H713</f>
        <v>0</v>
      </c>
      <c r="R713" s="1475">
        <f>M713*$H713</f>
        <v>0</v>
      </c>
      <c r="S713" s="1475">
        <f>N713*$H713</f>
        <v>0</v>
      </c>
      <c r="T713" s="1475">
        <f>O713*$H713</f>
        <v>0</v>
      </c>
      <c r="U713" s="1475">
        <f>P713*$H713</f>
        <v>0</v>
      </c>
      <c r="V713" s="1475">
        <f t="shared" si="387"/>
        <v>0</v>
      </c>
    </row>
    <row r="714" spans="1:25" s="39" customFormat="1" ht="24" customHeight="1">
      <c r="A714" s="1860">
        <v>2</v>
      </c>
      <c r="B714" s="1860"/>
      <c r="C714" s="1860"/>
      <c r="D714" s="1860"/>
      <c r="E714" s="1839"/>
      <c r="F714" s="1844"/>
      <c r="G714" s="1812"/>
      <c r="H714" s="1596">
        <f>810*0.05</f>
        <v>40.5</v>
      </c>
      <c r="I714" s="1765"/>
      <c r="J714" s="40" t="s">
        <v>82</v>
      </c>
      <c r="K714" s="42"/>
      <c r="L714" s="41">
        <v>0</v>
      </c>
      <c r="M714" s="41">
        <v>0</v>
      </c>
      <c r="N714" s="41">
        <v>0</v>
      </c>
      <c r="O714" s="41">
        <v>0</v>
      </c>
      <c r="P714" s="41">
        <v>0</v>
      </c>
      <c r="Q714" s="1475">
        <f t="shared" ref="Q714:Q717" si="392">L714*$H714</f>
        <v>0</v>
      </c>
      <c r="R714" s="1475">
        <f t="shared" ref="R714:R717" si="393">M714*$H714</f>
        <v>0</v>
      </c>
      <c r="S714" s="1475">
        <f t="shared" ref="S714:S717" si="394">N714*$H714</f>
        <v>0</v>
      </c>
      <c r="T714" s="1475">
        <f t="shared" ref="T714:T717" si="395">O714*$H714</f>
        <v>0</v>
      </c>
      <c r="U714" s="1475">
        <f t="shared" ref="U714:U717" si="396">P714*$H714</f>
        <v>0</v>
      </c>
      <c r="V714" s="1475">
        <f t="shared" ref="V714:V717" si="397">SUM(Q714:U714)</f>
        <v>0</v>
      </c>
    </row>
    <row r="715" spans="1:25" s="39" customFormat="1" ht="24" customHeight="1">
      <c r="A715" s="1860">
        <v>2</v>
      </c>
      <c r="B715" s="1860"/>
      <c r="C715" s="1860"/>
      <c r="D715" s="1860"/>
      <c r="E715" s="1839"/>
      <c r="F715" s="1844"/>
      <c r="G715" s="1812"/>
      <c r="H715" s="1596"/>
      <c r="I715" s="1765"/>
      <c r="J715" s="40" t="s">
        <v>90</v>
      </c>
      <c r="K715" s="42"/>
      <c r="L715" s="41">
        <v>0</v>
      </c>
      <c r="M715" s="41">
        <v>0</v>
      </c>
      <c r="N715" s="41">
        <v>0</v>
      </c>
      <c r="O715" s="41">
        <v>0</v>
      </c>
      <c r="P715" s="41">
        <v>0</v>
      </c>
      <c r="Q715" s="1475">
        <f t="shared" si="392"/>
        <v>0</v>
      </c>
      <c r="R715" s="1475">
        <f t="shared" si="393"/>
        <v>0</v>
      </c>
      <c r="S715" s="1475">
        <f t="shared" si="394"/>
        <v>0</v>
      </c>
      <c r="T715" s="1475">
        <f t="shared" si="395"/>
        <v>0</v>
      </c>
      <c r="U715" s="1475">
        <f t="shared" si="396"/>
        <v>0</v>
      </c>
      <c r="V715" s="1475">
        <f t="shared" si="397"/>
        <v>0</v>
      </c>
    </row>
    <row r="716" spans="1:25" s="39" customFormat="1" ht="24" customHeight="1">
      <c r="A716" s="1860">
        <v>2</v>
      </c>
      <c r="B716" s="1860"/>
      <c r="C716" s="1860"/>
      <c r="D716" s="1860"/>
      <c r="E716" s="1839"/>
      <c r="F716" s="1844"/>
      <c r="G716" s="1812"/>
      <c r="H716" s="1596"/>
      <c r="I716" s="1765"/>
      <c r="J716" s="40" t="s">
        <v>83</v>
      </c>
      <c r="K716" s="42"/>
      <c r="L716" s="41">
        <v>0</v>
      </c>
      <c r="M716" s="41">
        <v>0</v>
      </c>
      <c r="N716" s="41">
        <v>0</v>
      </c>
      <c r="O716" s="41">
        <v>0</v>
      </c>
      <c r="P716" s="41">
        <v>0</v>
      </c>
      <c r="Q716" s="1475">
        <f t="shared" si="392"/>
        <v>0</v>
      </c>
      <c r="R716" s="1475">
        <f t="shared" si="393"/>
        <v>0</v>
      </c>
      <c r="S716" s="1475">
        <f t="shared" si="394"/>
        <v>0</v>
      </c>
      <c r="T716" s="1475">
        <f t="shared" si="395"/>
        <v>0</v>
      </c>
      <c r="U716" s="1475">
        <f t="shared" si="396"/>
        <v>0</v>
      </c>
      <c r="V716" s="1475">
        <f t="shared" si="397"/>
        <v>0</v>
      </c>
    </row>
    <row r="717" spans="1:25" s="39" customFormat="1" ht="24" customHeight="1" thickBot="1">
      <c r="A717" s="1860">
        <v>2</v>
      </c>
      <c r="B717" s="1860"/>
      <c r="C717" s="1860"/>
      <c r="D717" s="1860"/>
      <c r="E717" s="1839"/>
      <c r="F717" s="1845"/>
      <c r="G717" s="1813"/>
      <c r="H717" s="1597"/>
      <c r="I717" s="1766"/>
      <c r="J717" s="80" t="s">
        <v>84</v>
      </c>
      <c r="K717" s="81"/>
      <c r="L717" s="814">
        <f>L708-L709</f>
        <v>0</v>
      </c>
      <c r="M717" s="814">
        <f t="shared" ref="M717:P717" si="398">M708-M709</f>
        <v>0</v>
      </c>
      <c r="N717" s="814">
        <f t="shared" si="398"/>
        <v>0</v>
      </c>
      <c r="O717" s="814">
        <f t="shared" si="398"/>
        <v>0</v>
      </c>
      <c r="P717" s="814">
        <f t="shared" si="398"/>
        <v>0</v>
      </c>
      <c r="Q717" s="1487">
        <f t="shared" si="392"/>
        <v>0</v>
      </c>
      <c r="R717" s="1487">
        <f t="shared" si="393"/>
        <v>0</v>
      </c>
      <c r="S717" s="1487">
        <f t="shared" si="394"/>
        <v>0</v>
      </c>
      <c r="T717" s="1487">
        <f t="shared" si="395"/>
        <v>0</v>
      </c>
      <c r="U717" s="1487">
        <f t="shared" si="396"/>
        <v>0</v>
      </c>
      <c r="V717" s="1487">
        <f t="shared" si="397"/>
        <v>0</v>
      </c>
    </row>
    <row r="718" spans="1:25" s="64" customFormat="1" ht="24" customHeight="1">
      <c r="A718" s="1860">
        <v>2</v>
      </c>
      <c r="B718" s="1860">
        <v>2</v>
      </c>
      <c r="C718" s="1860">
        <v>1</v>
      </c>
      <c r="D718" s="1860">
        <v>6</v>
      </c>
      <c r="E718" s="1839"/>
      <c r="F718" s="1846" t="str">
        <f>CONCATENATE(A718,".",B718,".",C718,".",D718,)</f>
        <v>2.2.1.6</v>
      </c>
      <c r="G718" s="1811" t="s">
        <v>1066</v>
      </c>
      <c r="H718" s="1679" t="s">
        <v>146</v>
      </c>
      <c r="I718" s="1764" t="s">
        <v>1017</v>
      </c>
      <c r="J718" s="262" t="s">
        <v>79</v>
      </c>
      <c r="K718" s="912"/>
      <c r="L718" s="891">
        <f>'Budget Assumption_Lab Comp2'!K283</f>
        <v>7286.4000000000005</v>
      </c>
      <c r="M718" s="891">
        <f>'Budget Assumption_Lab Comp2'!L283</f>
        <v>8015.0400000000009</v>
      </c>
      <c r="N718" s="891">
        <f>'Budget Assumption_Lab Comp2'!M283</f>
        <v>8816.5440000000017</v>
      </c>
      <c r="O718" s="891">
        <f>'Budget Assumption_Lab Comp2'!N283</f>
        <v>9698.1984000000029</v>
      </c>
      <c r="P718" s="891">
        <f>'Budget Assumption_Lab Comp2'!O283</f>
        <v>10668.018240000005</v>
      </c>
      <c r="Q718" s="1484">
        <f>L718*H723</f>
        <v>116582.40000000001</v>
      </c>
      <c r="R718" s="1484">
        <f>M718*H723</f>
        <v>128240.64000000001</v>
      </c>
      <c r="S718" s="1484">
        <f>N718*H723</f>
        <v>141064.70400000003</v>
      </c>
      <c r="T718" s="1484">
        <f>O718*H723</f>
        <v>155171.17440000005</v>
      </c>
      <c r="U718" s="1484">
        <f>P718*H723</f>
        <v>170688.29184000008</v>
      </c>
      <c r="V718" s="1484">
        <f t="shared" si="364"/>
        <v>711747.21024000016</v>
      </c>
    </row>
    <row r="719" spans="1:25" s="39" customFormat="1" ht="24" customHeight="1">
      <c r="A719" s="1860">
        <v>2</v>
      </c>
      <c r="B719" s="1860"/>
      <c r="C719" s="1860"/>
      <c r="D719" s="1860"/>
      <c r="E719" s="1839"/>
      <c r="F719" s="1844"/>
      <c r="G719" s="1812"/>
      <c r="H719" s="1601"/>
      <c r="I719" s="1765"/>
      <c r="J719" s="40" t="s">
        <v>80</v>
      </c>
      <c r="K719" s="91"/>
      <c r="L719" s="41">
        <f t="shared" ref="L719:P719" si="399">SUM(L720:L726)</f>
        <v>7286.4000000000005</v>
      </c>
      <c r="M719" s="41">
        <f t="shared" si="399"/>
        <v>8015.0400000000009</v>
      </c>
      <c r="N719" s="41">
        <f t="shared" si="399"/>
        <v>8816.5440000000017</v>
      </c>
      <c r="O719" s="41">
        <f t="shared" si="399"/>
        <v>9698.1984000000029</v>
      </c>
      <c r="P719" s="41">
        <f t="shared" si="399"/>
        <v>10668.018240000005</v>
      </c>
      <c r="Q719" s="1475">
        <f t="shared" ref="Q719:U719" si="400">SUM(Q720:Q726)</f>
        <v>116582.40000000001</v>
      </c>
      <c r="R719" s="1475">
        <f t="shared" si="400"/>
        <v>128240.64000000001</v>
      </c>
      <c r="S719" s="1475">
        <f t="shared" si="400"/>
        <v>141064.70400000003</v>
      </c>
      <c r="T719" s="1475">
        <f t="shared" si="400"/>
        <v>155171.17440000005</v>
      </c>
      <c r="U719" s="1475">
        <f t="shared" si="400"/>
        <v>170688.29184000008</v>
      </c>
      <c r="V719" s="1475">
        <f t="shared" si="364"/>
        <v>711747.21024000016</v>
      </c>
    </row>
    <row r="720" spans="1:25" s="39" customFormat="1" ht="24" customHeight="1">
      <c r="A720" s="1860">
        <v>2</v>
      </c>
      <c r="B720" s="1860"/>
      <c r="C720" s="1860"/>
      <c r="D720" s="1860"/>
      <c r="E720" s="1839"/>
      <c r="F720" s="1844"/>
      <c r="G720" s="1812"/>
      <c r="H720" s="1601"/>
      <c r="I720" s="1765"/>
      <c r="J720" s="40" t="s">
        <v>429</v>
      </c>
      <c r="K720" s="42"/>
      <c r="L720" s="891">
        <f>L718*1</f>
        <v>7286.4000000000005</v>
      </c>
      <c r="M720" s="891">
        <f t="shared" ref="M720:P720" si="401">M718*1</f>
        <v>8015.0400000000009</v>
      </c>
      <c r="N720" s="891">
        <f t="shared" si="401"/>
        <v>8816.5440000000017</v>
      </c>
      <c r="O720" s="891">
        <f t="shared" si="401"/>
        <v>9698.1984000000029</v>
      </c>
      <c r="P720" s="891">
        <f t="shared" si="401"/>
        <v>10668.018240000005</v>
      </c>
      <c r="Q720" s="1475">
        <f>L720*$H723</f>
        <v>116582.40000000001</v>
      </c>
      <c r="R720" s="1475">
        <f>M720*$H723</f>
        <v>128240.64000000001</v>
      </c>
      <c r="S720" s="1475">
        <f>N720*$H723</f>
        <v>141064.70400000003</v>
      </c>
      <c r="T720" s="1475">
        <f>O720*$H723</f>
        <v>155171.17440000005</v>
      </c>
      <c r="U720" s="1475">
        <f>P720*$H723</f>
        <v>170688.29184000008</v>
      </c>
      <c r="V720" s="1475">
        <f t="shared" si="364"/>
        <v>711747.21024000016</v>
      </c>
    </row>
    <row r="721" spans="1:22" s="39" customFormat="1" ht="24" customHeight="1">
      <c r="A721" s="1860">
        <v>2</v>
      </c>
      <c r="B721" s="1860"/>
      <c r="C721" s="1860"/>
      <c r="D721" s="1860"/>
      <c r="E721" s="1839"/>
      <c r="F721" s="1844"/>
      <c r="G721" s="1812"/>
      <c r="H721" s="1601"/>
      <c r="I721" s="1765"/>
      <c r="J721" s="40" t="s">
        <v>133</v>
      </c>
      <c r="K721" s="42"/>
      <c r="L721" s="41">
        <v>0</v>
      </c>
      <c r="M721" s="41">
        <v>0</v>
      </c>
      <c r="N721" s="41">
        <v>0</v>
      </c>
      <c r="O721" s="41">
        <v>0</v>
      </c>
      <c r="P721" s="41">
        <v>0</v>
      </c>
      <c r="Q721" s="1475">
        <f>L721*$H723</f>
        <v>0</v>
      </c>
      <c r="R721" s="1475">
        <f>M721*$H723</f>
        <v>0</v>
      </c>
      <c r="S721" s="1475">
        <f>N721*$H723</f>
        <v>0</v>
      </c>
      <c r="T721" s="1475">
        <f>O721*$H723</f>
        <v>0</v>
      </c>
      <c r="U721" s="1475">
        <f>P721*$H723</f>
        <v>0</v>
      </c>
      <c r="V721" s="1475">
        <f t="shared" si="364"/>
        <v>0</v>
      </c>
    </row>
    <row r="722" spans="1:22" s="39" customFormat="1" ht="24" customHeight="1">
      <c r="A722" s="1860">
        <v>2</v>
      </c>
      <c r="B722" s="1860"/>
      <c r="C722" s="1860"/>
      <c r="D722" s="1860"/>
      <c r="E722" s="1839"/>
      <c r="F722" s="1844"/>
      <c r="G722" s="1812"/>
      <c r="H722" s="1601"/>
      <c r="I722" s="1765"/>
      <c r="J722" s="40" t="s">
        <v>81</v>
      </c>
      <c r="K722" s="42"/>
      <c r="L722" s="41">
        <v>0</v>
      </c>
      <c r="M722" s="41">
        <v>0</v>
      </c>
      <c r="N722" s="41">
        <v>0</v>
      </c>
      <c r="O722" s="41">
        <v>0</v>
      </c>
      <c r="P722" s="41">
        <v>0</v>
      </c>
      <c r="Q722" s="1475">
        <f>L722*$H723</f>
        <v>0</v>
      </c>
      <c r="R722" s="1475">
        <f>M722*$H723</f>
        <v>0</v>
      </c>
      <c r="S722" s="1475">
        <f>N722*$H723</f>
        <v>0</v>
      </c>
      <c r="T722" s="1475">
        <f>O722*$H723</f>
        <v>0</v>
      </c>
      <c r="U722" s="1475">
        <f>P722*$H723</f>
        <v>0</v>
      </c>
      <c r="V722" s="1475">
        <f t="shared" si="364"/>
        <v>0</v>
      </c>
    </row>
    <row r="723" spans="1:22" s="39" customFormat="1" ht="24" customHeight="1">
      <c r="A723" s="1860">
        <v>2</v>
      </c>
      <c r="B723" s="1860"/>
      <c r="C723" s="1860"/>
      <c r="D723" s="1860"/>
      <c r="E723" s="1839"/>
      <c r="F723" s="1844"/>
      <c r="G723" s="1812"/>
      <c r="H723" s="1595">
        <f>'Budget Assumption_Lab Comp2'!Q283</f>
        <v>16</v>
      </c>
      <c r="I723" s="1765"/>
      <c r="J723" s="40" t="s">
        <v>134</v>
      </c>
      <c r="K723" s="42"/>
      <c r="L723" s="41">
        <v>0</v>
      </c>
      <c r="M723" s="41">
        <v>0</v>
      </c>
      <c r="N723" s="41">
        <v>0</v>
      </c>
      <c r="O723" s="41">
        <v>0</v>
      </c>
      <c r="P723" s="41">
        <v>0</v>
      </c>
      <c r="Q723" s="1475">
        <f>L723*$H723</f>
        <v>0</v>
      </c>
      <c r="R723" s="1475">
        <f>M723*$H723</f>
        <v>0</v>
      </c>
      <c r="S723" s="1475">
        <f>N723*$H723</f>
        <v>0</v>
      </c>
      <c r="T723" s="1475">
        <f>O723*$H723</f>
        <v>0</v>
      </c>
      <c r="U723" s="1475">
        <f>P723*$H723</f>
        <v>0</v>
      </c>
      <c r="V723" s="1475">
        <f t="shared" si="364"/>
        <v>0</v>
      </c>
    </row>
    <row r="724" spans="1:22" s="39" customFormat="1" ht="24" customHeight="1">
      <c r="A724" s="1860">
        <v>2</v>
      </c>
      <c r="B724" s="1860"/>
      <c r="C724" s="1860"/>
      <c r="D724" s="1860"/>
      <c r="E724" s="1839"/>
      <c r="F724" s="1844"/>
      <c r="G724" s="1812"/>
      <c r="H724" s="1596">
        <f>810*0.05</f>
        <v>40.5</v>
      </c>
      <c r="I724" s="1765"/>
      <c r="J724" s="40" t="s">
        <v>82</v>
      </c>
      <c r="K724" s="42"/>
      <c r="L724" s="41">
        <v>0</v>
      </c>
      <c r="M724" s="41">
        <v>0</v>
      </c>
      <c r="N724" s="41">
        <v>0</v>
      </c>
      <c r="O724" s="41">
        <v>0</v>
      </c>
      <c r="P724" s="41">
        <v>0</v>
      </c>
      <c r="Q724" s="1475">
        <f>L724*$H723</f>
        <v>0</v>
      </c>
      <c r="R724" s="1475">
        <f>M724*$H723</f>
        <v>0</v>
      </c>
      <c r="S724" s="1475">
        <f>N724*$H723</f>
        <v>0</v>
      </c>
      <c r="T724" s="1475">
        <f>O724*$H723</f>
        <v>0</v>
      </c>
      <c r="U724" s="1475">
        <f>P724*$H723</f>
        <v>0</v>
      </c>
      <c r="V724" s="1475">
        <f t="shared" si="364"/>
        <v>0</v>
      </c>
    </row>
    <row r="725" spans="1:22" s="39" customFormat="1" ht="24" customHeight="1">
      <c r="A725" s="1860">
        <v>2</v>
      </c>
      <c r="B725" s="1860"/>
      <c r="C725" s="1860"/>
      <c r="D725" s="1860"/>
      <c r="E725" s="1839"/>
      <c r="F725" s="1844"/>
      <c r="G725" s="1812"/>
      <c r="H725" s="1596"/>
      <c r="I725" s="1765"/>
      <c r="J725" s="40" t="s">
        <v>90</v>
      </c>
      <c r="K725" s="42"/>
      <c r="L725" s="41">
        <v>0</v>
      </c>
      <c r="M725" s="41">
        <v>0</v>
      </c>
      <c r="N725" s="41">
        <v>0</v>
      </c>
      <c r="O725" s="41">
        <v>0</v>
      </c>
      <c r="P725" s="41">
        <v>0</v>
      </c>
      <c r="Q725" s="1475">
        <f>L725*$H723</f>
        <v>0</v>
      </c>
      <c r="R725" s="1475">
        <f>M725*$H723</f>
        <v>0</v>
      </c>
      <c r="S725" s="1475">
        <f>N725*$H723</f>
        <v>0</v>
      </c>
      <c r="T725" s="1475">
        <f>O725*$H723</f>
        <v>0</v>
      </c>
      <c r="U725" s="1475">
        <f>P725*$H723</f>
        <v>0</v>
      </c>
      <c r="V725" s="1475">
        <f t="shared" si="364"/>
        <v>0</v>
      </c>
    </row>
    <row r="726" spans="1:22" s="39" customFormat="1" ht="24" customHeight="1">
      <c r="A726" s="1860">
        <v>2</v>
      </c>
      <c r="B726" s="1860"/>
      <c r="C726" s="1860"/>
      <c r="D726" s="1860"/>
      <c r="E726" s="1839"/>
      <c r="F726" s="1844"/>
      <c r="G726" s="1812"/>
      <c r="H726" s="1596"/>
      <c r="I726" s="1765"/>
      <c r="J726" s="40" t="s">
        <v>83</v>
      </c>
      <c r="K726" s="42"/>
      <c r="L726" s="41">
        <v>0</v>
      </c>
      <c r="M726" s="41">
        <v>0</v>
      </c>
      <c r="N726" s="41">
        <v>0</v>
      </c>
      <c r="O726" s="41">
        <v>0</v>
      </c>
      <c r="P726" s="41">
        <v>0</v>
      </c>
      <c r="Q726" s="1475">
        <f>L726*$H723</f>
        <v>0</v>
      </c>
      <c r="R726" s="1475">
        <f>M726*$H723</f>
        <v>0</v>
      </c>
      <c r="S726" s="1475">
        <f>N726*$H723</f>
        <v>0</v>
      </c>
      <c r="T726" s="1475">
        <f>O726*$H723</f>
        <v>0</v>
      </c>
      <c r="U726" s="1475">
        <f>P726*$H723</f>
        <v>0</v>
      </c>
      <c r="V726" s="1475">
        <f t="shared" si="364"/>
        <v>0</v>
      </c>
    </row>
    <row r="727" spans="1:22" s="39" customFormat="1" ht="24" customHeight="1" thickBot="1">
      <c r="A727" s="1860">
        <v>2</v>
      </c>
      <c r="B727" s="1860"/>
      <c r="C727" s="1860"/>
      <c r="D727" s="1860"/>
      <c r="E727" s="1839"/>
      <c r="F727" s="1845"/>
      <c r="G727" s="1813"/>
      <c r="H727" s="1597"/>
      <c r="I727" s="1766"/>
      <c r="J727" s="80" t="s">
        <v>84</v>
      </c>
      <c r="K727" s="81"/>
      <c r="L727" s="814">
        <f>L718-L719</f>
        <v>0</v>
      </c>
      <c r="M727" s="814">
        <f t="shared" ref="M727:P727" si="402">M718-M719</f>
        <v>0</v>
      </c>
      <c r="N727" s="814">
        <f t="shared" si="402"/>
        <v>0</v>
      </c>
      <c r="O727" s="814">
        <f t="shared" si="402"/>
        <v>0</v>
      </c>
      <c r="P727" s="814">
        <f t="shared" si="402"/>
        <v>0</v>
      </c>
      <c r="Q727" s="1487">
        <f t="shared" ref="Q727:U727" si="403">Q718-Q719</f>
        <v>0</v>
      </c>
      <c r="R727" s="1487">
        <f t="shared" si="403"/>
        <v>0</v>
      </c>
      <c r="S727" s="1487">
        <f t="shared" si="403"/>
        <v>0</v>
      </c>
      <c r="T727" s="1487">
        <f t="shared" si="403"/>
        <v>0</v>
      </c>
      <c r="U727" s="1487">
        <f t="shared" si="403"/>
        <v>0</v>
      </c>
      <c r="V727" s="1487">
        <f t="shared" si="364"/>
        <v>0</v>
      </c>
    </row>
    <row r="728" spans="1:22" s="64" customFormat="1" ht="24" customHeight="1">
      <c r="A728" s="1860">
        <v>2</v>
      </c>
      <c r="B728" s="1860">
        <v>2</v>
      </c>
      <c r="C728" s="1860">
        <v>1</v>
      </c>
      <c r="D728" s="1860">
        <v>7</v>
      </c>
      <c r="E728" s="1839"/>
      <c r="F728" s="1846" t="str">
        <f>CONCATENATE(A728,".",B728,".",C728,".",D728,)</f>
        <v>2.2.1.7</v>
      </c>
      <c r="G728" s="1811" t="s">
        <v>1067</v>
      </c>
      <c r="H728" s="1679" t="s">
        <v>146</v>
      </c>
      <c r="I728" s="1764" t="s">
        <v>1017</v>
      </c>
      <c r="J728" s="262" t="s">
        <v>79</v>
      </c>
      <c r="K728" s="912"/>
      <c r="L728" s="891">
        <f>'Budget Assumption_Lab Comp2'!K284</f>
        <v>758.99999999999989</v>
      </c>
      <c r="M728" s="891">
        <f>'Budget Assumption_Lab Comp2'!L284</f>
        <v>834.90000000000009</v>
      </c>
      <c r="N728" s="891">
        <f>'Budget Assumption_Lab Comp2'!M284</f>
        <v>918.3900000000001</v>
      </c>
      <c r="O728" s="891">
        <f>'Budget Assumption_Lab Comp2'!N284</f>
        <v>1010.2290000000003</v>
      </c>
      <c r="P728" s="891">
        <f>'Budget Assumption_Lab Comp2'!O284</f>
        <v>1111.2519000000004</v>
      </c>
      <c r="Q728" s="1484">
        <f>L728*H733</f>
        <v>148763.99999999997</v>
      </c>
      <c r="R728" s="1484">
        <f>M728*H733</f>
        <v>163640.40000000002</v>
      </c>
      <c r="S728" s="1484">
        <f>N728*H733</f>
        <v>180004.44000000003</v>
      </c>
      <c r="T728" s="1484">
        <f>O728*H733</f>
        <v>198004.88400000005</v>
      </c>
      <c r="U728" s="1484">
        <f>P728*H733</f>
        <v>217805.37240000008</v>
      </c>
      <c r="V728" s="1484">
        <f t="shared" si="364"/>
        <v>908219.09640000027</v>
      </c>
    </row>
    <row r="729" spans="1:22" s="39" customFormat="1" ht="24" customHeight="1">
      <c r="A729" s="1860">
        <v>2</v>
      </c>
      <c r="B729" s="1860"/>
      <c r="C729" s="1860"/>
      <c r="D729" s="1860"/>
      <c r="E729" s="1839"/>
      <c r="F729" s="1844"/>
      <c r="G729" s="1812"/>
      <c r="H729" s="1601"/>
      <c r="I729" s="1765"/>
      <c r="J729" s="40" t="s">
        <v>80</v>
      </c>
      <c r="K729" s="91"/>
      <c r="L729" s="41">
        <f t="shared" ref="L729:P729" si="404">SUM(L730:L736)</f>
        <v>758.99999999999989</v>
      </c>
      <c r="M729" s="41">
        <f t="shared" si="404"/>
        <v>834.90000000000009</v>
      </c>
      <c r="N729" s="41">
        <f t="shared" si="404"/>
        <v>918.3900000000001</v>
      </c>
      <c r="O729" s="41">
        <f t="shared" si="404"/>
        <v>1010.2290000000003</v>
      </c>
      <c r="P729" s="41">
        <f t="shared" si="404"/>
        <v>1111.2519000000004</v>
      </c>
      <c r="Q729" s="1475">
        <f t="shared" ref="Q729:U729" si="405">SUM(Q730:Q736)</f>
        <v>148763.99999999997</v>
      </c>
      <c r="R729" s="1475">
        <f t="shared" si="405"/>
        <v>163640.40000000002</v>
      </c>
      <c r="S729" s="1475">
        <f t="shared" si="405"/>
        <v>180004.44000000003</v>
      </c>
      <c r="T729" s="1475">
        <f t="shared" si="405"/>
        <v>198004.88400000005</v>
      </c>
      <c r="U729" s="1475">
        <f t="shared" si="405"/>
        <v>217805.37240000008</v>
      </c>
      <c r="V729" s="1475">
        <f t="shared" si="364"/>
        <v>908219.09640000027</v>
      </c>
    </row>
    <row r="730" spans="1:22" s="39" customFormat="1" ht="24" customHeight="1">
      <c r="A730" s="1860">
        <v>2</v>
      </c>
      <c r="B730" s="1860"/>
      <c r="C730" s="1860"/>
      <c r="D730" s="1860"/>
      <c r="E730" s="1839"/>
      <c r="F730" s="1844"/>
      <c r="G730" s="1812"/>
      <c r="H730" s="1601"/>
      <c r="I730" s="1765"/>
      <c r="J730" s="40" t="s">
        <v>429</v>
      </c>
      <c r="K730" s="42"/>
      <c r="L730" s="891">
        <f>'Budget Assumption_Lab Comp2'!K284</f>
        <v>758.99999999999989</v>
      </c>
      <c r="M730" s="891">
        <f>'Budget Assumption_Lab Comp2'!L284</f>
        <v>834.90000000000009</v>
      </c>
      <c r="N730" s="891">
        <f>'Budget Assumption_Lab Comp2'!M284</f>
        <v>918.3900000000001</v>
      </c>
      <c r="O730" s="891">
        <f>'Budget Assumption_Lab Comp2'!N284</f>
        <v>1010.2290000000003</v>
      </c>
      <c r="P730" s="891">
        <f>'Budget Assumption_Lab Comp2'!O284</f>
        <v>1111.2519000000004</v>
      </c>
      <c r="Q730" s="1475">
        <f>L730*$H733</f>
        <v>148763.99999999997</v>
      </c>
      <c r="R730" s="1475">
        <f>M730*$H733</f>
        <v>163640.40000000002</v>
      </c>
      <c r="S730" s="1475">
        <f>N730*$H733</f>
        <v>180004.44000000003</v>
      </c>
      <c r="T730" s="1475">
        <f>O730*$H733</f>
        <v>198004.88400000005</v>
      </c>
      <c r="U730" s="1475">
        <f>P730*$H733</f>
        <v>217805.37240000008</v>
      </c>
      <c r="V730" s="1475">
        <f t="shared" si="364"/>
        <v>908219.09640000027</v>
      </c>
    </row>
    <row r="731" spans="1:22" s="39" customFormat="1" ht="24" customHeight="1">
      <c r="A731" s="1860">
        <v>2</v>
      </c>
      <c r="B731" s="1860"/>
      <c r="C731" s="1860"/>
      <c r="D731" s="1860"/>
      <c r="E731" s="1839"/>
      <c r="F731" s="1844"/>
      <c r="G731" s="1812"/>
      <c r="H731" s="1601"/>
      <c r="I731" s="1765"/>
      <c r="J731" s="40" t="s">
        <v>133</v>
      </c>
      <c r="K731" s="42"/>
      <c r="L731" s="41">
        <v>0</v>
      </c>
      <c r="M731" s="41">
        <v>0</v>
      </c>
      <c r="N731" s="41">
        <v>0</v>
      </c>
      <c r="O731" s="41">
        <v>0</v>
      </c>
      <c r="P731" s="41">
        <v>0</v>
      </c>
      <c r="Q731" s="1475">
        <f>L731*$H733</f>
        <v>0</v>
      </c>
      <c r="R731" s="1475">
        <f>M731*$H733</f>
        <v>0</v>
      </c>
      <c r="S731" s="1475">
        <f>N731*$H733</f>
        <v>0</v>
      </c>
      <c r="T731" s="1475">
        <f>O731*$H733</f>
        <v>0</v>
      </c>
      <c r="U731" s="1475">
        <f>P731*$H733</f>
        <v>0</v>
      </c>
      <c r="V731" s="1475">
        <f t="shared" si="364"/>
        <v>0</v>
      </c>
    </row>
    <row r="732" spans="1:22" s="39" customFormat="1" ht="24" customHeight="1">
      <c r="A732" s="1860">
        <v>2</v>
      </c>
      <c r="B732" s="1860"/>
      <c r="C732" s="1860"/>
      <c r="D732" s="1860"/>
      <c r="E732" s="1839"/>
      <c r="F732" s="1844"/>
      <c r="G732" s="1812"/>
      <c r="H732" s="1601"/>
      <c r="I732" s="1765"/>
      <c r="J732" s="40" t="s">
        <v>81</v>
      </c>
      <c r="K732" s="42"/>
      <c r="L732" s="41">
        <v>0</v>
      </c>
      <c r="M732" s="41">
        <v>0</v>
      </c>
      <c r="N732" s="41">
        <v>0</v>
      </c>
      <c r="O732" s="41">
        <v>0</v>
      </c>
      <c r="P732" s="41">
        <v>0</v>
      </c>
      <c r="Q732" s="1475">
        <f>L732*$H733</f>
        <v>0</v>
      </c>
      <c r="R732" s="1475">
        <f>M732*$H733</f>
        <v>0</v>
      </c>
      <c r="S732" s="1475">
        <f>N732*$H733</f>
        <v>0</v>
      </c>
      <c r="T732" s="1475">
        <f>O732*$H733</f>
        <v>0</v>
      </c>
      <c r="U732" s="1475">
        <f>P732*$H733</f>
        <v>0</v>
      </c>
      <c r="V732" s="1475">
        <f t="shared" si="364"/>
        <v>0</v>
      </c>
    </row>
    <row r="733" spans="1:22" s="39" customFormat="1" ht="24" customHeight="1">
      <c r="A733" s="1860">
        <v>2</v>
      </c>
      <c r="B733" s="1860"/>
      <c r="C733" s="1860"/>
      <c r="D733" s="1860"/>
      <c r="E733" s="1839"/>
      <c r="F733" s="1844"/>
      <c r="G733" s="1812"/>
      <c r="H733" s="1595">
        <f>'Budget Assumption_Lab Comp2'!Q284</f>
        <v>196</v>
      </c>
      <c r="I733" s="1765"/>
      <c r="J733" s="40" t="s">
        <v>134</v>
      </c>
      <c r="K733" s="42"/>
      <c r="L733" s="41">
        <v>0</v>
      </c>
      <c r="M733" s="41">
        <v>0</v>
      </c>
      <c r="N733" s="41">
        <v>0</v>
      </c>
      <c r="O733" s="41">
        <v>0</v>
      </c>
      <c r="P733" s="41">
        <v>0</v>
      </c>
      <c r="Q733" s="1475">
        <f>L733*$H733</f>
        <v>0</v>
      </c>
      <c r="R733" s="1475">
        <f>M733*$H733</f>
        <v>0</v>
      </c>
      <c r="S733" s="1475">
        <f>N733*$H733</f>
        <v>0</v>
      </c>
      <c r="T733" s="1475">
        <f>O733*$H733</f>
        <v>0</v>
      </c>
      <c r="U733" s="1475">
        <f>P733*$H733</f>
        <v>0</v>
      </c>
      <c r="V733" s="1475">
        <f t="shared" si="364"/>
        <v>0</v>
      </c>
    </row>
    <row r="734" spans="1:22" s="39" customFormat="1" ht="24" customHeight="1">
      <c r="A734" s="1860">
        <v>2</v>
      </c>
      <c r="B734" s="1860"/>
      <c r="C734" s="1860"/>
      <c r="D734" s="1860"/>
      <c r="E734" s="1839"/>
      <c r="F734" s="1844"/>
      <c r="G734" s="1812"/>
      <c r="H734" s="1596">
        <f>810*0.05</f>
        <v>40.5</v>
      </c>
      <c r="I734" s="1765"/>
      <c r="J734" s="40" t="s">
        <v>82</v>
      </c>
      <c r="K734" s="42"/>
      <c r="L734" s="41">
        <v>0</v>
      </c>
      <c r="M734" s="41">
        <v>0</v>
      </c>
      <c r="N734" s="41">
        <v>0</v>
      </c>
      <c r="O734" s="41">
        <v>0</v>
      </c>
      <c r="P734" s="41">
        <v>0</v>
      </c>
      <c r="Q734" s="1475">
        <f>L734*$H733</f>
        <v>0</v>
      </c>
      <c r="R734" s="1475">
        <f>M734*$H733</f>
        <v>0</v>
      </c>
      <c r="S734" s="1475">
        <f>N734*$H733</f>
        <v>0</v>
      </c>
      <c r="T734" s="1475">
        <f>O734*$H733</f>
        <v>0</v>
      </c>
      <c r="U734" s="1475">
        <f>P734*$H733</f>
        <v>0</v>
      </c>
      <c r="V734" s="1475">
        <f t="shared" si="364"/>
        <v>0</v>
      </c>
    </row>
    <row r="735" spans="1:22" s="39" customFormat="1" ht="24" customHeight="1">
      <c r="A735" s="1860">
        <v>2</v>
      </c>
      <c r="B735" s="1860"/>
      <c r="C735" s="1860"/>
      <c r="D735" s="1860"/>
      <c r="E735" s="1839"/>
      <c r="F735" s="1844"/>
      <c r="G735" s="1812"/>
      <c r="H735" s="1596"/>
      <c r="I735" s="1765"/>
      <c r="J735" s="40" t="s">
        <v>90</v>
      </c>
      <c r="K735" s="42"/>
      <c r="L735" s="41">
        <v>0</v>
      </c>
      <c r="M735" s="41">
        <v>0</v>
      </c>
      <c r="N735" s="41">
        <v>0</v>
      </c>
      <c r="O735" s="41">
        <v>0</v>
      </c>
      <c r="P735" s="41">
        <v>0</v>
      </c>
      <c r="Q735" s="1475">
        <f>L735*$H733</f>
        <v>0</v>
      </c>
      <c r="R735" s="1475">
        <f>M735*$H733</f>
        <v>0</v>
      </c>
      <c r="S735" s="1475">
        <f>N735*$H733</f>
        <v>0</v>
      </c>
      <c r="T735" s="1475">
        <f>O735*$H733</f>
        <v>0</v>
      </c>
      <c r="U735" s="1475">
        <f>P735*$H733</f>
        <v>0</v>
      </c>
      <c r="V735" s="1475">
        <f t="shared" si="364"/>
        <v>0</v>
      </c>
    </row>
    <row r="736" spans="1:22" s="39" customFormat="1" ht="24" customHeight="1">
      <c r="A736" s="1860">
        <v>2</v>
      </c>
      <c r="B736" s="1860"/>
      <c r="C736" s="1860"/>
      <c r="D736" s="1860"/>
      <c r="E736" s="1839"/>
      <c r="F736" s="1844"/>
      <c r="G736" s="1812"/>
      <c r="H736" s="1596"/>
      <c r="I736" s="1765"/>
      <c r="J736" s="40" t="s">
        <v>83</v>
      </c>
      <c r="K736" s="42"/>
      <c r="L736" s="41">
        <v>0</v>
      </c>
      <c r="M736" s="41">
        <v>0</v>
      </c>
      <c r="N736" s="41">
        <v>0</v>
      </c>
      <c r="O736" s="41">
        <v>0</v>
      </c>
      <c r="P736" s="41">
        <v>0</v>
      </c>
      <c r="Q736" s="1475">
        <f>L736*$H733</f>
        <v>0</v>
      </c>
      <c r="R736" s="1475">
        <f>M736*$H733</f>
        <v>0</v>
      </c>
      <c r="S736" s="1475">
        <f>N736*$H733</f>
        <v>0</v>
      </c>
      <c r="T736" s="1475">
        <f>O736*$H733</f>
        <v>0</v>
      </c>
      <c r="U736" s="1475">
        <f>P736*$H733</f>
        <v>0</v>
      </c>
      <c r="V736" s="1475">
        <f t="shared" si="364"/>
        <v>0</v>
      </c>
    </row>
    <row r="737" spans="1:22" s="39" customFormat="1" ht="24" customHeight="1" thickBot="1">
      <c r="A737" s="1860">
        <v>2</v>
      </c>
      <c r="B737" s="1860"/>
      <c r="C737" s="1860"/>
      <c r="D737" s="1860"/>
      <c r="E737" s="1839"/>
      <c r="F737" s="1845"/>
      <c r="G737" s="1813"/>
      <c r="H737" s="1597"/>
      <c r="I737" s="1766"/>
      <c r="J737" s="80" t="s">
        <v>84</v>
      </c>
      <c r="K737" s="81"/>
      <c r="L737" s="814">
        <f>L728-L729</f>
        <v>0</v>
      </c>
      <c r="M737" s="814">
        <f t="shared" ref="M737:P737" si="406">M728-M729</f>
        <v>0</v>
      </c>
      <c r="N737" s="814">
        <f t="shared" si="406"/>
        <v>0</v>
      </c>
      <c r="O737" s="814">
        <f t="shared" si="406"/>
        <v>0</v>
      </c>
      <c r="P737" s="814">
        <f t="shared" si="406"/>
        <v>0</v>
      </c>
      <c r="Q737" s="1487">
        <f t="shared" ref="Q737:U737" si="407">Q728-Q729</f>
        <v>0</v>
      </c>
      <c r="R737" s="1487">
        <f t="shared" si="407"/>
        <v>0</v>
      </c>
      <c r="S737" s="1487">
        <f t="shared" si="407"/>
        <v>0</v>
      </c>
      <c r="T737" s="1487">
        <f t="shared" si="407"/>
        <v>0</v>
      </c>
      <c r="U737" s="1487">
        <f t="shared" si="407"/>
        <v>0</v>
      </c>
      <c r="V737" s="1487">
        <f t="shared" si="364"/>
        <v>0</v>
      </c>
    </row>
    <row r="738" spans="1:22" s="64" customFormat="1" ht="24" customHeight="1">
      <c r="A738" s="1860">
        <v>2</v>
      </c>
      <c r="B738" s="1860">
        <v>2</v>
      </c>
      <c r="C738" s="1860">
        <v>1</v>
      </c>
      <c r="D738" s="1860">
        <v>8</v>
      </c>
      <c r="E738" s="1839"/>
      <c r="F738" s="1846" t="str">
        <f>CONCATENATE(A738,".",B738,".",C738,".",D738,)</f>
        <v>2.2.1.8</v>
      </c>
      <c r="G738" s="1811" t="s">
        <v>1021</v>
      </c>
      <c r="H738" s="1679" t="s">
        <v>827</v>
      </c>
      <c r="I738" s="1764" t="s">
        <v>1017</v>
      </c>
      <c r="J738" s="262" t="s">
        <v>79</v>
      </c>
      <c r="K738" s="912"/>
      <c r="L738" s="891">
        <f>'Budget Assumption_Lab Comp2'!K285+'Budget Assumption_Lab Comp2'!K294</f>
        <v>25263.062000000002</v>
      </c>
      <c r="M738" s="891">
        <f>'Budget Assumption_Lab Comp2'!L285+'Budget Assumption_Lab Comp2'!L294</f>
        <v>27789.368200000004</v>
      </c>
      <c r="N738" s="891">
        <f>'Budget Assumption_Lab Comp2'!M285+'Budget Assumption_Lab Comp2'!M294</f>
        <v>30568.305020000003</v>
      </c>
      <c r="O738" s="891">
        <f>'Budget Assumption_Lab Comp2'!N285+'Budget Assumption_Lab Comp2'!N294</f>
        <v>33625.135522000004</v>
      </c>
      <c r="P738" s="891">
        <f>'Budget Assumption_Lab Comp2'!O285+'Budget Assumption_Lab Comp2'!O294</f>
        <v>36987.64907420001</v>
      </c>
      <c r="Q738" s="1484">
        <f>L738*H743</f>
        <v>299619.91532000003</v>
      </c>
      <c r="R738" s="1484">
        <f>M738*H743</f>
        <v>329581.90685200004</v>
      </c>
      <c r="S738" s="1484">
        <f>N738*H743</f>
        <v>362540.09753720002</v>
      </c>
      <c r="T738" s="1484">
        <f>O738*H743</f>
        <v>398794.10729092004</v>
      </c>
      <c r="U738" s="1484">
        <f>P738*H743</f>
        <v>438673.51802001207</v>
      </c>
      <c r="V738" s="1484">
        <f t="shared" ref="V738:V747" si="408">SUM(Q738:U738)</f>
        <v>1829209.5450201323</v>
      </c>
    </row>
    <row r="739" spans="1:22" s="39" customFormat="1" ht="24" customHeight="1">
      <c r="A739" s="1860">
        <v>2</v>
      </c>
      <c r="B739" s="1860"/>
      <c r="C739" s="1860"/>
      <c r="D739" s="1860"/>
      <c r="E739" s="1839"/>
      <c r="F739" s="1844"/>
      <c r="G739" s="1812"/>
      <c r="H739" s="1601"/>
      <c r="I739" s="1765"/>
      <c r="J739" s="40" t="s">
        <v>80</v>
      </c>
      <c r="K739" s="91"/>
      <c r="L739" s="41">
        <f t="shared" ref="L739:P739" si="409">SUM(L740:L746)</f>
        <v>25263.062000000002</v>
      </c>
      <c r="M739" s="41">
        <f t="shared" si="409"/>
        <v>27789.368200000004</v>
      </c>
      <c r="N739" s="41">
        <f t="shared" si="409"/>
        <v>30568.305020000003</v>
      </c>
      <c r="O739" s="41">
        <f t="shared" si="409"/>
        <v>33625.135522000004</v>
      </c>
      <c r="P739" s="41">
        <f t="shared" si="409"/>
        <v>36987.64907420001</v>
      </c>
      <c r="Q739" s="1475">
        <f t="shared" ref="Q739:U739" si="410">SUM(Q740:Q746)</f>
        <v>299619.91531999997</v>
      </c>
      <c r="R739" s="1475">
        <f t="shared" si="410"/>
        <v>329581.90685200004</v>
      </c>
      <c r="S739" s="1475">
        <f t="shared" si="410"/>
        <v>362540.09753720002</v>
      </c>
      <c r="T739" s="1475">
        <f t="shared" si="410"/>
        <v>398794.10729092004</v>
      </c>
      <c r="U739" s="1475">
        <f t="shared" si="410"/>
        <v>438673.51802001207</v>
      </c>
      <c r="V739" s="1475">
        <f t="shared" si="408"/>
        <v>1829209.5450201323</v>
      </c>
    </row>
    <row r="740" spans="1:22" s="39" customFormat="1" ht="24" customHeight="1">
      <c r="A740" s="1860">
        <v>2</v>
      </c>
      <c r="B740" s="1860"/>
      <c r="C740" s="1860"/>
      <c r="D740" s="1860"/>
      <c r="E740" s="1839"/>
      <c r="F740" s="1844"/>
      <c r="G740" s="1812"/>
      <c r="H740" s="1601"/>
      <c r="I740" s="1765"/>
      <c r="J740" s="40" t="s">
        <v>429</v>
      </c>
      <c r="K740" s="42"/>
      <c r="L740" s="891">
        <f>'Budget Assumption_Lab Comp2'!K285</f>
        <v>24368.454000000002</v>
      </c>
      <c r="M740" s="891">
        <f>'Budget Assumption_Lab Comp2'!L285</f>
        <v>26805.299400000004</v>
      </c>
      <c r="N740" s="891">
        <f>'Budget Assumption_Lab Comp2'!M285</f>
        <v>29485.829340000004</v>
      </c>
      <c r="O740" s="891">
        <f>'Budget Assumption_Lab Comp2'!N285</f>
        <v>32434.412274000002</v>
      </c>
      <c r="P740" s="891">
        <f>'Budget Assumption_Lab Comp2'!O285</f>
        <v>35677.853501400008</v>
      </c>
      <c r="Q740" s="1475">
        <f>L740*$H743</f>
        <v>289009.86443999998</v>
      </c>
      <c r="R740" s="1475">
        <f>M740*$H743</f>
        <v>317910.85088400001</v>
      </c>
      <c r="S740" s="1475">
        <f>N740*$H743</f>
        <v>349701.93597240001</v>
      </c>
      <c r="T740" s="1475">
        <f>O740*$H743</f>
        <v>384672.12956964003</v>
      </c>
      <c r="U740" s="1475">
        <f>P740*$H743</f>
        <v>423139.34252660407</v>
      </c>
      <c r="V740" s="1475">
        <f t="shared" si="408"/>
        <v>1764434.1233926439</v>
      </c>
    </row>
    <row r="741" spans="1:22" s="39" customFormat="1" ht="24" customHeight="1">
      <c r="A741" s="1860">
        <v>2</v>
      </c>
      <c r="B741" s="1860"/>
      <c r="C741" s="1860"/>
      <c r="D741" s="1860"/>
      <c r="E741" s="1839"/>
      <c r="F741" s="1844"/>
      <c r="G741" s="1812"/>
      <c r="H741" s="1601"/>
      <c r="I741" s="1765"/>
      <c r="J741" s="40" t="s">
        <v>133</v>
      </c>
      <c r="K741" s="42"/>
      <c r="L741" s="41">
        <f>'Budget Assumption_Lab Comp2'!K294</f>
        <v>894.60799999999995</v>
      </c>
      <c r="M741" s="41">
        <f>'Budget Assumption_Lab Comp2'!L294</f>
        <v>984.06880000000012</v>
      </c>
      <c r="N741" s="41">
        <f>'Budget Assumption_Lab Comp2'!M294</f>
        <v>1082.4756800000002</v>
      </c>
      <c r="O741" s="41">
        <f>'Budget Assumption_Lab Comp2'!N294</f>
        <v>1190.7232480000002</v>
      </c>
      <c r="P741" s="41">
        <f>'Budget Assumption_Lab Comp2'!O294</f>
        <v>1309.7955728000006</v>
      </c>
      <c r="Q741" s="1475">
        <f>L741*$H743</f>
        <v>10610.050879999999</v>
      </c>
      <c r="R741" s="1475">
        <f>M741*$H743</f>
        <v>11671.055968000001</v>
      </c>
      <c r="S741" s="1475">
        <f>N741*$H743</f>
        <v>12838.161564800002</v>
      </c>
      <c r="T741" s="1475">
        <f>O741*$H743</f>
        <v>14121.977721280002</v>
      </c>
      <c r="U741" s="1475">
        <f>P741*$H743</f>
        <v>15534.175493408007</v>
      </c>
      <c r="V741" s="1475">
        <f t="shared" si="408"/>
        <v>64775.421627488016</v>
      </c>
    </row>
    <row r="742" spans="1:22" s="39" customFormat="1" ht="24" customHeight="1">
      <c r="A742" s="1860">
        <v>2</v>
      </c>
      <c r="B742" s="1860"/>
      <c r="C742" s="1860"/>
      <c r="D742" s="1860"/>
      <c r="E742" s="1839"/>
      <c r="F742" s="1844"/>
      <c r="G742" s="1812"/>
      <c r="H742" s="1601"/>
      <c r="I742" s="1765"/>
      <c r="J742" s="40" t="s">
        <v>81</v>
      </c>
      <c r="K742" s="42"/>
      <c r="L742" s="41">
        <v>0</v>
      </c>
      <c r="M742" s="41">
        <v>0</v>
      </c>
      <c r="N742" s="41">
        <v>0</v>
      </c>
      <c r="O742" s="41">
        <v>0</v>
      </c>
      <c r="P742" s="41">
        <v>0</v>
      </c>
      <c r="Q742" s="1475">
        <f>L742*$H743</f>
        <v>0</v>
      </c>
      <c r="R742" s="1475">
        <f>M742*$H743</f>
        <v>0</v>
      </c>
      <c r="S742" s="1475">
        <f>N742*$H743</f>
        <v>0</v>
      </c>
      <c r="T742" s="1475">
        <f>O742*$H743</f>
        <v>0</v>
      </c>
      <c r="U742" s="1475">
        <f>P742*$H743</f>
        <v>0</v>
      </c>
      <c r="V742" s="1475">
        <f t="shared" si="408"/>
        <v>0</v>
      </c>
    </row>
    <row r="743" spans="1:22" s="39" customFormat="1" ht="24" customHeight="1">
      <c r="A743" s="1860">
        <v>2</v>
      </c>
      <c r="B743" s="1860"/>
      <c r="C743" s="1860"/>
      <c r="D743" s="1860"/>
      <c r="E743" s="1839"/>
      <c r="F743" s="1844"/>
      <c r="G743" s="1812"/>
      <c r="H743" s="1595">
        <v>11.86</v>
      </c>
      <c r="I743" s="1765"/>
      <c r="J743" s="40" t="s">
        <v>134</v>
      </c>
      <c r="K743" s="42"/>
      <c r="L743" s="41">
        <v>0</v>
      </c>
      <c r="M743" s="41">
        <v>0</v>
      </c>
      <c r="N743" s="41">
        <v>0</v>
      </c>
      <c r="O743" s="41">
        <v>0</v>
      </c>
      <c r="P743" s="41">
        <v>0</v>
      </c>
      <c r="Q743" s="1475">
        <f>L743*$H743</f>
        <v>0</v>
      </c>
      <c r="R743" s="1475">
        <f>M743*$H743</f>
        <v>0</v>
      </c>
      <c r="S743" s="1475">
        <f>N743*$H743</f>
        <v>0</v>
      </c>
      <c r="T743" s="1475">
        <f>O743*$H743</f>
        <v>0</v>
      </c>
      <c r="U743" s="1475">
        <f>P743*$H743</f>
        <v>0</v>
      </c>
      <c r="V743" s="1475">
        <f t="shared" si="408"/>
        <v>0</v>
      </c>
    </row>
    <row r="744" spans="1:22" s="39" customFormat="1" ht="24" customHeight="1">
      <c r="A744" s="1860">
        <v>2</v>
      </c>
      <c r="B744" s="1860"/>
      <c r="C744" s="1860"/>
      <c r="D744" s="1860"/>
      <c r="E744" s="1839"/>
      <c r="F744" s="1844"/>
      <c r="G744" s="1812"/>
      <c r="H744" s="1596">
        <f>810*0.05</f>
        <v>40.5</v>
      </c>
      <c r="I744" s="1765"/>
      <c r="J744" s="40" t="s">
        <v>82</v>
      </c>
      <c r="K744" s="42"/>
      <c r="L744" s="41">
        <v>0</v>
      </c>
      <c r="M744" s="41">
        <v>0</v>
      </c>
      <c r="N744" s="41">
        <v>0</v>
      </c>
      <c r="O744" s="41">
        <v>0</v>
      </c>
      <c r="P744" s="41">
        <v>0</v>
      </c>
      <c r="Q744" s="1475">
        <f>L744*$H743</f>
        <v>0</v>
      </c>
      <c r="R744" s="1475">
        <f>M744*$H743</f>
        <v>0</v>
      </c>
      <c r="S744" s="1475">
        <f>N744*$H743</f>
        <v>0</v>
      </c>
      <c r="T744" s="1475">
        <f>O744*$H743</f>
        <v>0</v>
      </c>
      <c r="U744" s="1475">
        <f>P744*$H743</f>
        <v>0</v>
      </c>
      <c r="V744" s="1475">
        <f t="shared" si="408"/>
        <v>0</v>
      </c>
    </row>
    <row r="745" spans="1:22" s="39" customFormat="1" ht="24" customHeight="1">
      <c r="A745" s="1860">
        <v>2</v>
      </c>
      <c r="B745" s="1860"/>
      <c r="C745" s="1860"/>
      <c r="D745" s="1860"/>
      <c r="E745" s="1839"/>
      <c r="F745" s="1844"/>
      <c r="G745" s="1812"/>
      <c r="H745" s="1596"/>
      <c r="I745" s="1765"/>
      <c r="J745" s="40" t="s">
        <v>90</v>
      </c>
      <c r="K745" s="42"/>
      <c r="L745" s="41">
        <v>0</v>
      </c>
      <c r="M745" s="41">
        <v>0</v>
      </c>
      <c r="N745" s="41">
        <v>0</v>
      </c>
      <c r="O745" s="41">
        <v>0</v>
      </c>
      <c r="P745" s="41">
        <v>0</v>
      </c>
      <c r="Q745" s="1475">
        <f>L745*$H743</f>
        <v>0</v>
      </c>
      <c r="R745" s="1475">
        <f>M745*$H743</f>
        <v>0</v>
      </c>
      <c r="S745" s="1475">
        <f>N745*$H743</f>
        <v>0</v>
      </c>
      <c r="T745" s="1475">
        <f>O745*$H743</f>
        <v>0</v>
      </c>
      <c r="U745" s="1475">
        <f>P745*$H743</f>
        <v>0</v>
      </c>
      <c r="V745" s="1475">
        <f t="shared" si="408"/>
        <v>0</v>
      </c>
    </row>
    <row r="746" spans="1:22" s="39" customFormat="1" ht="24" customHeight="1">
      <c r="A746" s="1860">
        <v>2</v>
      </c>
      <c r="B746" s="1860"/>
      <c r="C746" s="1860"/>
      <c r="D746" s="1860"/>
      <c r="E746" s="1839"/>
      <c r="F746" s="1844"/>
      <c r="G746" s="1812"/>
      <c r="H746" s="1596"/>
      <c r="I746" s="1765"/>
      <c r="J746" s="40" t="s">
        <v>83</v>
      </c>
      <c r="K746" s="42"/>
      <c r="L746" s="41">
        <v>0</v>
      </c>
      <c r="M746" s="41">
        <v>0</v>
      </c>
      <c r="N746" s="41">
        <v>0</v>
      </c>
      <c r="O746" s="41">
        <v>0</v>
      </c>
      <c r="P746" s="41">
        <v>0</v>
      </c>
      <c r="Q746" s="1475">
        <f>L746*$H743</f>
        <v>0</v>
      </c>
      <c r="R746" s="1475">
        <f>M746*$H743</f>
        <v>0</v>
      </c>
      <c r="S746" s="1475">
        <f>N746*$H743</f>
        <v>0</v>
      </c>
      <c r="T746" s="1475">
        <f>O746*$H743</f>
        <v>0</v>
      </c>
      <c r="U746" s="1475">
        <f>P746*$H743</f>
        <v>0</v>
      </c>
      <c r="V746" s="1475">
        <f t="shared" si="408"/>
        <v>0</v>
      </c>
    </row>
    <row r="747" spans="1:22" s="39" customFormat="1" ht="24" customHeight="1" thickBot="1">
      <c r="A747" s="1860">
        <v>2</v>
      </c>
      <c r="B747" s="1860"/>
      <c r="C747" s="1860"/>
      <c r="D747" s="1860"/>
      <c r="E747" s="1839"/>
      <c r="F747" s="1845"/>
      <c r="G747" s="1813"/>
      <c r="H747" s="1597"/>
      <c r="I747" s="1766"/>
      <c r="J747" s="80" t="s">
        <v>84</v>
      </c>
      <c r="K747" s="81"/>
      <c r="L747" s="814">
        <f>L738-L739</f>
        <v>0</v>
      </c>
      <c r="M747" s="814">
        <f t="shared" ref="M747:P747" si="411">M738-M739</f>
        <v>0</v>
      </c>
      <c r="N747" s="814">
        <f t="shared" si="411"/>
        <v>0</v>
      </c>
      <c r="O747" s="814">
        <f t="shared" si="411"/>
        <v>0</v>
      </c>
      <c r="P747" s="814">
        <f t="shared" si="411"/>
        <v>0</v>
      </c>
      <c r="Q747" s="1487">
        <f t="shared" ref="Q747:U747" si="412">Q738-Q739</f>
        <v>0</v>
      </c>
      <c r="R747" s="1487">
        <f t="shared" si="412"/>
        <v>0</v>
      </c>
      <c r="S747" s="1487">
        <f t="shared" si="412"/>
        <v>0</v>
      </c>
      <c r="T747" s="1487">
        <f t="shared" si="412"/>
        <v>0</v>
      </c>
      <c r="U747" s="1487">
        <f t="shared" si="412"/>
        <v>0</v>
      </c>
      <c r="V747" s="1487">
        <f t="shared" si="408"/>
        <v>0</v>
      </c>
    </row>
    <row r="748" spans="1:22" s="64" customFormat="1" ht="24" customHeight="1">
      <c r="A748" s="1860">
        <v>2</v>
      </c>
      <c r="B748" s="1860">
        <v>2</v>
      </c>
      <c r="C748" s="1860">
        <v>1</v>
      </c>
      <c r="D748" s="1860">
        <v>9</v>
      </c>
      <c r="E748" s="1839"/>
      <c r="F748" s="1846" t="str">
        <f>CONCATENATE(A748,".",B748,".",C748,".",D748,)</f>
        <v>2.2.1.9</v>
      </c>
      <c r="G748" s="1811" t="s">
        <v>1020</v>
      </c>
      <c r="H748" s="1679" t="s">
        <v>1022</v>
      </c>
      <c r="I748" s="1764" t="s">
        <v>1017</v>
      </c>
      <c r="J748" s="262" t="s">
        <v>79</v>
      </c>
      <c r="K748" s="912"/>
      <c r="L748" s="891">
        <f>'Budget Assumption_Lab Comp2'!K285+'Budget Assumption_Lab Comp2'!K294</f>
        <v>25263.062000000002</v>
      </c>
      <c r="M748" s="891">
        <f>'Budget Assumption_Lab Comp2'!L285+'Budget Assumption_Lab Comp2'!L294</f>
        <v>27789.368200000004</v>
      </c>
      <c r="N748" s="891">
        <f>'Budget Assumption_Lab Comp2'!M285+'Budget Assumption_Lab Comp2'!M294</f>
        <v>30568.305020000003</v>
      </c>
      <c r="O748" s="891">
        <f>'Budget Assumption_Lab Comp2'!N285+'Budget Assumption_Lab Comp2'!N294</f>
        <v>33625.135522000004</v>
      </c>
      <c r="P748" s="891">
        <f>'Budget Assumption_Lab Comp2'!O285+'Budget Assumption_Lab Comp2'!O294</f>
        <v>36987.64907420001</v>
      </c>
      <c r="Q748" s="1484">
        <f>L748*H753</f>
        <v>963605.36485714302</v>
      </c>
      <c r="R748" s="1484">
        <f>M748*H753</f>
        <v>1059965.9013428574</v>
      </c>
      <c r="S748" s="1484">
        <f>N748*H753</f>
        <v>1165962.491477143</v>
      </c>
      <c r="T748" s="1484">
        <f>O748*H753</f>
        <v>1282558.7406248574</v>
      </c>
      <c r="U748" s="1484">
        <f>P748*H753</f>
        <v>1410814.6146873434</v>
      </c>
      <c r="V748" s="1484">
        <f t="shared" ref="V748:V757" si="413">SUM(Q748:U748)</f>
        <v>5882907.1129893437</v>
      </c>
    </row>
    <row r="749" spans="1:22" s="39" customFormat="1" ht="24" customHeight="1">
      <c r="A749" s="1860">
        <v>2</v>
      </c>
      <c r="B749" s="1860"/>
      <c r="C749" s="1860"/>
      <c r="D749" s="1860"/>
      <c r="E749" s="1839"/>
      <c r="F749" s="1844"/>
      <c r="G749" s="1812"/>
      <c r="H749" s="1601"/>
      <c r="I749" s="1765"/>
      <c r="J749" s="40" t="s">
        <v>80</v>
      </c>
      <c r="K749" s="91"/>
      <c r="L749" s="41">
        <f t="shared" ref="L749:U749" si="414">SUM(L750:L756)</f>
        <v>25263.062000000002</v>
      </c>
      <c r="M749" s="41">
        <f t="shared" si="414"/>
        <v>27789.368200000004</v>
      </c>
      <c r="N749" s="41">
        <f t="shared" si="414"/>
        <v>30568.305020000003</v>
      </c>
      <c r="O749" s="41">
        <f t="shared" si="414"/>
        <v>33625.135522000004</v>
      </c>
      <c r="P749" s="41">
        <f t="shared" si="414"/>
        <v>36987.64907420001</v>
      </c>
      <c r="Q749" s="1475">
        <f t="shared" si="414"/>
        <v>963605.36485714291</v>
      </c>
      <c r="R749" s="1475">
        <f t="shared" si="414"/>
        <v>1059965.9013428574</v>
      </c>
      <c r="S749" s="1475">
        <f t="shared" si="414"/>
        <v>1165962.4914771433</v>
      </c>
      <c r="T749" s="1475">
        <f t="shared" si="414"/>
        <v>1282558.7406248574</v>
      </c>
      <c r="U749" s="1475">
        <f t="shared" si="414"/>
        <v>1410814.6146873434</v>
      </c>
      <c r="V749" s="1475">
        <f t="shared" si="413"/>
        <v>5882907.1129893437</v>
      </c>
    </row>
    <row r="750" spans="1:22" s="39" customFormat="1" ht="24" customHeight="1">
      <c r="A750" s="1860">
        <v>2</v>
      </c>
      <c r="B750" s="1860"/>
      <c r="C750" s="1860"/>
      <c r="D750" s="1860"/>
      <c r="E750" s="1839"/>
      <c r="F750" s="1844"/>
      <c r="G750" s="1812"/>
      <c r="H750" s="1601"/>
      <c r="I750" s="1765"/>
      <c r="J750" s="40" t="s">
        <v>429</v>
      </c>
      <c r="K750" s="42"/>
      <c r="L750" s="891">
        <f>'Budget Assumption_Lab Comp2'!K285</f>
        <v>24368.454000000002</v>
      </c>
      <c r="M750" s="891">
        <f>'Budget Assumption_Lab Comp2'!L285</f>
        <v>26805.299400000004</v>
      </c>
      <c r="N750" s="891">
        <f>'Budget Assumption_Lab Comp2'!M285</f>
        <v>29485.829340000004</v>
      </c>
      <c r="O750" s="891">
        <f>'Budget Assumption_Lab Comp2'!N285</f>
        <v>32434.412274000002</v>
      </c>
      <c r="P750" s="891">
        <f>'Budget Assumption_Lab Comp2'!O285</f>
        <v>35677.853501400008</v>
      </c>
      <c r="Q750" s="1475">
        <f>L750*$H753</f>
        <v>929482.4597142858</v>
      </c>
      <c r="R750" s="1475">
        <f>M750*$H753</f>
        <v>1022430.7056857145</v>
      </c>
      <c r="S750" s="1475">
        <f>N750*$H753</f>
        <v>1124673.7762542861</v>
      </c>
      <c r="T750" s="1475">
        <f>O750*$H753</f>
        <v>1237141.1538797144</v>
      </c>
      <c r="U750" s="1475">
        <f>P750*$H753</f>
        <v>1360855.2692676862</v>
      </c>
      <c r="V750" s="1475">
        <f t="shared" si="413"/>
        <v>5674583.3648016863</v>
      </c>
    </row>
    <row r="751" spans="1:22" s="39" customFormat="1" ht="24" customHeight="1">
      <c r="A751" s="1860">
        <v>2</v>
      </c>
      <c r="B751" s="1860"/>
      <c r="C751" s="1860"/>
      <c r="D751" s="1860"/>
      <c r="E751" s="1839"/>
      <c r="F751" s="1844"/>
      <c r="G751" s="1812"/>
      <c r="H751" s="1601"/>
      <c r="I751" s="1765"/>
      <c r="J751" s="40" t="s">
        <v>133</v>
      </c>
      <c r="K751" s="42"/>
      <c r="L751" s="41">
        <f>'Budget Assumption_Lab Comp2'!K294</f>
        <v>894.60799999999995</v>
      </c>
      <c r="M751" s="41">
        <f>'Budget Assumption_Lab Comp2'!L294</f>
        <v>984.06880000000012</v>
      </c>
      <c r="N751" s="41">
        <f>'Budget Assumption_Lab Comp2'!M294</f>
        <v>1082.4756800000002</v>
      </c>
      <c r="O751" s="41">
        <f>'Budget Assumption_Lab Comp2'!N294</f>
        <v>1190.7232480000002</v>
      </c>
      <c r="P751" s="41">
        <f>'Budget Assumption_Lab Comp2'!O294</f>
        <v>1309.7955728000006</v>
      </c>
      <c r="Q751" s="1475">
        <f>L751*$H753</f>
        <v>34122.90514285714</v>
      </c>
      <c r="R751" s="1475">
        <f>M751*$H753</f>
        <v>37535.195657142867</v>
      </c>
      <c r="S751" s="1475">
        <f>N751*$H753</f>
        <v>41288.715222857158</v>
      </c>
      <c r="T751" s="1475">
        <f>O751*$H753</f>
        <v>45417.586745142871</v>
      </c>
      <c r="U751" s="1475">
        <f>P751*$H753</f>
        <v>49959.345419657169</v>
      </c>
      <c r="V751" s="1475">
        <f t="shared" si="413"/>
        <v>208323.74818765721</v>
      </c>
    </row>
    <row r="752" spans="1:22" s="39" customFormat="1" ht="24" customHeight="1">
      <c r="A752" s="1860">
        <v>2</v>
      </c>
      <c r="B752" s="1860"/>
      <c r="C752" s="1860"/>
      <c r="D752" s="1860"/>
      <c r="E752" s="1839"/>
      <c r="F752" s="1844"/>
      <c r="G752" s="1812"/>
      <c r="H752" s="1601"/>
      <c r="I752" s="1765"/>
      <c r="J752" s="40" t="s">
        <v>81</v>
      </c>
      <c r="K752" s="42"/>
      <c r="L752" s="41">
        <v>0</v>
      </c>
      <c r="M752" s="41">
        <v>0</v>
      </c>
      <c r="N752" s="41">
        <v>0</v>
      </c>
      <c r="O752" s="41">
        <v>0</v>
      </c>
      <c r="P752" s="41">
        <v>0</v>
      </c>
      <c r="Q752" s="1475">
        <f>L752*$H753</f>
        <v>0</v>
      </c>
      <c r="R752" s="1475">
        <f>M752*$H753</f>
        <v>0</v>
      </c>
      <c r="S752" s="1475">
        <f>N752*$H753</f>
        <v>0</v>
      </c>
      <c r="T752" s="1475">
        <f>O752*$H753</f>
        <v>0</v>
      </c>
      <c r="U752" s="1475">
        <f>P752*$H753</f>
        <v>0</v>
      </c>
      <c r="V752" s="1475">
        <f t="shared" si="413"/>
        <v>0</v>
      </c>
    </row>
    <row r="753" spans="1:22" s="39" customFormat="1" ht="24" customHeight="1">
      <c r="A753" s="1860">
        <v>2</v>
      </c>
      <c r="B753" s="1860"/>
      <c r="C753" s="1860"/>
      <c r="D753" s="1860"/>
      <c r="E753" s="1839"/>
      <c r="F753" s="1844"/>
      <c r="G753" s="1812"/>
      <c r="H753" s="1595">
        <f>'Budget Assumption_Lab Comp2'!R285</f>
        <v>38.142857142857146</v>
      </c>
      <c r="I753" s="1765"/>
      <c r="J753" s="40" t="s">
        <v>134</v>
      </c>
      <c r="K753" s="42"/>
      <c r="L753" s="41">
        <v>0</v>
      </c>
      <c r="M753" s="41">
        <v>0</v>
      </c>
      <c r="N753" s="41">
        <v>0</v>
      </c>
      <c r="O753" s="41">
        <v>0</v>
      </c>
      <c r="P753" s="41">
        <v>0</v>
      </c>
      <c r="Q753" s="1517">
        <f>L753*$H753</f>
        <v>0</v>
      </c>
      <c r="R753" s="1517">
        <f>M753*$H753</f>
        <v>0</v>
      </c>
      <c r="S753" s="1517">
        <f>N753*$H753</f>
        <v>0</v>
      </c>
      <c r="T753" s="1517">
        <f>O753*$H753</f>
        <v>0</v>
      </c>
      <c r="U753" s="1517">
        <f>P753*$H753</f>
        <v>0</v>
      </c>
      <c r="V753" s="1517">
        <f t="shared" si="413"/>
        <v>0</v>
      </c>
    </row>
    <row r="754" spans="1:22" s="39" customFormat="1" ht="24" customHeight="1">
      <c r="A754" s="1860">
        <v>2</v>
      </c>
      <c r="B754" s="1860"/>
      <c r="C754" s="1860"/>
      <c r="D754" s="1860"/>
      <c r="E754" s="1839"/>
      <c r="F754" s="1844"/>
      <c r="G754" s="1812"/>
      <c r="H754" s="1596">
        <f>810*0.05</f>
        <v>40.5</v>
      </c>
      <c r="I754" s="1765"/>
      <c r="J754" s="40" t="s">
        <v>82</v>
      </c>
      <c r="K754" s="42"/>
      <c r="L754" s="41">
        <v>0</v>
      </c>
      <c r="M754" s="41">
        <v>0</v>
      </c>
      <c r="N754" s="41">
        <v>0</v>
      </c>
      <c r="O754" s="41">
        <v>0</v>
      </c>
      <c r="P754" s="41">
        <v>0</v>
      </c>
      <c r="Q754" s="1517">
        <f>L754*$H753</f>
        <v>0</v>
      </c>
      <c r="R754" s="1517">
        <f>M754*$H753</f>
        <v>0</v>
      </c>
      <c r="S754" s="1517">
        <f>N754*$H753</f>
        <v>0</v>
      </c>
      <c r="T754" s="1517">
        <f>O754*$H753</f>
        <v>0</v>
      </c>
      <c r="U754" s="1517">
        <f>P754*$H753</f>
        <v>0</v>
      </c>
      <c r="V754" s="1517">
        <f t="shared" si="413"/>
        <v>0</v>
      </c>
    </row>
    <row r="755" spans="1:22" s="39" customFormat="1" ht="24" customHeight="1">
      <c r="A755" s="1860">
        <v>2</v>
      </c>
      <c r="B755" s="1860"/>
      <c r="C755" s="1860"/>
      <c r="D755" s="1860"/>
      <c r="E755" s="1839"/>
      <c r="F755" s="1844"/>
      <c r="G755" s="1812"/>
      <c r="H755" s="1596"/>
      <c r="I755" s="1765"/>
      <c r="J755" s="40" t="s">
        <v>90</v>
      </c>
      <c r="K755" s="42"/>
      <c r="L755" s="41">
        <v>0</v>
      </c>
      <c r="M755" s="41">
        <v>0</v>
      </c>
      <c r="N755" s="41">
        <v>0</v>
      </c>
      <c r="O755" s="41">
        <v>0</v>
      </c>
      <c r="P755" s="41">
        <v>0</v>
      </c>
      <c r="Q755" s="1517">
        <f>L755*$H753</f>
        <v>0</v>
      </c>
      <c r="R755" s="1517">
        <f>M755*$H753</f>
        <v>0</v>
      </c>
      <c r="S755" s="1517">
        <f>N755*$H753</f>
        <v>0</v>
      </c>
      <c r="T755" s="1517">
        <f>O755*$H753</f>
        <v>0</v>
      </c>
      <c r="U755" s="1517">
        <f>P755*$H753</f>
        <v>0</v>
      </c>
      <c r="V755" s="1517">
        <f t="shared" si="413"/>
        <v>0</v>
      </c>
    </row>
    <row r="756" spans="1:22" s="39" customFormat="1" ht="24" customHeight="1">
      <c r="A756" s="1860">
        <v>2</v>
      </c>
      <c r="B756" s="1860"/>
      <c r="C756" s="1860"/>
      <c r="D756" s="1860"/>
      <c r="E756" s="1839"/>
      <c r="F756" s="1844"/>
      <c r="G756" s="1812"/>
      <c r="H756" s="1596"/>
      <c r="I756" s="1765"/>
      <c r="J756" s="40" t="s">
        <v>83</v>
      </c>
      <c r="K756" s="42"/>
      <c r="L756" s="41">
        <v>0</v>
      </c>
      <c r="M756" s="41">
        <v>0</v>
      </c>
      <c r="N756" s="41">
        <v>0</v>
      </c>
      <c r="O756" s="41">
        <v>0</v>
      </c>
      <c r="P756" s="41">
        <v>0</v>
      </c>
      <c r="Q756" s="1517">
        <f>L756*$H753</f>
        <v>0</v>
      </c>
      <c r="R756" s="1517">
        <f>M756*$H753</f>
        <v>0</v>
      </c>
      <c r="S756" s="1517">
        <f>N756*$H753</f>
        <v>0</v>
      </c>
      <c r="T756" s="1517">
        <f>O756*$H753</f>
        <v>0</v>
      </c>
      <c r="U756" s="1517">
        <f>P756*$H753</f>
        <v>0</v>
      </c>
      <c r="V756" s="1517">
        <f t="shared" si="413"/>
        <v>0</v>
      </c>
    </row>
    <row r="757" spans="1:22" s="39" customFormat="1" ht="24" customHeight="1" thickBot="1">
      <c r="A757" s="1860">
        <v>2</v>
      </c>
      <c r="B757" s="1860"/>
      <c r="C757" s="1860"/>
      <c r="D757" s="1860"/>
      <c r="E757" s="1839"/>
      <c r="F757" s="1845"/>
      <c r="G757" s="1813"/>
      <c r="H757" s="1597"/>
      <c r="I757" s="1766"/>
      <c r="J757" s="80" t="s">
        <v>84</v>
      </c>
      <c r="K757" s="81"/>
      <c r="L757" s="814">
        <f>L748-L749</f>
        <v>0</v>
      </c>
      <c r="M757" s="814">
        <f t="shared" ref="M757:U757" si="415">M748-M749</f>
        <v>0</v>
      </c>
      <c r="N757" s="814">
        <f t="shared" si="415"/>
        <v>0</v>
      </c>
      <c r="O757" s="814">
        <f t="shared" si="415"/>
        <v>0</v>
      </c>
      <c r="P757" s="814">
        <f t="shared" si="415"/>
        <v>0</v>
      </c>
      <c r="Q757" s="1518">
        <f t="shared" si="415"/>
        <v>0</v>
      </c>
      <c r="R757" s="1518">
        <f t="shared" si="415"/>
        <v>0</v>
      </c>
      <c r="S757" s="1518">
        <f t="shared" si="415"/>
        <v>0</v>
      </c>
      <c r="T757" s="1518">
        <f t="shared" si="415"/>
        <v>0</v>
      </c>
      <c r="U757" s="1518">
        <f t="shared" si="415"/>
        <v>0</v>
      </c>
      <c r="V757" s="1518">
        <f t="shared" si="413"/>
        <v>0</v>
      </c>
    </row>
    <row r="758" spans="1:22" s="67" customFormat="1" ht="46.35" customHeight="1">
      <c r="A758" s="75">
        <v>2</v>
      </c>
      <c r="B758" s="75">
        <v>2</v>
      </c>
      <c r="C758" s="75">
        <v>2</v>
      </c>
      <c r="D758" s="75"/>
      <c r="E758" s="74"/>
      <c r="F758" s="66" t="str">
        <f>CONCATENATE(A758,".",B758,".",C758,)</f>
        <v>2.2.2</v>
      </c>
      <c r="G758" s="1567" t="s">
        <v>322</v>
      </c>
      <c r="H758" s="1568"/>
      <c r="I758" s="1568"/>
      <c r="J758" s="1569"/>
      <c r="K758" s="66"/>
      <c r="L758" s="382"/>
      <c r="M758" s="382"/>
      <c r="N758" s="382"/>
      <c r="O758" s="382"/>
      <c r="P758" s="382"/>
      <c r="Q758" s="1519">
        <f>Q760+Q770+Q780+Q790+Q800+Q810</f>
        <v>0</v>
      </c>
      <c r="R758" s="1519">
        <f t="shared" ref="R758:V758" si="416">R760+R770+R780+R790+R800+R810</f>
        <v>0</v>
      </c>
      <c r="S758" s="1519">
        <f t="shared" si="416"/>
        <v>0</v>
      </c>
      <c r="T758" s="1519">
        <f>T760+T770+T780+T790+T800+T810</f>
        <v>0</v>
      </c>
      <c r="U758" s="1519">
        <f t="shared" si="416"/>
        <v>0</v>
      </c>
      <c r="V758" s="1519">
        <f t="shared" si="416"/>
        <v>0</v>
      </c>
    </row>
    <row r="759" spans="1:22" s="64" customFormat="1" ht="24" customHeight="1">
      <c r="A759" s="1860">
        <v>2</v>
      </c>
      <c r="B759" s="1860">
        <v>2</v>
      </c>
      <c r="C759" s="1860">
        <v>2</v>
      </c>
      <c r="D759" s="1860">
        <v>1</v>
      </c>
      <c r="E759" s="1839" t="s">
        <v>136</v>
      </c>
      <c r="F759" s="1841" t="str">
        <f>CONCATENATE(A759,".",B759,".",C759,".",D759,)</f>
        <v>2.2.2.1</v>
      </c>
      <c r="G759" s="1856" t="s">
        <v>1068</v>
      </c>
      <c r="H759" s="1601" t="s">
        <v>146</v>
      </c>
      <c r="I759" s="1764" t="s">
        <v>1023</v>
      </c>
      <c r="J759" s="36" t="s">
        <v>79</v>
      </c>
      <c r="K759" s="896"/>
      <c r="L759" s="896">
        <f>'Budget Assumption_Lab Comp2'!K317</f>
        <v>1770</v>
      </c>
      <c r="M759" s="896">
        <f>'Budget Assumption_Lab Comp2'!L317</f>
        <v>2210</v>
      </c>
      <c r="N759" s="896">
        <f>'Budget Assumption_Lab Comp2'!M317</f>
        <v>2210</v>
      </c>
      <c r="O759" s="896">
        <f>'Budget Assumption_Lab Comp2'!N317</f>
        <v>5400</v>
      </c>
      <c r="P759" s="896">
        <f>'Budget Assumption_Lab Comp2'!O317</f>
        <v>5400</v>
      </c>
      <c r="Q759" s="1517">
        <f>L759*H764</f>
        <v>336300</v>
      </c>
      <c r="R759" s="1517">
        <f>M759*H764</f>
        <v>419900</v>
      </c>
      <c r="S759" s="1517">
        <f>N759*H764</f>
        <v>419900</v>
      </c>
      <c r="T759" s="1517">
        <f>O759*H764</f>
        <v>1026000</v>
      </c>
      <c r="U759" s="1517">
        <f>P759*H764</f>
        <v>1026000</v>
      </c>
      <c r="V759" s="1517">
        <f t="shared" ref="V759:V798" si="417">SUM(Q759:U759)</f>
        <v>3228100</v>
      </c>
    </row>
    <row r="760" spans="1:22" s="39" customFormat="1" ht="24" customHeight="1">
      <c r="A760" s="1860">
        <v>2</v>
      </c>
      <c r="B760" s="1860"/>
      <c r="C760" s="1860"/>
      <c r="D760" s="1860"/>
      <c r="E760" s="1839"/>
      <c r="F760" s="1841"/>
      <c r="G760" s="1848"/>
      <c r="H760" s="1601"/>
      <c r="I760" s="1765"/>
      <c r="J760" s="40" t="s">
        <v>80</v>
      </c>
      <c r="K760" s="91"/>
      <c r="L760" s="41">
        <f t="shared" ref="L760:U760" si="418">SUM(L761:L767)</f>
        <v>0</v>
      </c>
      <c r="M760" s="41">
        <f t="shared" si="418"/>
        <v>0</v>
      </c>
      <c r="N760" s="41">
        <f t="shared" si="418"/>
        <v>0</v>
      </c>
      <c r="O760" s="41">
        <f>SUM(O761:O767)</f>
        <v>0</v>
      </c>
      <c r="P760" s="41">
        <f t="shared" si="418"/>
        <v>0</v>
      </c>
      <c r="Q760" s="1517">
        <f t="shared" si="418"/>
        <v>0</v>
      </c>
      <c r="R760" s="1517">
        <f t="shared" si="418"/>
        <v>0</v>
      </c>
      <c r="S760" s="1517">
        <f t="shared" si="418"/>
        <v>0</v>
      </c>
      <c r="T760" s="1517">
        <f t="shared" si="418"/>
        <v>0</v>
      </c>
      <c r="U760" s="1517">
        <f t="shared" si="418"/>
        <v>0</v>
      </c>
      <c r="V760" s="1517">
        <f t="shared" si="417"/>
        <v>0</v>
      </c>
    </row>
    <row r="761" spans="1:22" s="39" customFormat="1" ht="24" customHeight="1">
      <c r="A761" s="1860">
        <v>2</v>
      </c>
      <c r="B761" s="1860"/>
      <c r="C761" s="1860"/>
      <c r="D761" s="1860"/>
      <c r="E761" s="1839"/>
      <c r="F761" s="1841"/>
      <c r="G761" s="1848"/>
      <c r="H761" s="1601"/>
      <c r="I761" s="1765"/>
      <c r="J761" s="40" t="s">
        <v>429</v>
      </c>
      <c r="K761" s="42"/>
      <c r="L761" s="41">
        <v>0</v>
      </c>
      <c r="M761" s="41">
        <v>0</v>
      </c>
      <c r="N761" s="41">
        <v>0</v>
      </c>
      <c r="O761" s="41">
        <v>0</v>
      </c>
      <c r="P761" s="41">
        <v>0</v>
      </c>
      <c r="Q761" s="1517">
        <f>L761*$H764</f>
        <v>0</v>
      </c>
      <c r="R761" s="1517">
        <f>M761*$H764</f>
        <v>0</v>
      </c>
      <c r="S761" s="1517">
        <f>N761*$H764</f>
        <v>0</v>
      </c>
      <c r="T761" s="1517">
        <f>O761*$H764</f>
        <v>0</v>
      </c>
      <c r="U761" s="1517">
        <f>P761*$H764</f>
        <v>0</v>
      </c>
      <c r="V761" s="1517">
        <f t="shared" si="417"/>
        <v>0</v>
      </c>
    </row>
    <row r="762" spans="1:22" s="39" customFormat="1" ht="24" customHeight="1">
      <c r="A762" s="1860">
        <v>2</v>
      </c>
      <c r="B762" s="1860"/>
      <c r="C762" s="1860"/>
      <c r="D762" s="1860"/>
      <c r="E762" s="1839"/>
      <c r="F762" s="1841"/>
      <c r="G762" s="1848"/>
      <c r="H762" s="1601"/>
      <c r="I762" s="1765"/>
      <c r="J762" s="40" t="s">
        <v>133</v>
      </c>
      <c r="K762" s="42"/>
      <c r="L762" s="41">
        <v>0</v>
      </c>
      <c r="M762" s="41">
        <v>0</v>
      </c>
      <c r="N762" s="41">
        <v>0</v>
      </c>
      <c r="O762" s="41">
        <v>0</v>
      </c>
      <c r="P762" s="41">
        <v>0</v>
      </c>
      <c r="Q762" s="1517">
        <f>L762*$H764</f>
        <v>0</v>
      </c>
      <c r="R762" s="1517">
        <f>M762*$H764</f>
        <v>0</v>
      </c>
      <c r="S762" s="1517">
        <f>N762*$H764</f>
        <v>0</v>
      </c>
      <c r="T762" s="1517">
        <f>O762*$H764</f>
        <v>0</v>
      </c>
      <c r="U762" s="1517">
        <f>P762*$H764</f>
        <v>0</v>
      </c>
      <c r="V762" s="1517">
        <f t="shared" si="417"/>
        <v>0</v>
      </c>
    </row>
    <row r="763" spans="1:22" s="39" customFormat="1" ht="24" customHeight="1">
      <c r="A763" s="1860">
        <v>2</v>
      </c>
      <c r="B763" s="1860"/>
      <c r="C763" s="1860"/>
      <c r="D763" s="1860"/>
      <c r="E763" s="1839"/>
      <c r="F763" s="1841"/>
      <c r="G763" s="1848"/>
      <c r="H763" s="1601"/>
      <c r="I763" s="1765"/>
      <c r="J763" s="40" t="s">
        <v>81</v>
      </c>
      <c r="K763" s="42"/>
      <c r="L763" s="41">
        <v>0</v>
      </c>
      <c r="M763" s="41">
        <v>0</v>
      </c>
      <c r="N763" s="41">
        <v>0</v>
      </c>
      <c r="O763" s="41">
        <v>0</v>
      </c>
      <c r="P763" s="41">
        <v>0</v>
      </c>
      <c r="Q763" s="1517">
        <f>L763*$H764</f>
        <v>0</v>
      </c>
      <c r="R763" s="1517">
        <f>M763*$H764</f>
        <v>0</v>
      </c>
      <c r="S763" s="1517">
        <f>N763*$H764</f>
        <v>0</v>
      </c>
      <c r="T763" s="1517">
        <f>O763*$H764</f>
        <v>0</v>
      </c>
      <c r="U763" s="1517">
        <f>P763*$H764</f>
        <v>0</v>
      </c>
      <c r="V763" s="1517">
        <f t="shared" si="417"/>
        <v>0</v>
      </c>
    </row>
    <row r="764" spans="1:22" s="39" customFormat="1" ht="24" customHeight="1">
      <c r="A764" s="1860">
        <v>2</v>
      </c>
      <c r="B764" s="1860"/>
      <c r="C764" s="1860"/>
      <c r="D764" s="1860"/>
      <c r="E764" s="1839"/>
      <c r="F764" s="1841"/>
      <c r="G764" s="1848"/>
      <c r="H764" s="1595">
        <f>'Budget Assumption_Lab Comp2'!Q317</f>
        <v>190</v>
      </c>
      <c r="I764" s="1765"/>
      <c r="J764" s="40" t="s">
        <v>134</v>
      </c>
      <c r="K764" s="42"/>
      <c r="L764" s="41">
        <f>L735*30%</f>
        <v>0</v>
      </c>
      <c r="M764" s="41">
        <f>M735*30%</f>
        <v>0</v>
      </c>
      <c r="N764" s="41">
        <f>N735*30%</f>
        <v>0</v>
      </c>
      <c r="O764" s="41">
        <f>O735*30%</f>
        <v>0</v>
      </c>
      <c r="P764" s="41">
        <f>P735*30%</f>
        <v>0</v>
      </c>
      <c r="Q764" s="1517">
        <f>L764*$H764</f>
        <v>0</v>
      </c>
      <c r="R764" s="1517">
        <f>M764*$H764</f>
        <v>0</v>
      </c>
      <c r="S764" s="1517">
        <f>N764*$H764</f>
        <v>0</v>
      </c>
      <c r="T764" s="1517">
        <f>O764*$H764</f>
        <v>0</v>
      </c>
      <c r="U764" s="1517">
        <f>P764*$H764</f>
        <v>0</v>
      </c>
      <c r="V764" s="1517">
        <f t="shared" si="417"/>
        <v>0</v>
      </c>
    </row>
    <row r="765" spans="1:22" s="39" customFormat="1" ht="24" customHeight="1">
      <c r="A765" s="1860">
        <v>2</v>
      </c>
      <c r="B765" s="1860"/>
      <c r="C765" s="1860"/>
      <c r="D765" s="1860"/>
      <c r="E765" s="1839"/>
      <c r="F765" s="1841"/>
      <c r="G765" s="1848"/>
      <c r="H765" s="1596"/>
      <c r="I765" s="1765"/>
      <c r="J765" s="40" t="s">
        <v>82</v>
      </c>
      <c r="K765" s="42"/>
      <c r="L765" s="41">
        <v>0</v>
      </c>
      <c r="M765" s="41">
        <v>0</v>
      </c>
      <c r="N765" s="41">
        <v>0</v>
      </c>
      <c r="O765" s="41">
        <v>0</v>
      </c>
      <c r="P765" s="41">
        <v>0</v>
      </c>
      <c r="Q765" s="1517">
        <f>L765*$H764</f>
        <v>0</v>
      </c>
      <c r="R765" s="1517">
        <f>M765*$H764</f>
        <v>0</v>
      </c>
      <c r="S765" s="1517">
        <f>N765*$H764</f>
        <v>0</v>
      </c>
      <c r="T765" s="1517">
        <f>O765*$H764</f>
        <v>0</v>
      </c>
      <c r="U765" s="1517">
        <f>P765*$H764</f>
        <v>0</v>
      </c>
      <c r="V765" s="1517">
        <f t="shared" si="417"/>
        <v>0</v>
      </c>
    </row>
    <row r="766" spans="1:22" s="39" customFormat="1" ht="24" customHeight="1">
      <c r="A766" s="1860">
        <v>2</v>
      </c>
      <c r="B766" s="1860"/>
      <c r="C766" s="1860"/>
      <c r="D766" s="1860"/>
      <c r="E766" s="1839"/>
      <c r="F766" s="1841"/>
      <c r="G766" s="1848"/>
      <c r="H766" s="1596"/>
      <c r="I766" s="1765"/>
      <c r="J766" s="40" t="s">
        <v>90</v>
      </c>
      <c r="K766" s="42"/>
      <c r="L766" s="41">
        <v>0</v>
      </c>
      <c r="M766" s="41">
        <v>0</v>
      </c>
      <c r="N766" s="41">
        <v>0</v>
      </c>
      <c r="O766" s="41">
        <v>0</v>
      </c>
      <c r="P766" s="41">
        <v>0</v>
      </c>
      <c r="Q766" s="1517">
        <f>L766*$H764</f>
        <v>0</v>
      </c>
      <c r="R766" s="1517">
        <f>M766*$H764</f>
        <v>0</v>
      </c>
      <c r="S766" s="1517">
        <f>N766*$H764</f>
        <v>0</v>
      </c>
      <c r="T766" s="1517">
        <f>O766*$H764</f>
        <v>0</v>
      </c>
      <c r="U766" s="1517">
        <f>P766*$H764</f>
        <v>0</v>
      </c>
      <c r="V766" s="1517">
        <f t="shared" si="417"/>
        <v>0</v>
      </c>
    </row>
    <row r="767" spans="1:22" s="39" customFormat="1" ht="24" customHeight="1">
      <c r="A767" s="1860">
        <v>2</v>
      </c>
      <c r="B767" s="1860"/>
      <c r="C767" s="1860"/>
      <c r="D767" s="1860"/>
      <c r="E767" s="1839"/>
      <c r="F767" s="1841"/>
      <c r="G767" s="1848"/>
      <c r="H767" s="1596"/>
      <c r="I767" s="1765"/>
      <c r="J767" s="40" t="s">
        <v>83</v>
      </c>
      <c r="K767" s="42"/>
      <c r="L767" s="41">
        <v>0</v>
      </c>
      <c r="M767" s="41">
        <v>0</v>
      </c>
      <c r="N767" s="41">
        <v>0</v>
      </c>
      <c r="O767" s="41">
        <v>0</v>
      </c>
      <c r="P767" s="41">
        <v>0</v>
      </c>
      <c r="Q767" s="1517">
        <f>L767*$H764</f>
        <v>0</v>
      </c>
      <c r="R767" s="1517">
        <f>M767*$H764</f>
        <v>0</v>
      </c>
      <c r="S767" s="1517">
        <f>N767*$H764</f>
        <v>0</v>
      </c>
      <c r="T767" s="1517">
        <f>O767*$H764</f>
        <v>0</v>
      </c>
      <c r="U767" s="1517">
        <f>P767*$H764</f>
        <v>0</v>
      </c>
      <c r="V767" s="1517">
        <f t="shared" si="417"/>
        <v>0</v>
      </c>
    </row>
    <row r="768" spans="1:22" s="39" customFormat="1" ht="24" customHeight="1" thickBot="1">
      <c r="A768" s="1860">
        <v>2</v>
      </c>
      <c r="B768" s="1860"/>
      <c r="C768" s="1860"/>
      <c r="D768" s="1860"/>
      <c r="E768" s="1862"/>
      <c r="F768" s="1842"/>
      <c r="G768" s="1849"/>
      <c r="H768" s="1597"/>
      <c r="I768" s="1766"/>
      <c r="J768" s="80" t="s">
        <v>84</v>
      </c>
      <c r="K768" s="81"/>
      <c r="L768" s="814">
        <f>L759-L760</f>
        <v>1770</v>
      </c>
      <c r="M768" s="814">
        <f t="shared" ref="M768:U768" si="419">M759-M760</f>
        <v>2210</v>
      </c>
      <c r="N768" s="814">
        <f t="shared" si="419"/>
        <v>2210</v>
      </c>
      <c r="O768" s="814">
        <f t="shared" si="419"/>
        <v>5400</v>
      </c>
      <c r="P768" s="814">
        <f t="shared" si="419"/>
        <v>5400</v>
      </c>
      <c r="Q768" s="1518">
        <f t="shared" si="419"/>
        <v>336300</v>
      </c>
      <c r="R768" s="1518">
        <f t="shared" si="419"/>
        <v>419900</v>
      </c>
      <c r="S768" s="1518">
        <f t="shared" si="419"/>
        <v>419900</v>
      </c>
      <c r="T768" s="1518">
        <f t="shared" si="419"/>
        <v>1026000</v>
      </c>
      <c r="U768" s="1518">
        <f t="shared" si="419"/>
        <v>1026000</v>
      </c>
      <c r="V768" s="1518">
        <f t="shared" si="417"/>
        <v>3228100</v>
      </c>
    </row>
    <row r="769" spans="1:22" s="64" customFormat="1" ht="24" customHeight="1">
      <c r="A769" s="1860">
        <v>2</v>
      </c>
      <c r="B769" s="1860">
        <v>2</v>
      </c>
      <c r="C769" s="1860">
        <v>2</v>
      </c>
      <c r="D769" s="1860">
        <v>2</v>
      </c>
      <c r="E769" s="1861" t="s">
        <v>136</v>
      </c>
      <c r="F769" s="1840" t="str">
        <f>CONCATENATE(A769,".",B769,".",C769,".",D769,)</f>
        <v>2.2.2.2</v>
      </c>
      <c r="G769" s="1847" t="s">
        <v>1069</v>
      </c>
      <c r="H769" s="1601" t="s">
        <v>146</v>
      </c>
      <c r="I769" s="1821" t="s">
        <v>1023</v>
      </c>
      <c r="J769" s="36" t="s">
        <v>79</v>
      </c>
      <c r="K769" s="896"/>
      <c r="L769" s="896">
        <f>'Budget Assumption_Lab Comp2'!K318</f>
        <v>1770</v>
      </c>
      <c r="M769" s="896">
        <f>'Budget Assumption_Lab Comp2'!L318</f>
        <v>2210</v>
      </c>
      <c r="N769" s="896">
        <f>'Budget Assumption_Lab Comp2'!M318</f>
        <v>2210</v>
      </c>
      <c r="O769" s="896">
        <f>'Budget Assumption_Lab Comp2'!N318</f>
        <v>5400</v>
      </c>
      <c r="P769" s="896">
        <f>'Budget Assumption_Lab Comp2'!O318</f>
        <v>5400</v>
      </c>
      <c r="Q769" s="1517">
        <f>L769*H774</f>
        <v>336300</v>
      </c>
      <c r="R769" s="1517">
        <f>M769*H774</f>
        <v>419900</v>
      </c>
      <c r="S769" s="1517">
        <f>N769*H774</f>
        <v>419900</v>
      </c>
      <c r="T769" s="1517">
        <f>O769*H774</f>
        <v>1026000</v>
      </c>
      <c r="U769" s="1517">
        <f>P769*H774</f>
        <v>1026000</v>
      </c>
      <c r="V769" s="1517">
        <f t="shared" si="417"/>
        <v>3228100</v>
      </c>
    </row>
    <row r="770" spans="1:22" s="39" customFormat="1" ht="24" customHeight="1">
      <c r="A770" s="1860">
        <v>2</v>
      </c>
      <c r="B770" s="1860"/>
      <c r="C770" s="1860"/>
      <c r="D770" s="1860"/>
      <c r="E770" s="1839"/>
      <c r="F770" s="1841"/>
      <c r="G770" s="1848"/>
      <c r="H770" s="1601"/>
      <c r="I770" s="1794"/>
      <c r="J770" s="40" t="s">
        <v>80</v>
      </c>
      <c r="K770" s="91"/>
      <c r="L770" s="41">
        <f t="shared" ref="L770:N770" si="420">SUM(L771:L777)</f>
        <v>0</v>
      </c>
      <c r="M770" s="41">
        <f t="shared" si="420"/>
        <v>0</v>
      </c>
      <c r="N770" s="41">
        <f t="shared" si="420"/>
        <v>0</v>
      </c>
      <c r="O770" s="41">
        <f>SUM(O771:O777)</f>
        <v>0</v>
      </c>
      <c r="P770" s="41">
        <f t="shared" ref="P770" si="421">SUM(P771:P777)</f>
        <v>0</v>
      </c>
      <c r="Q770" s="1517">
        <f t="shared" ref="Q770:U770" si="422">SUM(Q771:Q777)</f>
        <v>0</v>
      </c>
      <c r="R770" s="1517">
        <f t="shared" si="422"/>
        <v>0</v>
      </c>
      <c r="S770" s="1517">
        <f t="shared" si="422"/>
        <v>0</v>
      </c>
      <c r="T770" s="1517">
        <f t="shared" si="422"/>
        <v>0</v>
      </c>
      <c r="U770" s="1517">
        <f t="shared" si="422"/>
        <v>0</v>
      </c>
      <c r="V770" s="1517">
        <f t="shared" si="417"/>
        <v>0</v>
      </c>
    </row>
    <row r="771" spans="1:22" s="39" customFormat="1" ht="24" customHeight="1">
      <c r="A771" s="1860">
        <v>2</v>
      </c>
      <c r="B771" s="1860"/>
      <c r="C771" s="1860"/>
      <c r="D771" s="1860"/>
      <c r="E771" s="1839"/>
      <c r="F771" s="1841"/>
      <c r="G771" s="1848"/>
      <c r="H771" s="1601"/>
      <c r="I771" s="1794"/>
      <c r="J771" s="40" t="s">
        <v>429</v>
      </c>
      <c r="K771" s="91"/>
      <c r="L771" s="41">
        <v>0</v>
      </c>
      <c r="M771" s="41">
        <v>0</v>
      </c>
      <c r="N771" s="41">
        <v>0</v>
      </c>
      <c r="O771" s="41">
        <v>0</v>
      </c>
      <c r="P771" s="41">
        <v>0</v>
      </c>
      <c r="Q771" s="1517">
        <f>L771*$H774</f>
        <v>0</v>
      </c>
      <c r="R771" s="1517">
        <f>M771*$H774</f>
        <v>0</v>
      </c>
      <c r="S771" s="1517">
        <f>N771*$H774</f>
        <v>0</v>
      </c>
      <c r="T771" s="1517">
        <f>O771*$H774</f>
        <v>0</v>
      </c>
      <c r="U771" s="1517">
        <f>P771*$H774</f>
        <v>0</v>
      </c>
      <c r="V771" s="1517">
        <f t="shared" si="417"/>
        <v>0</v>
      </c>
    </row>
    <row r="772" spans="1:22" s="39" customFormat="1" ht="24" customHeight="1">
      <c r="A772" s="1860">
        <v>2</v>
      </c>
      <c r="B772" s="1860"/>
      <c r="C772" s="1860"/>
      <c r="D772" s="1860"/>
      <c r="E772" s="1839"/>
      <c r="F772" s="1841"/>
      <c r="G772" s="1848"/>
      <c r="H772" s="1601"/>
      <c r="I772" s="1794"/>
      <c r="J772" s="40" t="s">
        <v>133</v>
      </c>
      <c r="K772" s="91"/>
      <c r="L772" s="41">
        <v>0</v>
      </c>
      <c r="M772" s="41">
        <v>0</v>
      </c>
      <c r="N772" s="41">
        <v>0</v>
      </c>
      <c r="O772" s="41">
        <v>0</v>
      </c>
      <c r="P772" s="41">
        <v>0</v>
      </c>
      <c r="Q772" s="1517">
        <f>L772*$H774</f>
        <v>0</v>
      </c>
      <c r="R772" s="1517">
        <f>M772*$H774</f>
        <v>0</v>
      </c>
      <c r="S772" s="1517">
        <f>N772*$H774</f>
        <v>0</v>
      </c>
      <c r="T772" s="1517">
        <f>O772*$H774</f>
        <v>0</v>
      </c>
      <c r="U772" s="1517">
        <f>P772*$H774</f>
        <v>0</v>
      </c>
      <c r="V772" s="1517">
        <f t="shared" si="417"/>
        <v>0</v>
      </c>
    </row>
    <row r="773" spans="1:22" s="39" customFormat="1" ht="24" customHeight="1">
      <c r="A773" s="1860">
        <v>2</v>
      </c>
      <c r="B773" s="1860"/>
      <c r="C773" s="1860"/>
      <c r="D773" s="1860"/>
      <c r="E773" s="1839"/>
      <c r="F773" s="1841"/>
      <c r="G773" s="1848"/>
      <c r="H773" s="1601"/>
      <c r="I773" s="1794"/>
      <c r="J773" s="40" t="s">
        <v>81</v>
      </c>
      <c r="K773" s="91"/>
      <c r="L773" s="41">
        <v>0</v>
      </c>
      <c r="M773" s="41">
        <v>0</v>
      </c>
      <c r="N773" s="41">
        <v>0</v>
      </c>
      <c r="O773" s="41">
        <v>0</v>
      </c>
      <c r="P773" s="41">
        <v>0</v>
      </c>
      <c r="Q773" s="1517">
        <f>L773*$H774</f>
        <v>0</v>
      </c>
      <c r="R773" s="1517">
        <f>M773*$H774</f>
        <v>0</v>
      </c>
      <c r="S773" s="1517">
        <f>N773*$H774</f>
        <v>0</v>
      </c>
      <c r="T773" s="1517">
        <f>O773*$H774</f>
        <v>0</v>
      </c>
      <c r="U773" s="1517">
        <f>P773*$H774</f>
        <v>0</v>
      </c>
      <c r="V773" s="1517">
        <f t="shared" si="417"/>
        <v>0</v>
      </c>
    </row>
    <row r="774" spans="1:22" s="39" customFormat="1" ht="24" customHeight="1">
      <c r="A774" s="1860">
        <v>2</v>
      </c>
      <c r="B774" s="1860"/>
      <c r="C774" s="1860"/>
      <c r="D774" s="1860"/>
      <c r="E774" s="1839"/>
      <c r="F774" s="1841"/>
      <c r="G774" s="1848"/>
      <c r="H774" s="1595">
        <f>'Budget Assumption_Lab Comp2'!Q318</f>
        <v>190</v>
      </c>
      <c r="I774" s="1794"/>
      <c r="J774" s="40" t="s">
        <v>134</v>
      </c>
      <c r="K774" s="91"/>
      <c r="L774" s="41">
        <f>L745*30%</f>
        <v>0</v>
      </c>
      <c r="M774" s="41">
        <f>M745*30%</f>
        <v>0</v>
      </c>
      <c r="N774" s="41">
        <f>N745*30%</f>
        <v>0</v>
      </c>
      <c r="O774" s="41">
        <f>O745*30%</f>
        <v>0</v>
      </c>
      <c r="P774" s="41">
        <f>P745*30%</f>
        <v>0</v>
      </c>
      <c r="Q774" s="1517">
        <f>L774*$H774</f>
        <v>0</v>
      </c>
      <c r="R774" s="1517">
        <f>M774*$H774</f>
        <v>0</v>
      </c>
      <c r="S774" s="1517">
        <f>N774*$H774</f>
        <v>0</v>
      </c>
      <c r="T774" s="1517">
        <f>O774*$H774</f>
        <v>0</v>
      </c>
      <c r="U774" s="1517">
        <f>P774*$H774</f>
        <v>0</v>
      </c>
      <c r="V774" s="1517">
        <f t="shared" si="417"/>
        <v>0</v>
      </c>
    </row>
    <row r="775" spans="1:22" s="39" customFormat="1" ht="24" customHeight="1">
      <c r="A775" s="1860">
        <v>2</v>
      </c>
      <c r="B775" s="1860"/>
      <c r="C775" s="1860"/>
      <c r="D775" s="1860"/>
      <c r="E775" s="1839"/>
      <c r="F775" s="1841"/>
      <c r="G775" s="1848"/>
      <c r="H775" s="1596"/>
      <c r="I775" s="1794"/>
      <c r="J775" s="40" t="s">
        <v>82</v>
      </c>
      <c r="K775" s="91"/>
      <c r="L775" s="41">
        <v>0</v>
      </c>
      <c r="M775" s="41">
        <v>0</v>
      </c>
      <c r="N775" s="41">
        <v>0</v>
      </c>
      <c r="O775" s="41">
        <v>0</v>
      </c>
      <c r="P775" s="41">
        <v>0</v>
      </c>
      <c r="Q775" s="1517">
        <f>L775*$H774</f>
        <v>0</v>
      </c>
      <c r="R775" s="1517">
        <f>M775*$H774</f>
        <v>0</v>
      </c>
      <c r="S775" s="1517">
        <f>N775*$H774</f>
        <v>0</v>
      </c>
      <c r="T775" s="1517">
        <f>O775*$H774</f>
        <v>0</v>
      </c>
      <c r="U775" s="1517">
        <f>P775*$H774</f>
        <v>0</v>
      </c>
      <c r="V775" s="1517">
        <f t="shared" si="417"/>
        <v>0</v>
      </c>
    </row>
    <row r="776" spans="1:22" s="39" customFormat="1" ht="24" customHeight="1">
      <c r="A776" s="1860">
        <v>2</v>
      </c>
      <c r="B776" s="1860"/>
      <c r="C776" s="1860"/>
      <c r="D776" s="1860"/>
      <c r="E776" s="1839"/>
      <c r="F776" s="1841"/>
      <c r="G776" s="1848"/>
      <c r="H776" s="1596"/>
      <c r="I776" s="1794"/>
      <c r="J776" s="40" t="s">
        <v>90</v>
      </c>
      <c r="K776" s="91"/>
      <c r="L776" s="41">
        <v>0</v>
      </c>
      <c r="M776" s="41">
        <v>0</v>
      </c>
      <c r="N776" s="41">
        <v>0</v>
      </c>
      <c r="O776" s="41">
        <v>0</v>
      </c>
      <c r="P776" s="41">
        <v>0</v>
      </c>
      <c r="Q776" s="1517">
        <f>L776*$H774</f>
        <v>0</v>
      </c>
      <c r="R776" s="1517">
        <f>M776*$H774</f>
        <v>0</v>
      </c>
      <c r="S776" s="1517">
        <f>N776*$H774</f>
        <v>0</v>
      </c>
      <c r="T776" s="1517">
        <f>O776*$H774</f>
        <v>0</v>
      </c>
      <c r="U776" s="1517">
        <f>P776*$H774</f>
        <v>0</v>
      </c>
      <c r="V776" s="1517">
        <f t="shared" si="417"/>
        <v>0</v>
      </c>
    </row>
    <row r="777" spans="1:22" s="39" customFormat="1" ht="24" customHeight="1">
      <c r="A777" s="1860">
        <v>2</v>
      </c>
      <c r="B777" s="1860"/>
      <c r="C777" s="1860"/>
      <c r="D777" s="1860"/>
      <c r="E777" s="1839"/>
      <c r="F777" s="1841"/>
      <c r="G777" s="1848"/>
      <c r="H777" s="1596"/>
      <c r="I777" s="1794"/>
      <c r="J777" s="40" t="s">
        <v>83</v>
      </c>
      <c r="K777" s="91"/>
      <c r="L777" s="41">
        <v>0</v>
      </c>
      <c r="M777" s="41">
        <v>0</v>
      </c>
      <c r="N777" s="41">
        <v>0</v>
      </c>
      <c r="O777" s="41">
        <v>0</v>
      </c>
      <c r="P777" s="41">
        <v>0</v>
      </c>
      <c r="Q777" s="1517">
        <f>L777*$H774</f>
        <v>0</v>
      </c>
      <c r="R777" s="1517">
        <f>M777*$H774</f>
        <v>0</v>
      </c>
      <c r="S777" s="1517">
        <f>N777*$H774</f>
        <v>0</v>
      </c>
      <c r="T777" s="1517">
        <f>O777*$H774</f>
        <v>0</v>
      </c>
      <c r="U777" s="1517">
        <f>P777*$H774</f>
        <v>0</v>
      </c>
      <c r="V777" s="1517">
        <f t="shared" si="417"/>
        <v>0</v>
      </c>
    </row>
    <row r="778" spans="1:22" s="39" customFormat="1" ht="24" customHeight="1" thickBot="1">
      <c r="A778" s="1860">
        <v>2</v>
      </c>
      <c r="B778" s="1860"/>
      <c r="C778" s="1860"/>
      <c r="D778" s="1860"/>
      <c r="E778" s="1862"/>
      <c r="F778" s="1842"/>
      <c r="G778" s="1849"/>
      <c r="H778" s="1597"/>
      <c r="I778" s="1795"/>
      <c r="J778" s="80" t="s">
        <v>84</v>
      </c>
      <c r="K778" s="824"/>
      <c r="L778" s="814">
        <f>L769-L770</f>
        <v>1770</v>
      </c>
      <c r="M778" s="814">
        <f t="shared" ref="M778:P778" si="423">M769-M770</f>
        <v>2210</v>
      </c>
      <c r="N778" s="814">
        <f t="shared" si="423"/>
        <v>2210</v>
      </c>
      <c r="O778" s="814">
        <f t="shared" si="423"/>
        <v>5400</v>
      </c>
      <c r="P778" s="814">
        <f t="shared" si="423"/>
        <v>5400</v>
      </c>
      <c r="Q778" s="1518">
        <f t="shared" ref="Q778:U778" si="424">Q769-Q770</f>
        <v>336300</v>
      </c>
      <c r="R778" s="1518">
        <f t="shared" si="424"/>
        <v>419900</v>
      </c>
      <c r="S778" s="1518">
        <f t="shared" si="424"/>
        <v>419900</v>
      </c>
      <c r="T778" s="1518">
        <f t="shared" si="424"/>
        <v>1026000</v>
      </c>
      <c r="U778" s="1518">
        <f t="shared" si="424"/>
        <v>1026000</v>
      </c>
      <c r="V778" s="1518">
        <f t="shared" si="417"/>
        <v>3228100</v>
      </c>
    </row>
    <row r="779" spans="1:22" s="64" customFormat="1" ht="24" customHeight="1">
      <c r="A779" s="1860">
        <v>2</v>
      </c>
      <c r="B779" s="1860">
        <v>2</v>
      </c>
      <c r="C779" s="1860">
        <v>2</v>
      </c>
      <c r="D779" s="1860">
        <v>3</v>
      </c>
      <c r="E779" s="1963" t="s">
        <v>136</v>
      </c>
      <c r="F779" s="1854" t="str">
        <f>CONCATENATE(A779,".",B779,".",C779,".",D779,)</f>
        <v>2.2.2.3</v>
      </c>
      <c r="G779" s="1848" t="s">
        <v>1070</v>
      </c>
      <c r="H779" s="1601" t="s">
        <v>146</v>
      </c>
      <c r="I779" s="1821" t="s">
        <v>1023</v>
      </c>
      <c r="J779" s="36" t="s">
        <v>79</v>
      </c>
      <c r="K779" s="896"/>
      <c r="L779" s="896">
        <f>'Budget Assumption_Lab Comp2'!K319</f>
        <v>1770</v>
      </c>
      <c r="M779" s="896">
        <f>'Budget Assumption_Lab Comp2'!L319</f>
        <v>2210</v>
      </c>
      <c r="N779" s="896">
        <f>'Budget Assumption_Lab Comp2'!M319</f>
        <v>2210</v>
      </c>
      <c r="O779" s="896">
        <f>'Budget Assumption_Lab Comp2'!N319</f>
        <v>5400</v>
      </c>
      <c r="P779" s="896">
        <f>'Budget Assumption_Lab Comp2'!O319</f>
        <v>5400</v>
      </c>
      <c r="Q779" s="1517">
        <f>L779*H784</f>
        <v>336300</v>
      </c>
      <c r="R779" s="1517">
        <f>M779*H784</f>
        <v>419900</v>
      </c>
      <c r="S779" s="1517">
        <f>N779*H784</f>
        <v>419900</v>
      </c>
      <c r="T779" s="1517">
        <f>O779*H784</f>
        <v>1026000</v>
      </c>
      <c r="U779" s="1517">
        <f>P779*H784</f>
        <v>1026000</v>
      </c>
      <c r="V779" s="1517">
        <f t="shared" si="417"/>
        <v>3228100</v>
      </c>
    </row>
    <row r="780" spans="1:22" s="39" customFormat="1" ht="24" customHeight="1">
      <c r="A780" s="1860">
        <v>2</v>
      </c>
      <c r="B780" s="1860"/>
      <c r="C780" s="1860"/>
      <c r="D780" s="1860"/>
      <c r="E780" s="1962"/>
      <c r="F780" s="1841"/>
      <c r="G780" s="1848"/>
      <c r="H780" s="1601"/>
      <c r="I780" s="1794"/>
      <c r="J780" s="40" t="s">
        <v>80</v>
      </c>
      <c r="K780" s="91"/>
      <c r="L780" s="41">
        <f t="shared" ref="L780:N780" si="425">SUM(L781:L787)</f>
        <v>0</v>
      </c>
      <c r="M780" s="41">
        <f t="shared" si="425"/>
        <v>0</v>
      </c>
      <c r="N780" s="41">
        <f t="shared" si="425"/>
        <v>0</v>
      </c>
      <c r="O780" s="41">
        <f>SUM(O781:O787)</f>
        <v>0</v>
      </c>
      <c r="P780" s="41">
        <f t="shared" ref="P780" si="426">SUM(P781:P787)</f>
        <v>0</v>
      </c>
      <c r="Q780" s="1517">
        <f t="shared" ref="Q780:U780" si="427">SUM(Q781:Q787)</f>
        <v>0</v>
      </c>
      <c r="R780" s="1517">
        <f t="shared" si="427"/>
        <v>0</v>
      </c>
      <c r="S780" s="1517">
        <f t="shared" si="427"/>
        <v>0</v>
      </c>
      <c r="T780" s="1517">
        <f t="shared" si="427"/>
        <v>0</v>
      </c>
      <c r="U780" s="1517">
        <f t="shared" si="427"/>
        <v>0</v>
      </c>
      <c r="V780" s="1517">
        <f t="shared" si="417"/>
        <v>0</v>
      </c>
    </row>
    <row r="781" spans="1:22" s="39" customFormat="1" ht="24" customHeight="1">
      <c r="A781" s="1860">
        <v>2</v>
      </c>
      <c r="B781" s="1860"/>
      <c r="C781" s="1860"/>
      <c r="D781" s="1860"/>
      <c r="E781" s="1962"/>
      <c r="F781" s="1841"/>
      <c r="G781" s="1848"/>
      <c r="H781" s="1601"/>
      <c r="I781" s="1794"/>
      <c r="J781" s="40" t="s">
        <v>429</v>
      </c>
      <c r="K781" s="91"/>
      <c r="L781" s="41">
        <v>0</v>
      </c>
      <c r="M781" s="41">
        <v>0</v>
      </c>
      <c r="N781" s="41">
        <v>0</v>
      </c>
      <c r="O781" s="41">
        <v>0</v>
      </c>
      <c r="P781" s="41">
        <v>0</v>
      </c>
      <c r="Q781" s="1517">
        <f>L781*$H784</f>
        <v>0</v>
      </c>
      <c r="R781" s="1517">
        <f>M781*$H784</f>
        <v>0</v>
      </c>
      <c r="S781" s="1517">
        <f>N781*$H784</f>
        <v>0</v>
      </c>
      <c r="T781" s="1517">
        <f>O781*$H784</f>
        <v>0</v>
      </c>
      <c r="U781" s="1517">
        <f>P781*$H784</f>
        <v>0</v>
      </c>
      <c r="V781" s="1517">
        <f t="shared" si="417"/>
        <v>0</v>
      </c>
    </row>
    <row r="782" spans="1:22" s="39" customFormat="1" ht="24" customHeight="1">
      <c r="A782" s="1860">
        <v>2</v>
      </c>
      <c r="B782" s="1860"/>
      <c r="C782" s="1860"/>
      <c r="D782" s="1860"/>
      <c r="E782" s="1962"/>
      <c r="F782" s="1841"/>
      <c r="G782" s="1848"/>
      <c r="H782" s="1601"/>
      <c r="I782" s="1794"/>
      <c r="J782" s="40" t="s">
        <v>133</v>
      </c>
      <c r="K782" s="91"/>
      <c r="L782" s="41">
        <v>0</v>
      </c>
      <c r="M782" s="41">
        <v>0</v>
      </c>
      <c r="N782" s="41">
        <v>0</v>
      </c>
      <c r="O782" s="41">
        <v>0</v>
      </c>
      <c r="P782" s="41">
        <v>0</v>
      </c>
      <c r="Q782" s="1517">
        <f>L782*$H784</f>
        <v>0</v>
      </c>
      <c r="R782" s="1517">
        <f>M782*$H784</f>
        <v>0</v>
      </c>
      <c r="S782" s="1517">
        <f>N782*$H784</f>
        <v>0</v>
      </c>
      <c r="T782" s="1517">
        <f>O782*$H784</f>
        <v>0</v>
      </c>
      <c r="U782" s="1517">
        <f>P782*$H784</f>
        <v>0</v>
      </c>
      <c r="V782" s="1517">
        <f t="shared" si="417"/>
        <v>0</v>
      </c>
    </row>
    <row r="783" spans="1:22" s="39" customFormat="1" ht="24" customHeight="1">
      <c r="A783" s="1860">
        <v>2</v>
      </c>
      <c r="B783" s="1860"/>
      <c r="C783" s="1860"/>
      <c r="D783" s="1860"/>
      <c r="E783" s="1962"/>
      <c r="F783" s="1841"/>
      <c r="G783" s="1848"/>
      <c r="H783" s="1601"/>
      <c r="I783" s="1794"/>
      <c r="J783" s="40" t="s">
        <v>81</v>
      </c>
      <c r="K783" s="91"/>
      <c r="L783" s="41">
        <v>0</v>
      </c>
      <c r="M783" s="41">
        <v>0</v>
      </c>
      <c r="N783" s="41">
        <v>0</v>
      </c>
      <c r="O783" s="41">
        <v>0</v>
      </c>
      <c r="P783" s="41">
        <v>0</v>
      </c>
      <c r="Q783" s="1517">
        <f>L783*$H784</f>
        <v>0</v>
      </c>
      <c r="R783" s="1517">
        <f>M783*$H784</f>
        <v>0</v>
      </c>
      <c r="S783" s="1517">
        <f>N783*$H784</f>
        <v>0</v>
      </c>
      <c r="T783" s="1517">
        <f>O783*$H784</f>
        <v>0</v>
      </c>
      <c r="U783" s="1517">
        <f>P783*$H784</f>
        <v>0</v>
      </c>
      <c r="V783" s="1517">
        <f t="shared" si="417"/>
        <v>0</v>
      </c>
    </row>
    <row r="784" spans="1:22" s="39" customFormat="1" ht="24" customHeight="1">
      <c r="A784" s="1860">
        <v>2</v>
      </c>
      <c r="B784" s="1860"/>
      <c r="C784" s="1860"/>
      <c r="D784" s="1860"/>
      <c r="E784" s="1962"/>
      <c r="F784" s="1841"/>
      <c r="G784" s="1848"/>
      <c r="H784" s="1595">
        <f>'Budget Assumption_Lab Comp2'!Q319</f>
        <v>190</v>
      </c>
      <c r="I784" s="1794"/>
      <c r="J784" s="40" t="s">
        <v>134</v>
      </c>
      <c r="K784" s="91"/>
      <c r="L784" s="41">
        <f>L755*30%</f>
        <v>0</v>
      </c>
      <c r="M784" s="41">
        <f>M755*30%</f>
        <v>0</v>
      </c>
      <c r="N784" s="41">
        <f>N755*30%</f>
        <v>0</v>
      </c>
      <c r="O784" s="41">
        <f>O755*30%</f>
        <v>0</v>
      </c>
      <c r="P784" s="41">
        <f>P755*30%</f>
        <v>0</v>
      </c>
      <c r="Q784" s="1517">
        <f>L784*$H784</f>
        <v>0</v>
      </c>
      <c r="R784" s="1517">
        <f>M784*$H784</f>
        <v>0</v>
      </c>
      <c r="S784" s="1517">
        <f>N784*$H784</f>
        <v>0</v>
      </c>
      <c r="T784" s="1517">
        <f>O784*$H784</f>
        <v>0</v>
      </c>
      <c r="U784" s="1517">
        <f>P784*$H784</f>
        <v>0</v>
      </c>
      <c r="V784" s="1517">
        <f t="shared" si="417"/>
        <v>0</v>
      </c>
    </row>
    <row r="785" spans="1:22" s="39" customFormat="1" ht="24" customHeight="1">
      <c r="A785" s="1860">
        <v>2</v>
      </c>
      <c r="B785" s="1860"/>
      <c r="C785" s="1860"/>
      <c r="D785" s="1860"/>
      <c r="E785" s="1962"/>
      <c r="F785" s="1841"/>
      <c r="G785" s="1848"/>
      <c r="H785" s="1596"/>
      <c r="I785" s="1794"/>
      <c r="J785" s="40" t="s">
        <v>82</v>
      </c>
      <c r="K785" s="91"/>
      <c r="L785" s="41">
        <v>0</v>
      </c>
      <c r="M785" s="41">
        <v>0</v>
      </c>
      <c r="N785" s="41">
        <v>0</v>
      </c>
      <c r="O785" s="41">
        <v>0</v>
      </c>
      <c r="P785" s="41">
        <v>0</v>
      </c>
      <c r="Q785" s="1517">
        <f>L785*$H784</f>
        <v>0</v>
      </c>
      <c r="R785" s="1517">
        <f>M785*$H784</f>
        <v>0</v>
      </c>
      <c r="S785" s="1517">
        <f>N785*$H784</f>
        <v>0</v>
      </c>
      <c r="T785" s="1517">
        <f>O785*$H784</f>
        <v>0</v>
      </c>
      <c r="U785" s="1517">
        <f>P785*$H784</f>
        <v>0</v>
      </c>
      <c r="V785" s="1517">
        <f t="shared" si="417"/>
        <v>0</v>
      </c>
    </row>
    <row r="786" spans="1:22" s="39" customFormat="1" ht="24" customHeight="1">
      <c r="A786" s="1860">
        <v>2</v>
      </c>
      <c r="B786" s="1860"/>
      <c r="C786" s="1860"/>
      <c r="D786" s="1860"/>
      <c r="E786" s="1962"/>
      <c r="F786" s="1841"/>
      <c r="G786" s="1848"/>
      <c r="H786" s="1596"/>
      <c r="I786" s="1794"/>
      <c r="J786" s="40" t="s">
        <v>90</v>
      </c>
      <c r="K786" s="91"/>
      <c r="L786" s="41">
        <v>0</v>
      </c>
      <c r="M786" s="41">
        <v>0</v>
      </c>
      <c r="N786" s="41">
        <v>0</v>
      </c>
      <c r="O786" s="41">
        <v>0</v>
      </c>
      <c r="P786" s="41">
        <v>0</v>
      </c>
      <c r="Q786" s="1517">
        <f>L786*$H784</f>
        <v>0</v>
      </c>
      <c r="R786" s="1517">
        <f>M786*$H784</f>
        <v>0</v>
      </c>
      <c r="S786" s="1517">
        <f>N786*$H784</f>
        <v>0</v>
      </c>
      <c r="T786" s="1517">
        <f>O786*$H784</f>
        <v>0</v>
      </c>
      <c r="U786" s="1517">
        <f>P786*$H784</f>
        <v>0</v>
      </c>
      <c r="V786" s="1517">
        <f t="shared" si="417"/>
        <v>0</v>
      </c>
    </row>
    <row r="787" spans="1:22" s="39" customFormat="1" ht="24" customHeight="1">
      <c r="A787" s="1860">
        <v>2</v>
      </c>
      <c r="B787" s="1860"/>
      <c r="C787" s="1860"/>
      <c r="D787" s="1860"/>
      <c r="E787" s="1962"/>
      <c r="F787" s="1841"/>
      <c r="G787" s="1848"/>
      <c r="H787" s="1596"/>
      <c r="I787" s="1794"/>
      <c r="J787" s="40" t="s">
        <v>83</v>
      </c>
      <c r="K787" s="91"/>
      <c r="L787" s="41">
        <v>0</v>
      </c>
      <c r="M787" s="41">
        <v>0</v>
      </c>
      <c r="N787" s="41">
        <v>0</v>
      </c>
      <c r="O787" s="41">
        <v>0</v>
      </c>
      <c r="P787" s="41">
        <v>0</v>
      </c>
      <c r="Q787" s="1517">
        <f>L787*$H784</f>
        <v>0</v>
      </c>
      <c r="R787" s="1517">
        <f>M787*$H784</f>
        <v>0</v>
      </c>
      <c r="S787" s="1517">
        <f>N787*$H784</f>
        <v>0</v>
      </c>
      <c r="T787" s="1517">
        <f>O787*$H784</f>
        <v>0</v>
      </c>
      <c r="U787" s="1517">
        <f>P787*$H784</f>
        <v>0</v>
      </c>
      <c r="V787" s="1517">
        <f t="shared" si="417"/>
        <v>0</v>
      </c>
    </row>
    <row r="788" spans="1:22" s="39" customFormat="1" ht="24" customHeight="1" thickBot="1">
      <c r="A788" s="1860">
        <v>2</v>
      </c>
      <c r="B788" s="1860"/>
      <c r="C788" s="1860"/>
      <c r="D788" s="1860"/>
      <c r="E788" s="1964"/>
      <c r="F788" s="1842"/>
      <c r="G788" s="1849"/>
      <c r="H788" s="1597"/>
      <c r="I788" s="1795"/>
      <c r="J788" s="80" t="s">
        <v>84</v>
      </c>
      <c r="K788" s="824"/>
      <c r="L788" s="814">
        <f>L779-L780</f>
        <v>1770</v>
      </c>
      <c r="M788" s="814">
        <f t="shared" ref="M788:P788" si="428">M779-M780</f>
        <v>2210</v>
      </c>
      <c r="N788" s="814">
        <f t="shared" si="428"/>
        <v>2210</v>
      </c>
      <c r="O788" s="814">
        <f t="shared" si="428"/>
        <v>5400</v>
      </c>
      <c r="P788" s="814">
        <f t="shared" si="428"/>
        <v>5400</v>
      </c>
      <c r="Q788" s="1518">
        <f t="shared" ref="Q788:U788" si="429">Q779-Q780</f>
        <v>336300</v>
      </c>
      <c r="R788" s="1518">
        <f t="shared" si="429"/>
        <v>419900</v>
      </c>
      <c r="S788" s="1518">
        <f t="shared" si="429"/>
        <v>419900</v>
      </c>
      <c r="T788" s="1518">
        <f t="shared" si="429"/>
        <v>1026000</v>
      </c>
      <c r="U788" s="1518">
        <f t="shared" si="429"/>
        <v>1026000</v>
      </c>
      <c r="V788" s="1518">
        <f t="shared" si="417"/>
        <v>3228100</v>
      </c>
    </row>
    <row r="789" spans="1:22" s="64" customFormat="1" ht="24" customHeight="1">
      <c r="A789" s="1860">
        <v>2</v>
      </c>
      <c r="B789" s="1860">
        <v>2</v>
      </c>
      <c r="C789" s="1860">
        <v>2</v>
      </c>
      <c r="D789" s="1860">
        <v>4</v>
      </c>
      <c r="E789" s="1963" t="s">
        <v>136</v>
      </c>
      <c r="F789" s="1854" t="str">
        <f>CONCATENATE(A789,".",B789,".",C789,".",D789,)</f>
        <v>2.2.2.4</v>
      </c>
      <c r="G789" s="1848" t="s">
        <v>1071</v>
      </c>
      <c r="H789" s="1601" t="s">
        <v>146</v>
      </c>
      <c r="I789" s="1821" t="s">
        <v>1023</v>
      </c>
      <c r="J789" s="36" t="s">
        <v>79</v>
      </c>
      <c r="K789" s="896"/>
      <c r="L789" s="896">
        <f>'Budget Assumption_Lab Comp2'!K320</f>
        <v>1770</v>
      </c>
      <c r="M789" s="896">
        <f>'Budget Assumption_Lab Comp2'!L320</f>
        <v>2210</v>
      </c>
      <c r="N789" s="896">
        <f>'Budget Assumption_Lab Comp2'!M320</f>
        <v>2210</v>
      </c>
      <c r="O789" s="896">
        <f>'Budget Assumption_Lab Comp2'!N320</f>
        <v>5400</v>
      </c>
      <c r="P789" s="896">
        <f>'Budget Assumption_Lab Comp2'!O320</f>
        <v>5400</v>
      </c>
      <c r="Q789" s="1517">
        <f>L789*H794</f>
        <v>336300</v>
      </c>
      <c r="R789" s="1517">
        <f>M789*H794</f>
        <v>419900</v>
      </c>
      <c r="S789" s="1517">
        <f>N789*H794</f>
        <v>419900</v>
      </c>
      <c r="T789" s="1517">
        <f>O789*H794</f>
        <v>1026000</v>
      </c>
      <c r="U789" s="1517">
        <f>P789*H794</f>
        <v>1026000</v>
      </c>
      <c r="V789" s="1517">
        <f t="shared" si="417"/>
        <v>3228100</v>
      </c>
    </row>
    <row r="790" spans="1:22" s="39" customFormat="1" ht="24" customHeight="1">
      <c r="A790" s="1860">
        <v>2</v>
      </c>
      <c r="B790" s="1860"/>
      <c r="C790" s="1860"/>
      <c r="D790" s="1860"/>
      <c r="E790" s="1962"/>
      <c r="F790" s="1841"/>
      <c r="G790" s="1848"/>
      <c r="H790" s="1601"/>
      <c r="I790" s="1794"/>
      <c r="J790" s="40" t="s">
        <v>80</v>
      </c>
      <c r="K790" s="91"/>
      <c r="L790" s="41">
        <f t="shared" ref="L790:N790" si="430">SUM(L791:L797)</f>
        <v>0</v>
      </c>
      <c r="M790" s="41">
        <f t="shared" si="430"/>
        <v>0</v>
      </c>
      <c r="N790" s="41">
        <f t="shared" si="430"/>
        <v>0</v>
      </c>
      <c r="O790" s="41">
        <f>SUM(O791:O797)</f>
        <v>0</v>
      </c>
      <c r="P790" s="41">
        <f t="shared" ref="P790" si="431">SUM(P791:P797)</f>
        <v>0</v>
      </c>
      <c r="Q790" s="1517">
        <f t="shared" ref="Q790:U790" si="432">SUM(Q791:Q797)</f>
        <v>0</v>
      </c>
      <c r="R790" s="1517">
        <f t="shared" si="432"/>
        <v>0</v>
      </c>
      <c r="S790" s="1517">
        <f t="shared" si="432"/>
        <v>0</v>
      </c>
      <c r="T790" s="1517">
        <f t="shared" si="432"/>
        <v>0</v>
      </c>
      <c r="U790" s="1517">
        <f t="shared" si="432"/>
        <v>0</v>
      </c>
      <c r="V790" s="1517">
        <f t="shared" si="417"/>
        <v>0</v>
      </c>
    </row>
    <row r="791" spans="1:22" s="39" customFormat="1" ht="24" customHeight="1">
      <c r="A791" s="1860">
        <v>2</v>
      </c>
      <c r="B791" s="1860"/>
      <c r="C791" s="1860"/>
      <c r="D791" s="1860"/>
      <c r="E791" s="1962"/>
      <c r="F791" s="1841"/>
      <c r="G791" s="1848"/>
      <c r="H791" s="1601"/>
      <c r="I791" s="1794"/>
      <c r="J791" s="40" t="s">
        <v>429</v>
      </c>
      <c r="K791" s="91"/>
      <c r="L791" s="41">
        <v>0</v>
      </c>
      <c r="M791" s="41">
        <v>0</v>
      </c>
      <c r="N791" s="41">
        <v>0</v>
      </c>
      <c r="O791" s="41">
        <v>0</v>
      </c>
      <c r="P791" s="41">
        <v>0</v>
      </c>
      <c r="Q791" s="1517">
        <f>L791*$H794</f>
        <v>0</v>
      </c>
      <c r="R791" s="1517">
        <f>M791*$H794</f>
        <v>0</v>
      </c>
      <c r="S791" s="1517">
        <f>N791*$H794</f>
        <v>0</v>
      </c>
      <c r="T791" s="1517">
        <f>O791*$H794</f>
        <v>0</v>
      </c>
      <c r="U791" s="1517">
        <f>P791*$H794</f>
        <v>0</v>
      </c>
      <c r="V791" s="1517">
        <f t="shared" si="417"/>
        <v>0</v>
      </c>
    </row>
    <row r="792" spans="1:22" s="39" customFormat="1" ht="24" customHeight="1">
      <c r="A792" s="1860">
        <v>2</v>
      </c>
      <c r="B792" s="1860"/>
      <c r="C792" s="1860"/>
      <c r="D792" s="1860"/>
      <c r="E792" s="1962"/>
      <c r="F792" s="1841"/>
      <c r="G792" s="1848"/>
      <c r="H792" s="1601"/>
      <c r="I792" s="1794"/>
      <c r="J792" s="40" t="s">
        <v>133</v>
      </c>
      <c r="K792" s="91"/>
      <c r="L792" s="41">
        <v>0</v>
      </c>
      <c r="M792" s="41">
        <v>0</v>
      </c>
      <c r="N792" s="41">
        <v>0</v>
      </c>
      <c r="O792" s="41">
        <v>0</v>
      </c>
      <c r="P792" s="41">
        <v>0</v>
      </c>
      <c r="Q792" s="1517">
        <f>L792*$H794</f>
        <v>0</v>
      </c>
      <c r="R792" s="1517">
        <f>M792*$H794</f>
        <v>0</v>
      </c>
      <c r="S792" s="1517">
        <f>N792*$H794</f>
        <v>0</v>
      </c>
      <c r="T792" s="1517">
        <f>O792*$H794</f>
        <v>0</v>
      </c>
      <c r="U792" s="1517">
        <f>P792*$H794</f>
        <v>0</v>
      </c>
      <c r="V792" s="1517">
        <f t="shared" si="417"/>
        <v>0</v>
      </c>
    </row>
    <row r="793" spans="1:22" s="39" customFormat="1" ht="24" customHeight="1">
      <c r="A793" s="1860">
        <v>2</v>
      </c>
      <c r="B793" s="1860"/>
      <c r="C793" s="1860"/>
      <c r="D793" s="1860"/>
      <c r="E793" s="1962"/>
      <c r="F793" s="1841"/>
      <c r="G793" s="1848"/>
      <c r="H793" s="1601"/>
      <c r="I793" s="1794"/>
      <c r="J793" s="40" t="s">
        <v>81</v>
      </c>
      <c r="K793" s="91"/>
      <c r="L793" s="41">
        <v>0</v>
      </c>
      <c r="M793" s="41">
        <v>0</v>
      </c>
      <c r="N793" s="41">
        <v>0</v>
      </c>
      <c r="O793" s="41">
        <v>0</v>
      </c>
      <c r="P793" s="41">
        <v>0</v>
      </c>
      <c r="Q793" s="1517">
        <f>L793*$H794</f>
        <v>0</v>
      </c>
      <c r="R793" s="1517">
        <f>M793*$H794</f>
        <v>0</v>
      </c>
      <c r="S793" s="1517">
        <f>N793*$H794</f>
        <v>0</v>
      </c>
      <c r="T793" s="1517">
        <f>O793*$H794</f>
        <v>0</v>
      </c>
      <c r="U793" s="1517">
        <f>P793*$H794</f>
        <v>0</v>
      </c>
      <c r="V793" s="1517">
        <f t="shared" si="417"/>
        <v>0</v>
      </c>
    </row>
    <row r="794" spans="1:22" s="39" customFormat="1" ht="24" customHeight="1">
      <c r="A794" s="1860">
        <v>2</v>
      </c>
      <c r="B794" s="1860"/>
      <c r="C794" s="1860"/>
      <c r="D794" s="1860"/>
      <c r="E794" s="1962"/>
      <c r="F794" s="1841"/>
      <c r="G794" s="1848"/>
      <c r="H794" s="1595">
        <f>'Budget Assumption_Lab Comp2'!Q320</f>
        <v>190</v>
      </c>
      <c r="I794" s="1794"/>
      <c r="J794" s="40" t="s">
        <v>134</v>
      </c>
      <c r="K794" s="91"/>
      <c r="L794" s="41">
        <v>0</v>
      </c>
      <c r="M794" s="41">
        <v>0</v>
      </c>
      <c r="N794" s="41">
        <v>0</v>
      </c>
      <c r="O794" s="41">
        <f>O765*30%</f>
        <v>0</v>
      </c>
      <c r="P794" s="41">
        <f>P765*30%</f>
        <v>0</v>
      </c>
      <c r="Q794" s="1517">
        <f>L794*$H794</f>
        <v>0</v>
      </c>
      <c r="R794" s="1517">
        <f>M794*$H794</f>
        <v>0</v>
      </c>
      <c r="S794" s="1517">
        <f>N794*$H794</f>
        <v>0</v>
      </c>
      <c r="T794" s="1517">
        <f>O794*$H794</f>
        <v>0</v>
      </c>
      <c r="U794" s="1517">
        <f>P794*$H794</f>
        <v>0</v>
      </c>
      <c r="V794" s="1517">
        <f t="shared" si="417"/>
        <v>0</v>
      </c>
    </row>
    <row r="795" spans="1:22" s="39" customFormat="1" ht="24" customHeight="1">
      <c r="A795" s="1860">
        <v>2</v>
      </c>
      <c r="B795" s="1860"/>
      <c r="C795" s="1860"/>
      <c r="D795" s="1860"/>
      <c r="E795" s="1962"/>
      <c r="F795" s="1841"/>
      <c r="G795" s="1848"/>
      <c r="H795" s="1596"/>
      <c r="I795" s="1794"/>
      <c r="J795" s="40" t="s">
        <v>82</v>
      </c>
      <c r="K795" s="91"/>
      <c r="L795" s="41">
        <v>0</v>
      </c>
      <c r="M795" s="41">
        <v>0</v>
      </c>
      <c r="N795" s="41">
        <v>0</v>
      </c>
      <c r="O795" s="41">
        <v>0</v>
      </c>
      <c r="P795" s="41">
        <v>0</v>
      </c>
      <c r="Q795" s="1517">
        <f>L795*$H794</f>
        <v>0</v>
      </c>
      <c r="R795" s="1517">
        <f>M795*$H794</f>
        <v>0</v>
      </c>
      <c r="S795" s="1517">
        <f>N795*$H794</f>
        <v>0</v>
      </c>
      <c r="T795" s="1517">
        <f>O795*$H794</f>
        <v>0</v>
      </c>
      <c r="U795" s="1517">
        <f>P795*$H794</f>
        <v>0</v>
      </c>
      <c r="V795" s="1517">
        <f t="shared" si="417"/>
        <v>0</v>
      </c>
    </row>
    <row r="796" spans="1:22" s="39" customFormat="1" ht="24" customHeight="1">
      <c r="A796" s="1860">
        <v>2</v>
      </c>
      <c r="B796" s="1860"/>
      <c r="C796" s="1860"/>
      <c r="D796" s="1860"/>
      <c r="E796" s="1962"/>
      <c r="F796" s="1841"/>
      <c r="G796" s="1848"/>
      <c r="H796" s="1596"/>
      <c r="I796" s="1794"/>
      <c r="J796" s="40" t="s">
        <v>90</v>
      </c>
      <c r="K796" s="91"/>
      <c r="L796" s="41">
        <v>0</v>
      </c>
      <c r="M796" s="41">
        <v>0</v>
      </c>
      <c r="N796" s="41">
        <v>0</v>
      </c>
      <c r="O796" s="41">
        <v>0</v>
      </c>
      <c r="P796" s="41">
        <v>0</v>
      </c>
      <c r="Q796" s="1517">
        <f>L796*$H794</f>
        <v>0</v>
      </c>
      <c r="R796" s="1517">
        <f>M796*$H794</f>
        <v>0</v>
      </c>
      <c r="S796" s="1517">
        <f>N796*$H794</f>
        <v>0</v>
      </c>
      <c r="T796" s="1517">
        <f>O796*$H794</f>
        <v>0</v>
      </c>
      <c r="U796" s="1517">
        <f>P796*$H794</f>
        <v>0</v>
      </c>
      <c r="V796" s="1517">
        <f t="shared" si="417"/>
        <v>0</v>
      </c>
    </row>
    <row r="797" spans="1:22" s="39" customFormat="1" ht="24" customHeight="1">
      <c r="A797" s="1860">
        <v>2</v>
      </c>
      <c r="B797" s="1860"/>
      <c r="C797" s="1860"/>
      <c r="D797" s="1860"/>
      <c r="E797" s="1962"/>
      <c r="F797" s="1841"/>
      <c r="G797" s="1848"/>
      <c r="H797" s="1596"/>
      <c r="I797" s="1794"/>
      <c r="J797" s="40" t="s">
        <v>83</v>
      </c>
      <c r="K797" s="91"/>
      <c r="L797" s="41">
        <v>0</v>
      </c>
      <c r="M797" s="41">
        <v>0</v>
      </c>
      <c r="N797" s="41">
        <v>0</v>
      </c>
      <c r="O797" s="41">
        <v>0</v>
      </c>
      <c r="P797" s="41">
        <v>0</v>
      </c>
      <c r="Q797" s="1517">
        <f>L797*$H794</f>
        <v>0</v>
      </c>
      <c r="R797" s="1517">
        <f>M797*$H794</f>
        <v>0</v>
      </c>
      <c r="S797" s="1517">
        <f>N797*$H794</f>
        <v>0</v>
      </c>
      <c r="T797" s="1517">
        <f>O797*$H794</f>
        <v>0</v>
      </c>
      <c r="U797" s="1517">
        <f>P797*$H794</f>
        <v>0</v>
      </c>
      <c r="V797" s="1517">
        <f t="shared" si="417"/>
        <v>0</v>
      </c>
    </row>
    <row r="798" spans="1:22" s="39" customFormat="1" ht="24" customHeight="1" thickBot="1">
      <c r="A798" s="1860">
        <v>2</v>
      </c>
      <c r="B798" s="1860"/>
      <c r="C798" s="1860"/>
      <c r="D798" s="1860"/>
      <c r="E798" s="1964"/>
      <c r="F798" s="1842"/>
      <c r="G798" s="1849"/>
      <c r="H798" s="1597"/>
      <c r="I798" s="1795"/>
      <c r="J798" s="80" t="s">
        <v>84</v>
      </c>
      <c r="K798" s="824"/>
      <c r="L798" s="814">
        <f>L789-L790</f>
        <v>1770</v>
      </c>
      <c r="M798" s="814">
        <f t="shared" ref="M798:P798" si="433">M789-M790</f>
        <v>2210</v>
      </c>
      <c r="N798" s="814">
        <f t="shared" si="433"/>
        <v>2210</v>
      </c>
      <c r="O798" s="814">
        <f t="shared" si="433"/>
        <v>5400</v>
      </c>
      <c r="P798" s="814">
        <f t="shared" si="433"/>
        <v>5400</v>
      </c>
      <c r="Q798" s="1518">
        <f t="shared" ref="Q798:U798" si="434">Q789-Q790</f>
        <v>336300</v>
      </c>
      <c r="R798" s="1518">
        <f t="shared" si="434"/>
        <v>419900</v>
      </c>
      <c r="S798" s="1518">
        <f t="shared" si="434"/>
        <v>419900</v>
      </c>
      <c r="T798" s="1518">
        <f t="shared" si="434"/>
        <v>1026000</v>
      </c>
      <c r="U798" s="1518">
        <f t="shared" si="434"/>
        <v>1026000</v>
      </c>
      <c r="V798" s="1518">
        <f t="shared" si="417"/>
        <v>3228100</v>
      </c>
    </row>
    <row r="799" spans="1:22" s="64" customFormat="1" ht="24" customHeight="1">
      <c r="A799" s="1860">
        <v>2</v>
      </c>
      <c r="B799" s="1860">
        <v>2</v>
      </c>
      <c r="C799" s="1860">
        <v>2</v>
      </c>
      <c r="D799" s="1860">
        <v>5</v>
      </c>
      <c r="E799" s="1963" t="s">
        <v>136</v>
      </c>
      <c r="F799" s="1854" t="str">
        <f>CONCATENATE(A799,".",B799,".",C799,".",D799,)</f>
        <v>2.2.2.5</v>
      </c>
      <c r="G799" s="1848" t="s">
        <v>1072</v>
      </c>
      <c r="H799" s="1628" t="s">
        <v>1024</v>
      </c>
      <c r="I799" s="1821" t="s">
        <v>1023</v>
      </c>
      <c r="J799" s="36" t="s">
        <v>79</v>
      </c>
      <c r="K799" s="896"/>
      <c r="L799" s="896">
        <f>'Budget Assumption_Lab Comp2'!K321</f>
        <v>7080</v>
      </c>
      <c r="M799" s="896">
        <f>'Budget Assumption_Lab Comp2'!L321</f>
        <v>8840</v>
      </c>
      <c r="N799" s="896">
        <f>'Budget Assumption_Lab Comp2'!M321</f>
        <v>8840</v>
      </c>
      <c r="O799" s="896">
        <f>'Budget Assumption_Lab Comp2'!N321</f>
        <v>21600</v>
      </c>
      <c r="P799" s="896">
        <f>'Budget Assumption_Lab Comp2'!O321</f>
        <v>21600</v>
      </c>
      <c r="Q799" s="1517">
        <f>L799*H804</f>
        <v>361080</v>
      </c>
      <c r="R799" s="1517">
        <f>M799*H804</f>
        <v>450840</v>
      </c>
      <c r="S799" s="1517">
        <f>N799*H804</f>
        <v>450840</v>
      </c>
      <c r="T799" s="1517">
        <f>O799*H804</f>
        <v>1101600</v>
      </c>
      <c r="U799" s="1517">
        <f>P799*H804</f>
        <v>1101600</v>
      </c>
      <c r="V799" s="1517">
        <f t="shared" ref="V799:V818" si="435">SUM(Q799:U799)</f>
        <v>3465960</v>
      </c>
    </row>
    <row r="800" spans="1:22" s="39" customFormat="1" ht="24" customHeight="1">
      <c r="A800" s="1860">
        <v>2</v>
      </c>
      <c r="B800" s="1860"/>
      <c r="C800" s="1860"/>
      <c r="D800" s="1860"/>
      <c r="E800" s="1962"/>
      <c r="F800" s="1841"/>
      <c r="G800" s="1848"/>
      <c r="H800" s="1601"/>
      <c r="I800" s="1794"/>
      <c r="J800" s="40" t="s">
        <v>80</v>
      </c>
      <c r="K800" s="91"/>
      <c r="L800" s="41">
        <f t="shared" ref="L800:N800" si="436">SUM(L801:L807)</f>
        <v>0</v>
      </c>
      <c r="M800" s="41">
        <f t="shared" si="436"/>
        <v>0</v>
      </c>
      <c r="N800" s="41">
        <f t="shared" si="436"/>
        <v>0</v>
      </c>
      <c r="O800" s="41">
        <f>SUM(O801:O807)</f>
        <v>0</v>
      </c>
      <c r="P800" s="41">
        <f t="shared" ref="P800" si="437">SUM(P801:P807)</f>
        <v>0</v>
      </c>
      <c r="Q800" s="1517">
        <f t="shared" ref="Q800:U800" si="438">SUM(Q801:Q807)</f>
        <v>0</v>
      </c>
      <c r="R800" s="1517">
        <f t="shared" si="438"/>
        <v>0</v>
      </c>
      <c r="S800" s="1517">
        <f t="shared" si="438"/>
        <v>0</v>
      </c>
      <c r="T800" s="1517">
        <f t="shared" si="438"/>
        <v>0</v>
      </c>
      <c r="U800" s="1517">
        <f t="shared" si="438"/>
        <v>0</v>
      </c>
      <c r="V800" s="1517">
        <f t="shared" si="435"/>
        <v>0</v>
      </c>
    </row>
    <row r="801" spans="1:22" s="39" customFormat="1" ht="24" customHeight="1">
      <c r="A801" s="1860">
        <v>2</v>
      </c>
      <c r="B801" s="1860"/>
      <c r="C801" s="1860"/>
      <c r="D801" s="1860"/>
      <c r="E801" s="1962"/>
      <c r="F801" s="1841"/>
      <c r="G801" s="1848"/>
      <c r="H801" s="1601"/>
      <c r="I801" s="1794"/>
      <c r="J801" s="40" t="s">
        <v>429</v>
      </c>
      <c r="K801" s="91"/>
      <c r="L801" s="41">
        <v>0</v>
      </c>
      <c r="M801" s="41">
        <v>0</v>
      </c>
      <c r="N801" s="41">
        <v>0</v>
      </c>
      <c r="O801" s="41">
        <v>0</v>
      </c>
      <c r="P801" s="41">
        <v>0</v>
      </c>
      <c r="Q801" s="1517">
        <f>L801*$H804</f>
        <v>0</v>
      </c>
      <c r="R801" s="1517">
        <f>M801*$H804</f>
        <v>0</v>
      </c>
      <c r="S801" s="1517">
        <f>N801*$H804</f>
        <v>0</v>
      </c>
      <c r="T801" s="1517">
        <f>O801*$H804</f>
        <v>0</v>
      </c>
      <c r="U801" s="1517">
        <f>P801*$H804</f>
        <v>0</v>
      </c>
      <c r="V801" s="1517">
        <f t="shared" si="435"/>
        <v>0</v>
      </c>
    </row>
    <row r="802" spans="1:22" s="39" customFormat="1" ht="24" customHeight="1">
      <c r="A802" s="1860">
        <v>2</v>
      </c>
      <c r="B802" s="1860"/>
      <c r="C802" s="1860"/>
      <c r="D802" s="1860"/>
      <c r="E802" s="1962"/>
      <c r="F802" s="1841"/>
      <c r="G802" s="1848"/>
      <c r="H802" s="1601"/>
      <c r="I802" s="1794"/>
      <c r="J802" s="40" t="s">
        <v>133</v>
      </c>
      <c r="K802" s="91"/>
      <c r="L802" s="41">
        <v>0</v>
      </c>
      <c r="M802" s="41">
        <v>0</v>
      </c>
      <c r="N802" s="41">
        <v>0</v>
      </c>
      <c r="O802" s="41">
        <v>0</v>
      </c>
      <c r="P802" s="41">
        <v>0</v>
      </c>
      <c r="Q802" s="1517">
        <f>L802*$H804</f>
        <v>0</v>
      </c>
      <c r="R802" s="1517">
        <f>M802*$H804</f>
        <v>0</v>
      </c>
      <c r="S802" s="1517">
        <f>N802*$H804</f>
        <v>0</v>
      </c>
      <c r="T802" s="1517">
        <f>O802*$H804</f>
        <v>0</v>
      </c>
      <c r="U802" s="1517">
        <f>P802*$H804</f>
        <v>0</v>
      </c>
      <c r="V802" s="1517">
        <f t="shared" si="435"/>
        <v>0</v>
      </c>
    </row>
    <row r="803" spans="1:22" s="39" customFormat="1" ht="24" customHeight="1">
      <c r="A803" s="1860">
        <v>2</v>
      </c>
      <c r="B803" s="1860"/>
      <c r="C803" s="1860"/>
      <c r="D803" s="1860"/>
      <c r="E803" s="1962"/>
      <c r="F803" s="1841"/>
      <c r="G803" s="1848"/>
      <c r="H803" s="1601"/>
      <c r="I803" s="1794"/>
      <c r="J803" s="40" t="s">
        <v>81</v>
      </c>
      <c r="K803" s="91"/>
      <c r="L803" s="41">
        <v>0</v>
      </c>
      <c r="M803" s="41">
        <v>0</v>
      </c>
      <c r="N803" s="41">
        <v>0</v>
      </c>
      <c r="O803" s="41">
        <v>0</v>
      </c>
      <c r="P803" s="41">
        <v>0</v>
      </c>
      <c r="Q803" s="1517">
        <f>L803*$H804</f>
        <v>0</v>
      </c>
      <c r="R803" s="1517">
        <f>M803*$H804</f>
        <v>0</v>
      </c>
      <c r="S803" s="1517">
        <f>N803*$H804</f>
        <v>0</v>
      </c>
      <c r="T803" s="1517">
        <f>O803*$H804</f>
        <v>0</v>
      </c>
      <c r="U803" s="1517">
        <f>P803*$H804</f>
        <v>0</v>
      </c>
      <c r="V803" s="1517">
        <f t="shared" si="435"/>
        <v>0</v>
      </c>
    </row>
    <row r="804" spans="1:22" s="39" customFormat="1" ht="24" customHeight="1">
      <c r="A804" s="1860">
        <v>2</v>
      </c>
      <c r="B804" s="1860"/>
      <c r="C804" s="1860"/>
      <c r="D804" s="1860"/>
      <c r="E804" s="1962"/>
      <c r="F804" s="1841"/>
      <c r="G804" s="1848"/>
      <c r="H804" s="1595">
        <v>51</v>
      </c>
      <c r="I804" s="1794"/>
      <c r="J804" s="40" t="s">
        <v>134</v>
      </c>
      <c r="K804" s="91"/>
      <c r="L804" s="41">
        <v>0</v>
      </c>
      <c r="M804" s="41">
        <v>0</v>
      </c>
      <c r="N804" s="41">
        <v>0</v>
      </c>
      <c r="O804" s="41">
        <f>O775*30%</f>
        <v>0</v>
      </c>
      <c r="P804" s="41">
        <f>P775*30%</f>
        <v>0</v>
      </c>
      <c r="Q804" s="1517">
        <f>L804*$H804</f>
        <v>0</v>
      </c>
      <c r="R804" s="1517">
        <f>M804*$H804</f>
        <v>0</v>
      </c>
      <c r="S804" s="1517">
        <f>N804*$H804</f>
        <v>0</v>
      </c>
      <c r="T804" s="1517">
        <f>O804*$H804</f>
        <v>0</v>
      </c>
      <c r="U804" s="1517">
        <f>P804*$H804</f>
        <v>0</v>
      </c>
      <c r="V804" s="1517">
        <f t="shared" si="435"/>
        <v>0</v>
      </c>
    </row>
    <row r="805" spans="1:22" s="39" customFormat="1" ht="24" customHeight="1">
      <c r="A805" s="1860">
        <v>2</v>
      </c>
      <c r="B805" s="1860"/>
      <c r="C805" s="1860"/>
      <c r="D805" s="1860"/>
      <c r="E805" s="1962"/>
      <c r="F805" s="1841"/>
      <c r="G805" s="1848"/>
      <c r="H805" s="1596"/>
      <c r="I805" s="1794"/>
      <c r="J805" s="40" t="s">
        <v>82</v>
      </c>
      <c r="K805" s="91"/>
      <c r="L805" s="41">
        <v>0</v>
      </c>
      <c r="M805" s="41">
        <v>0</v>
      </c>
      <c r="N805" s="41">
        <v>0</v>
      </c>
      <c r="O805" s="41">
        <v>0</v>
      </c>
      <c r="P805" s="41">
        <v>0</v>
      </c>
      <c r="Q805" s="1517">
        <f>L805*$H804</f>
        <v>0</v>
      </c>
      <c r="R805" s="1517">
        <f>M805*$H804</f>
        <v>0</v>
      </c>
      <c r="S805" s="1517">
        <f>N805*$H804</f>
        <v>0</v>
      </c>
      <c r="T805" s="1517">
        <f>O805*$H804</f>
        <v>0</v>
      </c>
      <c r="U805" s="1517">
        <f>P805*$H804</f>
        <v>0</v>
      </c>
      <c r="V805" s="1517">
        <f t="shared" si="435"/>
        <v>0</v>
      </c>
    </row>
    <row r="806" spans="1:22" s="39" customFormat="1" ht="24" customHeight="1">
      <c r="A806" s="1860">
        <v>2</v>
      </c>
      <c r="B806" s="1860"/>
      <c r="C806" s="1860"/>
      <c r="D806" s="1860"/>
      <c r="E806" s="1962"/>
      <c r="F806" s="1841"/>
      <c r="G806" s="1848"/>
      <c r="H806" s="1596"/>
      <c r="I806" s="1794"/>
      <c r="J806" s="40" t="s">
        <v>90</v>
      </c>
      <c r="K806" s="91"/>
      <c r="L806" s="41">
        <v>0</v>
      </c>
      <c r="M806" s="41">
        <v>0</v>
      </c>
      <c r="N806" s="41">
        <v>0</v>
      </c>
      <c r="O806" s="41">
        <v>0</v>
      </c>
      <c r="P806" s="41">
        <v>0</v>
      </c>
      <c r="Q806" s="1517">
        <f>L806*$H804</f>
        <v>0</v>
      </c>
      <c r="R806" s="1517">
        <f>M806*$H804</f>
        <v>0</v>
      </c>
      <c r="S806" s="1517">
        <f>N806*$H804</f>
        <v>0</v>
      </c>
      <c r="T806" s="1517">
        <f>O806*$H804</f>
        <v>0</v>
      </c>
      <c r="U806" s="1517">
        <f>P806*$H804</f>
        <v>0</v>
      </c>
      <c r="V806" s="1517">
        <f t="shared" si="435"/>
        <v>0</v>
      </c>
    </row>
    <row r="807" spans="1:22" s="39" customFormat="1" ht="24" customHeight="1">
      <c r="A807" s="1860">
        <v>2</v>
      </c>
      <c r="B807" s="1860"/>
      <c r="C807" s="1860"/>
      <c r="D807" s="1860"/>
      <c r="E807" s="1962"/>
      <c r="F807" s="1841"/>
      <c r="G807" s="1848"/>
      <c r="H807" s="1596"/>
      <c r="I807" s="1794"/>
      <c r="J807" s="40" t="s">
        <v>83</v>
      </c>
      <c r="K807" s="91"/>
      <c r="L807" s="41">
        <v>0</v>
      </c>
      <c r="M807" s="41">
        <v>0</v>
      </c>
      <c r="N807" s="41">
        <v>0</v>
      </c>
      <c r="O807" s="41">
        <v>0</v>
      </c>
      <c r="P807" s="41">
        <v>0</v>
      </c>
      <c r="Q807" s="1517">
        <f>L807*$H804</f>
        <v>0</v>
      </c>
      <c r="R807" s="1517">
        <f>M807*$H804</f>
        <v>0</v>
      </c>
      <c r="S807" s="1517">
        <f>N807*$H804</f>
        <v>0</v>
      </c>
      <c r="T807" s="1517">
        <f>O807*$H804</f>
        <v>0</v>
      </c>
      <c r="U807" s="1517">
        <f>P807*$H804</f>
        <v>0</v>
      </c>
      <c r="V807" s="1517">
        <f t="shared" si="435"/>
        <v>0</v>
      </c>
    </row>
    <row r="808" spans="1:22" s="39" customFormat="1" ht="24" customHeight="1" thickBot="1">
      <c r="A808" s="1860">
        <v>2</v>
      </c>
      <c r="B808" s="1860"/>
      <c r="C808" s="1860"/>
      <c r="D808" s="1860"/>
      <c r="E808" s="1964"/>
      <c r="F808" s="1842"/>
      <c r="G808" s="1849"/>
      <c r="H808" s="1597"/>
      <c r="I808" s="1795"/>
      <c r="J808" s="80" t="s">
        <v>84</v>
      </c>
      <c r="K808" s="824"/>
      <c r="L808" s="814">
        <f>L799-L800</f>
        <v>7080</v>
      </c>
      <c r="M808" s="814">
        <f t="shared" ref="M808:P808" si="439">M799-M800</f>
        <v>8840</v>
      </c>
      <c r="N808" s="814">
        <f t="shared" si="439"/>
        <v>8840</v>
      </c>
      <c r="O808" s="814">
        <f t="shared" si="439"/>
        <v>21600</v>
      </c>
      <c r="P808" s="814">
        <f t="shared" si="439"/>
        <v>21600</v>
      </c>
      <c r="Q808" s="1518">
        <f t="shared" ref="Q808:U808" si="440">Q799-Q800</f>
        <v>361080</v>
      </c>
      <c r="R808" s="1518">
        <f t="shared" si="440"/>
        <v>450840</v>
      </c>
      <c r="S808" s="1518">
        <f t="shared" si="440"/>
        <v>450840</v>
      </c>
      <c r="T808" s="1518">
        <f t="shared" si="440"/>
        <v>1101600</v>
      </c>
      <c r="U808" s="1518">
        <f t="shared" si="440"/>
        <v>1101600</v>
      </c>
      <c r="V808" s="1518">
        <f t="shared" si="435"/>
        <v>3465960</v>
      </c>
    </row>
    <row r="809" spans="1:22" s="64" customFormat="1" ht="24" customHeight="1">
      <c r="A809" s="1860">
        <v>2</v>
      </c>
      <c r="B809" s="1860">
        <v>2</v>
      </c>
      <c r="C809" s="1860">
        <v>2</v>
      </c>
      <c r="D809" s="1860">
        <v>6</v>
      </c>
      <c r="E809" s="1839" t="s">
        <v>136</v>
      </c>
      <c r="F809" s="1854" t="str">
        <f>CONCATENATE(A809,".",B809,".",C809,".",D809,)</f>
        <v>2.2.2.6</v>
      </c>
      <c r="G809" s="1848" t="s">
        <v>1073</v>
      </c>
      <c r="H809" s="1628" t="s">
        <v>1025</v>
      </c>
      <c r="I809" s="1794" t="s">
        <v>1023</v>
      </c>
      <c r="J809" s="36" t="s">
        <v>79</v>
      </c>
      <c r="K809" s="896"/>
      <c r="L809" s="896">
        <f>'Budget Assumption_Lab Comp2'!K321</f>
        <v>7080</v>
      </c>
      <c r="M809" s="896">
        <f>'Budget Assumption_Lab Comp2'!L321</f>
        <v>8840</v>
      </c>
      <c r="N809" s="896">
        <f>'Budget Assumption_Lab Comp2'!M321</f>
        <v>8840</v>
      </c>
      <c r="O809" s="896">
        <f>'Budget Assumption_Lab Comp2'!N321</f>
        <v>21600</v>
      </c>
      <c r="P809" s="896">
        <f>'Budget Assumption_Lab Comp2'!O321</f>
        <v>21600</v>
      </c>
      <c r="Q809" s="1517">
        <f>L809*H814</f>
        <v>764640</v>
      </c>
      <c r="R809" s="1517">
        <f>M809*H814</f>
        <v>954720</v>
      </c>
      <c r="S809" s="1517">
        <f>N809*H814</f>
        <v>954720</v>
      </c>
      <c r="T809" s="1517">
        <f>O809*H814</f>
        <v>2332800</v>
      </c>
      <c r="U809" s="1517">
        <f>P809*H814</f>
        <v>2332800</v>
      </c>
      <c r="V809" s="1517">
        <f t="shared" si="435"/>
        <v>7339680</v>
      </c>
    </row>
    <row r="810" spans="1:22" s="39" customFormat="1" ht="24" customHeight="1">
      <c r="A810" s="1860">
        <v>2</v>
      </c>
      <c r="B810" s="1860"/>
      <c r="C810" s="1860"/>
      <c r="D810" s="1860"/>
      <c r="E810" s="1839"/>
      <c r="F810" s="1841"/>
      <c r="G810" s="1848"/>
      <c r="H810" s="1601"/>
      <c r="I810" s="1794"/>
      <c r="J810" s="40" t="s">
        <v>80</v>
      </c>
      <c r="K810" s="91"/>
      <c r="L810" s="41">
        <f t="shared" ref="L810:U810" si="441">SUM(L811:L817)</f>
        <v>0</v>
      </c>
      <c r="M810" s="41">
        <f t="shared" si="441"/>
        <v>0</v>
      </c>
      <c r="N810" s="41">
        <f t="shared" si="441"/>
        <v>0</v>
      </c>
      <c r="O810" s="41">
        <f t="shared" si="441"/>
        <v>0</v>
      </c>
      <c r="P810" s="41">
        <f t="shared" si="441"/>
        <v>0</v>
      </c>
      <c r="Q810" s="1517">
        <f t="shared" si="441"/>
        <v>0</v>
      </c>
      <c r="R810" s="1517">
        <f t="shared" si="441"/>
        <v>0</v>
      </c>
      <c r="S810" s="1517">
        <f t="shared" si="441"/>
        <v>0</v>
      </c>
      <c r="T810" s="1517">
        <f t="shared" si="441"/>
        <v>0</v>
      </c>
      <c r="U810" s="1517">
        <f t="shared" si="441"/>
        <v>0</v>
      </c>
      <c r="V810" s="1517">
        <f t="shared" si="435"/>
        <v>0</v>
      </c>
    </row>
    <row r="811" spans="1:22" s="39" customFormat="1" ht="24" customHeight="1">
      <c r="A811" s="1860">
        <v>2</v>
      </c>
      <c r="B811" s="1860"/>
      <c r="C811" s="1860"/>
      <c r="D811" s="1860"/>
      <c r="E811" s="1839"/>
      <c r="F811" s="1841"/>
      <c r="G811" s="1848"/>
      <c r="H811" s="1601"/>
      <c r="I811" s="1794"/>
      <c r="J811" s="40" t="s">
        <v>429</v>
      </c>
      <c r="K811" s="91"/>
      <c r="L811" s="41">
        <v>0</v>
      </c>
      <c r="M811" s="41">
        <v>0</v>
      </c>
      <c r="N811" s="41">
        <v>0</v>
      </c>
      <c r="O811" s="41">
        <v>0</v>
      </c>
      <c r="P811" s="41">
        <v>0</v>
      </c>
      <c r="Q811" s="1517">
        <f>L811*$H814</f>
        <v>0</v>
      </c>
      <c r="R811" s="1517">
        <f>M811*$H814</f>
        <v>0</v>
      </c>
      <c r="S811" s="1517">
        <f>N811*$H814</f>
        <v>0</v>
      </c>
      <c r="T811" s="1517">
        <f>O811*$H814</f>
        <v>0</v>
      </c>
      <c r="U811" s="1517">
        <f>P811*$H814</f>
        <v>0</v>
      </c>
      <c r="V811" s="1517">
        <f t="shared" si="435"/>
        <v>0</v>
      </c>
    </row>
    <row r="812" spans="1:22" s="39" customFormat="1" ht="24" customHeight="1">
      <c r="A812" s="1860">
        <v>2</v>
      </c>
      <c r="B812" s="1860"/>
      <c r="C812" s="1860"/>
      <c r="D812" s="1860"/>
      <c r="E812" s="1839"/>
      <c r="F812" s="1841"/>
      <c r="G812" s="1848"/>
      <c r="H812" s="1601"/>
      <c r="I812" s="1794"/>
      <c r="J812" s="40" t="s">
        <v>133</v>
      </c>
      <c r="K812" s="91"/>
      <c r="L812" s="41">
        <v>0</v>
      </c>
      <c r="M812" s="41">
        <v>0</v>
      </c>
      <c r="N812" s="41">
        <v>0</v>
      </c>
      <c r="O812" s="41">
        <v>0</v>
      </c>
      <c r="P812" s="41">
        <v>0</v>
      </c>
      <c r="Q812" s="1517">
        <f>L812*$H814</f>
        <v>0</v>
      </c>
      <c r="R812" s="1517">
        <f>M812*$H814</f>
        <v>0</v>
      </c>
      <c r="S812" s="1517">
        <f>N812*$H814</f>
        <v>0</v>
      </c>
      <c r="T812" s="1517">
        <f>O812*$H814</f>
        <v>0</v>
      </c>
      <c r="U812" s="1517">
        <f>P812*$H814</f>
        <v>0</v>
      </c>
      <c r="V812" s="1517">
        <f t="shared" si="435"/>
        <v>0</v>
      </c>
    </row>
    <row r="813" spans="1:22" s="39" customFormat="1" ht="24" customHeight="1">
      <c r="A813" s="1860">
        <v>2</v>
      </c>
      <c r="B813" s="1860"/>
      <c r="C813" s="1860"/>
      <c r="D813" s="1860"/>
      <c r="E813" s="1839"/>
      <c r="F813" s="1841"/>
      <c r="G813" s="1848"/>
      <c r="H813" s="1601"/>
      <c r="I813" s="1794"/>
      <c r="J813" s="40" t="s">
        <v>81</v>
      </c>
      <c r="K813" s="91"/>
      <c r="L813" s="41">
        <v>0</v>
      </c>
      <c r="M813" s="41">
        <v>0</v>
      </c>
      <c r="N813" s="41">
        <v>0</v>
      </c>
      <c r="O813" s="41">
        <v>0</v>
      </c>
      <c r="P813" s="41">
        <v>0</v>
      </c>
      <c r="Q813" s="1517">
        <f>L813*$H814</f>
        <v>0</v>
      </c>
      <c r="R813" s="1517">
        <f>M813*$H814</f>
        <v>0</v>
      </c>
      <c r="S813" s="1517">
        <f>N813*$H814</f>
        <v>0</v>
      </c>
      <c r="T813" s="1517">
        <f>O813*$H814</f>
        <v>0</v>
      </c>
      <c r="U813" s="1517">
        <f>P813*$H814</f>
        <v>0</v>
      </c>
      <c r="V813" s="1517">
        <f t="shared" si="435"/>
        <v>0</v>
      </c>
    </row>
    <row r="814" spans="1:22" s="39" customFormat="1" ht="24" customHeight="1">
      <c r="A814" s="1860">
        <v>2</v>
      </c>
      <c r="B814" s="1860"/>
      <c r="C814" s="1860"/>
      <c r="D814" s="1860"/>
      <c r="E814" s="1839"/>
      <c r="F814" s="1841"/>
      <c r="G814" s="1848"/>
      <c r="H814" s="1595">
        <f>'Budget Assumption_Lab Comp2'!R321</f>
        <v>108</v>
      </c>
      <c r="I814" s="1794"/>
      <c r="J814" s="40" t="s">
        <v>134</v>
      </c>
      <c r="K814" s="91"/>
      <c r="L814" s="41">
        <v>0</v>
      </c>
      <c r="M814" s="41">
        <v>0</v>
      </c>
      <c r="N814" s="41">
        <v>0</v>
      </c>
      <c r="O814" s="41">
        <v>0</v>
      </c>
      <c r="P814" s="41">
        <v>0</v>
      </c>
      <c r="Q814" s="1517">
        <f>L814*$H814</f>
        <v>0</v>
      </c>
      <c r="R814" s="1517">
        <f>M814*$H814</f>
        <v>0</v>
      </c>
      <c r="S814" s="1517">
        <f>N814*$H814</f>
        <v>0</v>
      </c>
      <c r="T814" s="1517">
        <f>O814*$H814</f>
        <v>0</v>
      </c>
      <c r="U814" s="1517">
        <f>P814*$H814</f>
        <v>0</v>
      </c>
      <c r="V814" s="1517">
        <f t="shared" si="435"/>
        <v>0</v>
      </c>
    </row>
    <row r="815" spans="1:22" s="39" customFormat="1" ht="24" customHeight="1">
      <c r="A815" s="1860">
        <v>2</v>
      </c>
      <c r="B815" s="1860"/>
      <c r="C815" s="1860"/>
      <c r="D815" s="1860"/>
      <c r="E815" s="1839"/>
      <c r="F815" s="1841"/>
      <c r="G815" s="1848"/>
      <c r="H815" s="1596"/>
      <c r="I815" s="1794"/>
      <c r="J815" s="40" t="s">
        <v>82</v>
      </c>
      <c r="K815" s="91"/>
      <c r="L815" s="41">
        <v>0</v>
      </c>
      <c r="M815" s="41">
        <v>0</v>
      </c>
      <c r="N815" s="41">
        <v>0</v>
      </c>
      <c r="O815" s="41">
        <v>0</v>
      </c>
      <c r="P815" s="41">
        <v>0</v>
      </c>
      <c r="Q815" s="1517">
        <f>L815*$H814</f>
        <v>0</v>
      </c>
      <c r="R815" s="1517">
        <f>M815*$H814</f>
        <v>0</v>
      </c>
      <c r="S815" s="1517">
        <f>N815*$H814</f>
        <v>0</v>
      </c>
      <c r="T815" s="1517">
        <f>O815*$H814</f>
        <v>0</v>
      </c>
      <c r="U815" s="1517">
        <f>P815*$H814</f>
        <v>0</v>
      </c>
      <c r="V815" s="1517">
        <f t="shared" si="435"/>
        <v>0</v>
      </c>
    </row>
    <row r="816" spans="1:22" s="39" customFormat="1" ht="24" customHeight="1">
      <c r="A816" s="1860">
        <v>2</v>
      </c>
      <c r="B816" s="1860"/>
      <c r="C816" s="1860"/>
      <c r="D816" s="1860"/>
      <c r="E816" s="1839"/>
      <c r="F816" s="1841"/>
      <c r="G816" s="1848"/>
      <c r="H816" s="1596"/>
      <c r="I816" s="1794"/>
      <c r="J816" s="40" t="s">
        <v>90</v>
      </c>
      <c r="K816" s="91"/>
      <c r="L816" s="41">
        <v>0</v>
      </c>
      <c r="M816" s="41">
        <v>0</v>
      </c>
      <c r="N816" s="41">
        <v>0</v>
      </c>
      <c r="O816" s="41">
        <v>0</v>
      </c>
      <c r="P816" s="41">
        <v>0</v>
      </c>
      <c r="Q816" s="1517">
        <f>L816*$H814</f>
        <v>0</v>
      </c>
      <c r="R816" s="1517">
        <f>M816*$H814</f>
        <v>0</v>
      </c>
      <c r="S816" s="1517">
        <f>N816*$H814</f>
        <v>0</v>
      </c>
      <c r="T816" s="1517">
        <f>O816*$H814</f>
        <v>0</v>
      </c>
      <c r="U816" s="1517">
        <f>P816*$H814</f>
        <v>0</v>
      </c>
      <c r="V816" s="1517">
        <f t="shared" si="435"/>
        <v>0</v>
      </c>
    </row>
    <row r="817" spans="1:22" s="39" customFormat="1" ht="24" customHeight="1">
      <c r="A817" s="1860">
        <v>2</v>
      </c>
      <c r="B817" s="1860"/>
      <c r="C817" s="1860"/>
      <c r="D817" s="1860"/>
      <c r="E817" s="1839"/>
      <c r="F817" s="1841"/>
      <c r="G817" s="1848"/>
      <c r="H817" s="1596"/>
      <c r="I817" s="1794"/>
      <c r="J817" s="40" t="s">
        <v>83</v>
      </c>
      <c r="K817" s="91"/>
      <c r="L817" s="41">
        <v>0</v>
      </c>
      <c r="M817" s="41">
        <v>0</v>
      </c>
      <c r="N817" s="41">
        <v>0</v>
      </c>
      <c r="O817" s="41">
        <v>0</v>
      </c>
      <c r="P817" s="41">
        <v>0</v>
      </c>
      <c r="Q817" s="1517">
        <f>L817*$H814</f>
        <v>0</v>
      </c>
      <c r="R817" s="1517">
        <f>M817*$H814</f>
        <v>0</v>
      </c>
      <c r="S817" s="1517">
        <f>N817*$H814</f>
        <v>0</v>
      </c>
      <c r="T817" s="1517">
        <f>O817*$H814</f>
        <v>0</v>
      </c>
      <c r="U817" s="1517">
        <f>P817*$H814</f>
        <v>0</v>
      </c>
      <c r="V817" s="1517">
        <f t="shared" si="435"/>
        <v>0</v>
      </c>
    </row>
    <row r="818" spans="1:22" s="39" customFormat="1" ht="24" customHeight="1" thickBot="1">
      <c r="A818" s="1860">
        <v>2</v>
      </c>
      <c r="B818" s="1860"/>
      <c r="C818" s="1860"/>
      <c r="D818" s="1860"/>
      <c r="E818" s="1862"/>
      <c r="F818" s="1842"/>
      <c r="G818" s="1849"/>
      <c r="H818" s="1597"/>
      <c r="I818" s="1795"/>
      <c r="J818" s="80" t="s">
        <v>84</v>
      </c>
      <c r="K818" s="824"/>
      <c r="L818" s="814">
        <f>L809-L810</f>
        <v>7080</v>
      </c>
      <c r="M818" s="814">
        <f t="shared" ref="M818:U818" si="442">M809-M810</f>
        <v>8840</v>
      </c>
      <c r="N818" s="814">
        <f t="shared" si="442"/>
        <v>8840</v>
      </c>
      <c r="O818" s="814">
        <f t="shared" si="442"/>
        <v>21600</v>
      </c>
      <c r="P818" s="814">
        <f t="shared" si="442"/>
        <v>21600</v>
      </c>
      <c r="Q818" s="1518">
        <f t="shared" si="442"/>
        <v>764640</v>
      </c>
      <c r="R818" s="1518">
        <f t="shared" si="442"/>
        <v>954720</v>
      </c>
      <c r="S818" s="1518">
        <f t="shared" si="442"/>
        <v>954720</v>
      </c>
      <c r="T818" s="1518">
        <f t="shared" si="442"/>
        <v>2332800</v>
      </c>
      <c r="U818" s="1518">
        <f t="shared" si="442"/>
        <v>2332800</v>
      </c>
      <c r="V818" s="1518">
        <f t="shared" si="435"/>
        <v>7339680</v>
      </c>
    </row>
    <row r="819" spans="1:22" s="39" customFormat="1" ht="24" customHeight="1">
      <c r="A819" s="75">
        <v>2</v>
      </c>
      <c r="B819" s="75">
        <v>2</v>
      </c>
      <c r="C819" s="75">
        <v>3</v>
      </c>
      <c r="D819" s="75"/>
      <c r="E819" s="74" t="s">
        <v>13</v>
      </c>
      <c r="F819" s="854" t="str">
        <f>CONCATENATE(A819,".",B819,".",C819,)</f>
        <v>2.2.3</v>
      </c>
      <c r="G819" s="84" t="s">
        <v>58</v>
      </c>
      <c r="H819" s="68"/>
      <c r="I819" s="68"/>
      <c r="J819" s="918"/>
      <c r="K819" s="66"/>
      <c r="L819" s="382"/>
      <c r="M819" s="382"/>
      <c r="N819" s="382"/>
      <c r="O819" s="382"/>
      <c r="P819" s="382"/>
      <c r="Q819" s="1520">
        <f>Q821+Q831+Q841+Q851+Q861+Q871+Q881+Q891+Q901</f>
        <v>40075371.459999993</v>
      </c>
      <c r="R819" s="1520">
        <f t="shared" ref="R819:U819" si="443">R821+R831+R841+R851+R861+R871+R881+R891+R901</f>
        <v>43886198.25999999</v>
      </c>
      <c r="S819" s="1520">
        <f t="shared" si="443"/>
        <v>47697025.059999995</v>
      </c>
      <c r="T819" s="1520">
        <f t="shared" si="443"/>
        <v>51507851.859999992</v>
      </c>
      <c r="U819" s="1520">
        <f t="shared" si="443"/>
        <v>55378728.052000009</v>
      </c>
      <c r="V819" s="1520">
        <f t="shared" ref="V819:V850" si="444">SUM(Q819:U819)</f>
        <v>238545174.69199997</v>
      </c>
    </row>
    <row r="820" spans="1:22" s="45" customFormat="1" ht="24" customHeight="1">
      <c r="A820" s="1860">
        <v>2</v>
      </c>
      <c r="B820" s="1860">
        <v>2</v>
      </c>
      <c r="C820" s="1860">
        <v>3</v>
      </c>
      <c r="D820" s="1860">
        <v>1</v>
      </c>
      <c r="E820" s="1839" t="s">
        <v>49</v>
      </c>
      <c r="F820" s="1841" t="str">
        <f>CONCATENATE(A820,".",B820,".",C820,".",D820,)</f>
        <v>2.2.3.1</v>
      </c>
      <c r="G820" s="1664" t="s">
        <v>23</v>
      </c>
      <c r="H820" s="1601" t="s">
        <v>190</v>
      </c>
      <c r="I820" s="1717" t="s">
        <v>756</v>
      </c>
      <c r="J820" s="36" t="s">
        <v>79</v>
      </c>
      <c r="K820" s="919">
        <v>6690</v>
      </c>
      <c r="L820" s="893">
        <f>'Budget assumption'!E237</f>
        <v>8340</v>
      </c>
      <c r="M820" s="893">
        <f>'Budget assumption'!F237</f>
        <v>9165</v>
      </c>
      <c r="N820" s="893">
        <f>'Budget assumption'!G237</f>
        <v>9990</v>
      </c>
      <c r="O820" s="893">
        <f>'Budget assumption'!H237</f>
        <v>10815</v>
      </c>
      <c r="P820" s="893">
        <f>'Budget assumption'!I237</f>
        <v>11653</v>
      </c>
      <c r="Q820" s="1475">
        <f>L820*H825</f>
        <v>21750720</v>
      </c>
      <c r="R820" s="1475">
        <f>M820*H825</f>
        <v>23902320</v>
      </c>
      <c r="S820" s="1475">
        <f>N820*H825</f>
        <v>26053920</v>
      </c>
      <c r="T820" s="1475">
        <f>O820*H825</f>
        <v>28205520</v>
      </c>
      <c r="U820" s="1475">
        <f>P820*H825</f>
        <v>30391024</v>
      </c>
      <c r="V820" s="1475">
        <f t="shared" si="444"/>
        <v>130303504</v>
      </c>
    </row>
    <row r="821" spans="1:22" s="39" customFormat="1" ht="24" customHeight="1">
      <c r="A821" s="1860">
        <v>2</v>
      </c>
      <c r="B821" s="1860"/>
      <c r="C821" s="1860"/>
      <c r="D821" s="1860"/>
      <c r="E821" s="1839"/>
      <c r="F821" s="1841"/>
      <c r="G821" s="1665"/>
      <c r="H821" s="1601"/>
      <c r="I821" s="1718"/>
      <c r="J821" s="40" t="s">
        <v>80</v>
      </c>
      <c r="K821" s="42"/>
      <c r="L821" s="364">
        <f t="shared" ref="L821:U821" si="445">SUM(L822:L828)</f>
        <v>8340</v>
      </c>
      <c r="M821" s="364">
        <f t="shared" si="445"/>
        <v>9165</v>
      </c>
      <c r="N821" s="364">
        <f t="shared" si="445"/>
        <v>9990</v>
      </c>
      <c r="O821" s="364">
        <f t="shared" si="445"/>
        <v>10815</v>
      </c>
      <c r="P821" s="364">
        <f t="shared" si="445"/>
        <v>11653</v>
      </c>
      <c r="Q821" s="1475">
        <f t="shared" si="445"/>
        <v>21750720</v>
      </c>
      <c r="R821" s="1475">
        <f t="shared" si="445"/>
        <v>23902320</v>
      </c>
      <c r="S821" s="1475">
        <f t="shared" si="445"/>
        <v>26053920</v>
      </c>
      <c r="T821" s="1475">
        <f t="shared" si="445"/>
        <v>28205520</v>
      </c>
      <c r="U821" s="1475">
        <f t="shared" si="445"/>
        <v>30391024.000000007</v>
      </c>
      <c r="V821" s="1475">
        <f t="shared" si="444"/>
        <v>130303504</v>
      </c>
    </row>
    <row r="822" spans="1:22" s="39" customFormat="1" ht="24" customHeight="1">
      <c r="A822" s="1860">
        <v>2</v>
      </c>
      <c r="B822" s="1860"/>
      <c r="C822" s="1860"/>
      <c r="D822" s="1860"/>
      <c r="E822" s="1839"/>
      <c r="F822" s="1841"/>
      <c r="G822" s="1665"/>
      <c r="H822" s="1601"/>
      <c r="I822" s="1718"/>
      <c r="J822" s="40" t="s">
        <v>429</v>
      </c>
      <c r="K822" s="42"/>
      <c r="L822" s="364">
        <v>0</v>
      </c>
      <c r="M822" s="364">
        <v>0</v>
      </c>
      <c r="N822" s="364">
        <v>0</v>
      </c>
      <c r="O822" s="364">
        <v>0</v>
      </c>
      <c r="P822" s="364">
        <v>0</v>
      </c>
      <c r="Q822" s="1475">
        <f>L822*$H825</f>
        <v>0</v>
      </c>
      <c r="R822" s="1475">
        <f>M822*$H825</f>
        <v>0</v>
      </c>
      <c r="S822" s="1475">
        <f>N822*$H825</f>
        <v>0</v>
      </c>
      <c r="T822" s="1475">
        <f>O822*$H825</f>
        <v>0</v>
      </c>
      <c r="U822" s="1475">
        <f>P822*$H825</f>
        <v>0</v>
      </c>
      <c r="V822" s="1475">
        <f t="shared" si="444"/>
        <v>0</v>
      </c>
    </row>
    <row r="823" spans="1:22" s="39" customFormat="1" ht="24" customHeight="1">
      <c r="A823" s="1860">
        <v>2</v>
      </c>
      <c r="B823" s="1860"/>
      <c r="C823" s="1860"/>
      <c r="D823" s="1860"/>
      <c r="E823" s="1839"/>
      <c r="F823" s="1841"/>
      <c r="G823" s="1665"/>
      <c r="H823" s="1601"/>
      <c r="I823" s="1718"/>
      <c r="J823" s="40" t="s">
        <v>133</v>
      </c>
      <c r="K823" s="42"/>
      <c r="L823" s="364">
        <f>L820*30%</f>
        <v>2502</v>
      </c>
      <c r="M823" s="364">
        <f t="shared" ref="M823:P823" si="446">M820*30%</f>
        <v>2749.5</v>
      </c>
      <c r="N823" s="364">
        <f t="shared" si="446"/>
        <v>2997</v>
      </c>
      <c r="O823" s="364">
        <f t="shared" si="446"/>
        <v>3244.5</v>
      </c>
      <c r="P823" s="364">
        <f t="shared" si="446"/>
        <v>3495.9</v>
      </c>
      <c r="Q823" s="1475">
        <f>L823*$H825</f>
        <v>6525216</v>
      </c>
      <c r="R823" s="1475">
        <f>M823*$H825</f>
        <v>7170696</v>
      </c>
      <c r="S823" s="1475">
        <f>N823*$H825</f>
        <v>7816176</v>
      </c>
      <c r="T823" s="1475">
        <f>O823*$H825</f>
        <v>8461656</v>
      </c>
      <c r="U823" s="1475">
        <f>P823*$H825</f>
        <v>9117307.2000000011</v>
      </c>
      <c r="V823" s="1475">
        <f t="shared" si="444"/>
        <v>39091051.200000003</v>
      </c>
    </row>
    <row r="824" spans="1:22" s="39" customFormat="1" ht="24" customHeight="1">
      <c r="A824" s="1860">
        <v>2</v>
      </c>
      <c r="B824" s="1860"/>
      <c r="C824" s="1860"/>
      <c r="D824" s="1860"/>
      <c r="E824" s="1839"/>
      <c r="F824" s="1841"/>
      <c r="G824" s="1665"/>
      <c r="H824" s="1601"/>
      <c r="I824" s="1718"/>
      <c r="J824" s="40" t="s">
        <v>81</v>
      </c>
      <c r="K824" s="42"/>
      <c r="L824" s="364">
        <f>L820*2%</f>
        <v>166.8</v>
      </c>
      <c r="M824" s="364">
        <f t="shared" ref="M824:P824" si="447">M820*2%</f>
        <v>183.3</v>
      </c>
      <c r="N824" s="364">
        <f t="shared" si="447"/>
        <v>199.8</v>
      </c>
      <c r="O824" s="364">
        <f t="shared" si="447"/>
        <v>216.3</v>
      </c>
      <c r="P824" s="364">
        <f t="shared" si="447"/>
        <v>233.06</v>
      </c>
      <c r="Q824" s="1475">
        <f>L824*$H825</f>
        <v>435014.40000000002</v>
      </c>
      <c r="R824" s="1475">
        <f>M824*$H825</f>
        <v>478046.4</v>
      </c>
      <c r="S824" s="1475">
        <f>N824*$H825</f>
        <v>521078.4</v>
      </c>
      <c r="T824" s="1475">
        <f>O824*$H825</f>
        <v>564110.4</v>
      </c>
      <c r="U824" s="1475">
        <f>P824*$H825</f>
        <v>607820.48</v>
      </c>
      <c r="V824" s="1475">
        <f t="shared" si="444"/>
        <v>2606070.08</v>
      </c>
    </row>
    <row r="825" spans="1:22" s="39" customFormat="1" ht="24" customHeight="1">
      <c r="A825" s="1860">
        <v>2</v>
      </c>
      <c r="B825" s="1860"/>
      <c r="C825" s="1860"/>
      <c r="D825" s="1860"/>
      <c r="E825" s="1839"/>
      <c r="F825" s="1841"/>
      <c r="G825" s="1665"/>
      <c r="H825" s="1595">
        <f>'Budget assumption'!D246</f>
        <v>2608</v>
      </c>
      <c r="I825" s="1718"/>
      <c r="J825" s="40" t="s">
        <v>134</v>
      </c>
      <c r="K825" s="42"/>
      <c r="L825" s="364">
        <f>L820*68%</f>
        <v>5671.2000000000007</v>
      </c>
      <c r="M825" s="364">
        <f t="shared" ref="M825:P825" si="448">M820*68%</f>
        <v>6232.2000000000007</v>
      </c>
      <c r="N825" s="364">
        <f t="shared" si="448"/>
        <v>6793.2000000000007</v>
      </c>
      <c r="O825" s="364">
        <f t="shared" si="448"/>
        <v>7354.2000000000007</v>
      </c>
      <c r="P825" s="364">
        <f t="shared" si="448"/>
        <v>7924.0400000000009</v>
      </c>
      <c r="Q825" s="1475">
        <f>L825*$H825</f>
        <v>14790489.600000001</v>
      </c>
      <c r="R825" s="1475">
        <f>M825*$H825</f>
        <v>16253577.600000001</v>
      </c>
      <c r="S825" s="1475">
        <f>N825*$H825</f>
        <v>17716665.600000001</v>
      </c>
      <c r="T825" s="1475">
        <f>O825*$H825</f>
        <v>19179753.600000001</v>
      </c>
      <c r="U825" s="1475">
        <f>P825*$H825</f>
        <v>20665896.320000004</v>
      </c>
      <c r="V825" s="1475">
        <f t="shared" si="444"/>
        <v>88606382.720000014</v>
      </c>
    </row>
    <row r="826" spans="1:22" s="39" customFormat="1" ht="24" customHeight="1">
      <c r="A826" s="1860">
        <v>2</v>
      </c>
      <c r="B826" s="1860"/>
      <c r="C826" s="1860"/>
      <c r="D826" s="1860"/>
      <c r="E826" s="1839"/>
      <c r="F826" s="1841"/>
      <c r="G826" s="1665"/>
      <c r="H826" s="1596">
        <f>810*0.05</f>
        <v>40.5</v>
      </c>
      <c r="I826" s="1718"/>
      <c r="J826" s="40" t="s">
        <v>82</v>
      </c>
      <c r="K826" s="42"/>
      <c r="L826" s="364">
        <v>0</v>
      </c>
      <c r="M826" s="364">
        <v>0</v>
      </c>
      <c r="N826" s="364">
        <v>0</v>
      </c>
      <c r="O826" s="364">
        <v>0</v>
      </c>
      <c r="P826" s="364">
        <v>0</v>
      </c>
      <c r="Q826" s="1475">
        <f>L826*$H825</f>
        <v>0</v>
      </c>
      <c r="R826" s="1475">
        <f>M826*$H825</f>
        <v>0</v>
      </c>
      <c r="S826" s="1475">
        <f>N826*$H825</f>
        <v>0</v>
      </c>
      <c r="T826" s="1475">
        <f>O826*$H825</f>
        <v>0</v>
      </c>
      <c r="U826" s="1475">
        <f>P826*$H825</f>
        <v>0</v>
      </c>
      <c r="V826" s="1475">
        <f t="shared" si="444"/>
        <v>0</v>
      </c>
    </row>
    <row r="827" spans="1:22" s="39" customFormat="1" ht="24" customHeight="1">
      <c r="A827" s="1860">
        <v>2</v>
      </c>
      <c r="B827" s="1860"/>
      <c r="C827" s="1860"/>
      <c r="D827" s="1860"/>
      <c r="E827" s="1839"/>
      <c r="F827" s="1841"/>
      <c r="G827" s="1665"/>
      <c r="H827" s="1596"/>
      <c r="I827" s="1718"/>
      <c r="J827" s="40" t="s">
        <v>90</v>
      </c>
      <c r="K827" s="42"/>
      <c r="L827" s="364">
        <v>0</v>
      </c>
      <c r="M827" s="364">
        <v>0</v>
      </c>
      <c r="N827" s="364">
        <v>0</v>
      </c>
      <c r="O827" s="364">
        <v>0</v>
      </c>
      <c r="P827" s="364">
        <v>0</v>
      </c>
      <c r="Q827" s="1475">
        <f>L827*$H825</f>
        <v>0</v>
      </c>
      <c r="R827" s="1475">
        <f>M827*$H825</f>
        <v>0</v>
      </c>
      <c r="S827" s="1475">
        <f>N827*$H825</f>
        <v>0</v>
      </c>
      <c r="T827" s="1475">
        <f>O827*$H825</f>
        <v>0</v>
      </c>
      <c r="U827" s="1475">
        <f>P827*$H825</f>
        <v>0</v>
      </c>
      <c r="V827" s="1475">
        <f t="shared" si="444"/>
        <v>0</v>
      </c>
    </row>
    <row r="828" spans="1:22" s="39" customFormat="1" ht="24" customHeight="1">
      <c r="A828" s="1860">
        <v>2</v>
      </c>
      <c r="B828" s="1860"/>
      <c r="C828" s="1860"/>
      <c r="D828" s="1860"/>
      <c r="E828" s="1839"/>
      <c r="F828" s="1841"/>
      <c r="G828" s="1665"/>
      <c r="H828" s="1596"/>
      <c r="I828" s="1718"/>
      <c r="J828" s="40" t="s">
        <v>83</v>
      </c>
      <c r="K828" s="42"/>
      <c r="L828" s="364">
        <v>0</v>
      </c>
      <c r="M828" s="364">
        <v>0</v>
      </c>
      <c r="N828" s="364">
        <v>0</v>
      </c>
      <c r="O828" s="364">
        <v>0</v>
      </c>
      <c r="P828" s="364">
        <v>0</v>
      </c>
      <c r="Q828" s="1475">
        <f>L828*$H825</f>
        <v>0</v>
      </c>
      <c r="R828" s="1475">
        <f>M828*$H825</f>
        <v>0</v>
      </c>
      <c r="S828" s="1475">
        <f>N828*$H825</f>
        <v>0</v>
      </c>
      <c r="T828" s="1475">
        <f>O828*$H825</f>
        <v>0</v>
      </c>
      <c r="U828" s="1475">
        <f>P828*$H825</f>
        <v>0</v>
      </c>
      <c r="V828" s="1475">
        <f t="shared" si="444"/>
        <v>0</v>
      </c>
    </row>
    <row r="829" spans="1:22" s="39" customFormat="1" ht="24" customHeight="1">
      <c r="A829" s="1860">
        <v>2</v>
      </c>
      <c r="B829" s="1860"/>
      <c r="C829" s="1860"/>
      <c r="D829" s="1860"/>
      <c r="E829" s="1839"/>
      <c r="F829" s="1841"/>
      <c r="G829" s="1666"/>
      <c r="H829" s="1618"/>
      <c r="I829" s="1855"/>
      <c r="J829" s="40" t="s">
        <v>84</v>
      </c>
      <c r="K829" s="42"/>
      <c r="L829" s="364">
        <f>L820-L821</f>
        <v>0</v>
      </c>
      <c r="M829" s="364">
        <f t="shared" ref="M829:U829" si="449">M820-M821</f>
        <v>0</v>
      </c>
      <c r="N829" s="364">
        <f t="shared" si="449"/>
        <v>0</v>
      </c>
      <c r="O829" s="364">
        <f t="shared" si="449"/>
        <v>0</v>
      </c>
      <c r="P829" s="364">
        <f t="shared" si="449"/>
        <v>0</v>
      </c>
      <c r="Q829" s="1475">
        <f t="shared" si="449"/>
        <v>0</v>
      </c>
      <c r="R829" s="1475">
        <f t="shared" si="449"/>
        <v>0</v>
      </c>
      <c r="S829" s="1475">
        <f t="shared" si="449"/>
        <v>0</v>
      </c>
      <c r="T829" s="1475">
        <f t="shared" si="449"/>
        <v>0</v>
      </c>
      <c r="U829" s="1475">
        <f t="shared" si="449"/>
        <v>0</v>
      </c>
      <c r="V829" s="1475">
        <f t="shared" si="444"/>
        <v>0</v>
      </c>
    </row>
    <row r="830" spans="1:22" s="45" customFormat="1" ht="24" customHeight="1">
      <c r="A830" s="1860">
        <v>2</v>
      </c>
      <c r="B830" s="1860">
        <v>2</v>
      </c>
      <c r="C830" s="1860">
        <v>3</v>
      </c>
      <c r="D830" s="1860">
        <v>2</v>
      </c>
      <c r="E830" s="1839" t="s">
        <v>49</v>
      </c>
      <c r="F830" s="1841" t="str">
        <f>CONCATENATE(A830,".",B830,".",C830,".",D830,)</f>
        <v>2.2.3.2</v>
      </c>
      <c r="G830" s="1664" t="s">
        <v>24</v>
      </c>
      <c r="H830" s="1817" t="s">
        <v>157</v>
      </c>
      <c r="I830" s="1614" t="s">
        <v>191</v>
      </c>
      <c r="J830" s="36" t="s">
        <v>79</v>
      </c>
      <c r="K830" s="919">
        <f>'Budget assumption'!C241</f>
        <v>5887.35</v>
      </c>
      <c r="L830" s="893">
        <f>'Budget assumption'!E241</f>
        <v>7355.85</v>
      </c>
      <c r="M830" s="893">
        <f>'Budget assumption'!F241</f>
        <v>8090.1</v>
      </c>
      <c r="N830" s="893">
        <f>'Budget assumption'!G241</f>
        <v>8824.35</v>
      </c>
      <c r="O830" s="893">
        <f>'Budget assumption'!H241</f>
        <v>9558.6</v>
      </c>
      <c r="P830" s="893">
        <f>'Budget assumption'!I241</f>
        <v>10304.42</v>
      </c>
      <c r="Q830" s="1475">
        <f>L830*H835</f>
        <v>10883715.660000002</v>
      </c>
      <c r="R830" s="1475">
        <f>M830*H835</f>
        <v>11970111.960000001</v>
      </c>
      <c r="S830" s="1475">
        <f>N830*H835</f>
        <v>13056508.260000002</v>
      </c>
      <c r="T830" s="1475">
        <f>O830*H835</f>
        <v>14142904.560000002</v>
      </c>
      <c r="U830" s="1475">
        <f>P830*H835</f>
        <v>15246419.832000002</v>
      </c>
      <c r="V830" s="1475">
        <f t="shared" si="444"/>
        <v>65299660.272000015</v>
      </c>
    </row>
    <row r="831" spans="1:22" s="39" customFormat="1" ht="24" customHeight="1">
      <c r="A831" s="1860">
        <v>2</v>
      </c>
      <c r="B831" s="1860"/>
      <c r="C831" s="1860"/>
      <c r="D831" s="1860"/>
      <c r="E831" s="1839"/>
      <c r="F831" s="1841"/>
      <c r="G831" s="1665"/>
      <c r="H831" s="1817"/>
      <c r="I831" s="1615"/>
      <c r="J831" s="40" t="s">
        <v>80</v>
      </c>
      <c r="K831" s="42"/>
      <c r="L831" s="364">
        <f t="shared" ref="L831:U831" si="450">SUM(L832:L838)</f>
        <v>7355.85</v>
      </c>
      <c r="M831" s="364">
        <f t="shared" si="450"/>
        <v>8090.1</v>
      </c>
      <c r="N831" s="364">
        <f t="shared" si="450"/>
        <v>8824.35</v>
      </c>
      <c r="O831" s="364">
        <f t="shared" si="450"/>
        <v>9558.5999999999985</v>
      </c>
      <c r="P831" s="364">
        <f t="shared" si="450"/>
        <v>10304.419999999998</v>
      </c>
      <c r="Q831" s="1475">
        <f t="shared" si="450"/>
        <v>10883715.660000002</v>
      </c>
      <c r="R831" s="1475">
        <f t="shared" si="450"/>
        <v>11970111.960000001</v>
      </c>
      <c r="S831" s="1475">
        <f t="shared" si="450"/>
        <v>13056508.260000002</v>
      </c>
      <c r="T831" s="1475">
        <f t="shared" si="450"/>
        <v>14142904.560000001</v>
      </c>
      <c r="U831" s="1475">
        <f t="shared" si="450"/>
        <v>15246419.832000002</v>
      </c>
      <c r="V831" s="1475">
        <f t="shared" si="444"/>
        <v>65299660.272000015</v>
      </c>
    </row>
    <row r="832" spans="1:22" s="39" customFormat="1" ht="24" customHeight="1">
      <c r="A832" s="1860">
        <v>2</v>
      </c>
      <c r="B832" s="1860"/>
      <c r="C832" s="1860"/>
      <c r="D832" s="1860"/>
      <c r="E832" s="1839"/>
      <c r="F832" s="1841"/>
      <c r="G832" s="1665"/>
      <c r="H832" s="1817"/>
      <c r="I832" s="1615"/>
      <c r="J832" s="40" t="s">
        <v>429</v>
      </c>
      <c r="K832" s="42"/>
      <c r="L832" s="364">
        <f>L830*0.7</f>
        <v>5149.0950000000003</v>
      </c>
      <c r="M832" s="364">
        <f t="shared" ref="M832:P832" si="451">M830*0.7</f>
        <v>5663.07</v>
      </c>
      <c r="N832" s="364">
        <f t="shared" si="451"/>
        <v>6177.0450000000001</v>
      </c>
      <c r="O832" s="364">
        <f t="shared" si="451"/>
        <v>6691.0199999999995</v>
      </c>
      <c r="P832" s="364">
        <f t="shared" si="451"/>
        <v>7213.0939999999991</v>
      </c>
      <c r="Q832" s="1475">
        <f>L832*$H835</f>
        <v>7618600.9620000012</v>
      </c>
      <c r="R832" s="1475">
        <f>M832*$H835</f>
        <v>8379078.3720000004</v>
      </c>
      <c r="S832" s="1475">
        <f>N832*$H835</f>
        <v>9139555.7820000015</v>
      </c>
      <c r="T832" s="1475">
        <f>O832*$H835</f>
        <v>9900033.1919999998</v>
      </c>
      <c r="U832" s="1475">
        <f>P832*$H835</f>
        <v>10672493.8824</v>
      </c>
      <c r="V832" s="1475">
        <f t="shared" si="444"/>
        <v>45709762.190400004</v>
      </c>
    </row>
    <row r="833" spans="1:22" s="39" customFormat="1" ht="24" customHeight="1">
      <c r="A833" s="1860">
        <v>2</v>
      </c>
      <c r="B833" s="1860"/>
      <c r="C833" s="1860"/>
      <c r="D833" s="1860"/>
      <c r="E833" s="1839"/>
      <c r="F833" s="1841"/>
      <c r="G833" s="1665"/>
      <c r="H833" s="1817"/>
      <c r="I833" s="1615"/>
      <c r="J833" s="40" t="s">
        <v>133</v>
      </c>
      <c r="K833" s="42"/>
      <c r="L833" s="364">
        <f>L830*0.3</f>
        <v>2206.7550000000001</v>
      </c>
      <c r="M833" s="364">
        <f t="shared" ref="M833:P833" si="452">M830*0.3</f>
        <v>2427.0300000000002</v>
      </c>
      <c r="N833" s="364">
        <f t="shared" si="452"/>
        <v>2647.3049999999998</v>
      </c>
      <c r="O833" s="364">
        <f t="shared" si="452"/>
        <v>2867.58</v>
      </c>
      <c r="P833" s="364">
        <f t="shared" si="452"/>
        <v>3091.326</v>
      </c>
      <c r="Q833" s="1475">
        <f>L833*$H835</f>
        <v>3265114.6980000003</v>
      </c>
      <c r="R833" s="1475">
        <f>M833*$H835</f>
        <v>3591033.5880000005</v>
      </c>
      <c r="S833" s="1475">
        <f>N833*$H835</f>
        <v>3916952.4780000001</v>
      </c>
      <c r="T833" s="1475">
        <f>O833*$H835</f>
        <v>4242871.3680000007</v>
      </c>
      <c r="U833" s="1475">
        <f>P833*$H835</f>
        <v>4573925.9496000009</v>
      </c>
      <c r="V833" s="1475">
        <f t="shared" si="444"/>
        <v>19589898.081600003</v>
      </c>
    </row>
    <row r="834" spans="1:22" s="39" customFormat="1" ht="24" customHeight="1">
      <c r="A834" s="1860">
        <v>2</v>
      </c>
      <c r="B834" s="1860"/>
      <c r="C834" s="1860"/>
      <c r="D834" s="1860"/>
      <c r="E834" s="1839"/>
      <c r="F834" s="1841"/>
      <c r="G834" s="1665"/>
      <c r="H834" s="1817"/>
      <c r="I834" s="1615"/>
      <c r="J834" s="40" t="s">
        <v>81</v>
      </c>
      <c r="K834" s="42"/>
      <c r="L834" s="364">
        <v>0</v>
      </c>
      <c r="M834" s="364">
        <v>0</v>
      </c>
      <c r="N834" s="364">
        <v>0</v>
      </c>
      <c r="O834" s="364">
        <v>0</v>
      </c>
      <c r="P834" s="364">
        <v>0</v>
      </c>
      <c r="Q834" s="1475">
        <f>L834*$H835</f>
        <v>0</v>
      </c>
      <c r="R834" s="1475">
        <f>M834*$H835</f>
        <v>0</v>
      </c>
      <c r="S834" s="1475">
        <f>N834*$H835</f>
        <v>0</v>
      </c>
      <c r="T834" s="1475">
        <f>O834*$H835</f>
        <v>0</v>
      </c>
      <c r="U834" s="1475">
        <f>P834*$H835</f>
        <v>0</v>
      </c>
      <c r="V834" s="1475">
        <f t="shared" si="444"/>
        <v>0</v>
      </c>
    </row>
    <row r="835" spans="1:22" s="39" customFormat="1" ht="24" customHeight="1">
      <c r="A835" s="1860">
        <v>2</v>
      </c>
      <c r="B835" s="1860"/>
      <c r="C835" s="1860"/>
      <c r="D835" s="1860"/>
      <c r="E835" s="1839"/>
      <c r="F835" s="1841"/>
      <c r="G835" s="1665"/>
      <c r="H835" s="1595">
        <f>'Budget assumption'!C249</f>
        <v>1479.6000000000001</v>
      </c>
      <c r="I835" s="1615"/>
      <c r="J835" s="40" t="s">
        <v>134</v>
      </c>
      <c r="K835" s="42"/>
      <c r="L835" s="364">
        <f>L826*30%</f>
        <v>0</v>
      </c>
      <c r="M835" s="364">
        <f>M826*30%</f>
        <v>0</v>
      </c>
      <c r="N835" s="364">
        <f>N826*30%</f>
        <v>0</v>
      </c>
      <c r="O835" s="364">
        <f>O826*30%</f>
        <v>0</v>
      </c>
      <c r="P835" s="364">
        <f>P826*30%</f>
        <v>0</v>
      </c>
      <c r="Q835" s="1475">
        <f>L835*$H835</f>
        <v>0</v>
      </c>
      <c r="R835" s="1475">
        <f>M835*$H835</f>
        <v>0</v>
      </c>
      <c r="S835" s="1475">
        <f>N835*$H835</f>
        <v>0</v>
      </c>
      <c r="T835" s="1475">
        <f>O835*$H835</f>
        <v>0</v>
      </c>
      <c r="U835" s="1475">
        <f>P835*$H835</f>
        <v>0</v>
      </c>
      <c r="V835" s="1475">
        <f t="shared" si="444"/>
        <v>0</v>
      </c>
    </row>
    <row r="836" spans="1:22" s="39" customFormat="1" ht="24" customHeight="1">
      <c r="A836" s="1860">
        <v>2</v>
      </c>
      <c r="B836" s="1860"/>
      <c r="C836" s="1860"/>
      <c r="D836" s="1860"/>
      <c r="E836" s="1839"/>
      <c r="F836" s="1841"/>
      <c r="G836" s="1665"/>
      <c r="H836" s="1596">
        <f>810*0.05</f>
        <v>40.5</v>
      </c>
      <c r="I836" s="1615"/>
      <c r="J836" s="40" t="s">
        <v>82</v>
      </c>
      <c r="K836" s="42"/>
      <c r="L836" s="364">
        <v>0</v>
      </c>
      <c r="M836" s="364">
        <v>0</v>
      </c>
      <c r="N836" s="364">
        <v>0</v>
      </c>
      <c r="O836" s="364">
        <v>0</v>
      </c>
      <c r="P836" s="364">
        <v>0</v>
      </c>
      <c r="Q836" s="1475">
        <f>L836*$H835</f>
        <v>0</v>
      </c>
      <c r="R836" s="1475">
        <f>M836*$H835</f>
        <v>0</v>
      </c>
      <c r="S836" s="1475">
        <f>N836*$H835</f>
        <v>0</v>
      </c>
      <c r="T836" s="1475">
        <f>O836*$H835</f>
        <v>0</v>
      </c>
      <c r="U836" s="1475">
        <f>P836*$H835</f>
        <v>0</v>
      </c>
      <c r="V836" s="1475">
        <f t="shared" si="444"/>
        <v>0</v>
      </c>
    </row>
    <row r="837" spans="1:22" s="39" customFormat="1" ht="24" customHeight="1">
      <c r="A837" s="1860">
        <v>2</v>
      </c>
      <c r="B837" s="1860"/>
      <c r="C837" s="1860"/>
      <c r="D837" s="1860"/>
      <c r="E837" s="1839"/>
      <c r="F837" s="1841"/>
      <c r="G837" s="1665"/>
      <c r="H837" s="1596"/>
      <c r="I837" s="1615"/>
      <c r="J837" s="40" t="s">
        <v>90</v>
      </c>
      <c r="K837" s="42"/>
      <c r="L837" s="364">
        <v>0</v>
      </c>
      <c r="M837" s="364">
        <v>0</v>
      </c>
      <c r="N837" s="364">
        <v>0</v>
      </c>
      <c r="O837" s="364">
        <v>0</v>
      </c>
      <c r="P837" s="364">
        <v>0</v>
      </c>
      <c r="Q837" s="1475">
        <f>L837*$H835</f>
        <v>0</v>
      </c>
      <c r="R837" s="1475">
        <f>M837*$H835</f>
        <v>0</v>
      </c>
      <c r="S837" s="1475">
        <f>N837*$H835</f>
        <v>0</v>
      </c>
      <c r="T837" s="1475">
        <f>O837*$H835</f>
        <v>0</v>
      </c>
      <c r="U837" s="1475">
        <f>P837*$H835</f>
        <v>0</v>
      </c>
      <c r="V837" s="1475">
        <f t="shared" si="444"/>
        <v>0</v>
      </c>
    </row>
    <row r="838" spans="1:22" s="39" customFormat="1" ht="24" customHeight="1">
      <c r="A838" s="1860">
        <v>2</v>
      </c>
      <c r="B838" s="1860"/>
      <c r="C838" s="1860"/>
      <c r="D838" s="1860"/>
      <c r="E838" s="1839"/>
      <c r="F838" s="1841"/>
      <c r="G838" s="1665"/>
      <c r="H838" s="1596"/>
      <c r="I838" s="1615"/>
      <c r="J838" s="40" t="s">
        <v>83</v>
      </c>
      <c r="K838" s="42"/>
      <c r="L838" s="364">
        <v>0</v>
      </c>
      <c r="M838" s="364">
        <v>0</v>
      </c>
      <c r="N838" s="364">
        <v>0</v>
      </c>
      <c r="O838" s="364">
        <v>0</v>
      </c>
      <c r="P838" s="364">
        <v>0</v>
      </c>
      <c r="Q838" s="1475">
        <f>L838*$H835</f>
        <v>0</v>
      </c>
      <c r="R838" s="1475">
        <f>M838*$H835</f>
        <v>0</v>
      </c>
      <c r="S838" s="1475">
        <f>N838*$H835</f>
        <v>0</v>
      </c>
      <c r="T838" s="1475">
        <f>O838*$H835</f>
        <v>0</v>
      </c>
      <c r="U838" s="1475">
        <f>P838*$H835</f>
        <v>0</v>
      </c>
      <c r="V838" s="1475">
        <f t="shared" si="444"/>
        <v>0</v>
      </c>
    </row>
    <row r="839" spans="1:22" s="39" customFormat="1" ht="24" customHeight="1">
      <c r="A839" s="1860">
        <v>2</v>
      </c>
      <c r="B839" s="1860"/>
      <c r="C839" s="1860"/>
      <c r="D839" s="1860"/>
      <c r="E839" s="1839"/>
      <c r="F839" s="1841"/>
      <c r="G839" s="1666"/>
      <c r="H839" s="1618"/>
      <c r="I839" s="1617"/>
      <c r="J839" s="40" t="s">
        <v>84</v>
      </c>
      <c r="K839" s="42"/>
      <c r="L839" s="364">
        <f>L830-L831</f>
        <v>0</v>
      </c>
      <c r="M839" s="364">
        <f t="shared" ref="M839:U839" si="453">M830-M831</f>
        <v>0</v>
      </c>
      <c r="N839" s="364">
        <f t="shared" si="453"/>
        <v>0</v>
      </c>
      <c r="O839" s="364">
        <f t="shared" si="453"/>
        <v>0</v>
      </c>
      <c r="P839" s="364">
        <f t="shared" si="453"/>
        <v>0</v>
      </c>
      <c r="Q839" s="1475">
        <f t="shared" si="453"/>
        <v>0</v>
      </c>
      <c r="R839" s="1475">
        <f t="shared" si="453"/>
        <v>0</v>
      </c>
      <c r="S839" s="1475">
        <f t="shared" si="453"/>
        <v>0</v>
      </c>
      <c r="T839" s="1475">
        <f t="shared" si="453"/>
        <v>0</v>
      </c>
      <c r="U839" s="1475">
        <f t="shared" si="453"/>
        <v>0</v>
      </c>
      <c r="V839" s="1475">
        <f t="shared" si="444"/>
        <v>0</v>
      </c>
    </row>
    <row r="840" spans="1:22" s="45" customFormat="1" ht="24" customHeight="1">
      <c r="A840" s="1860">
        <v>2</v>
      </c>
      <c r="B840" s="1860">
        <v>2</v>
      </c>
      <c r="C840" s="1860">
        <v>3</v>
      </c>
      <c r="D840" s="1860">
        <v>3</v>
      </c>
      <c r="E840" s="1839" t="s">
        <v>49</v>
      </c>
      <c r="F840" s="1841" t="str">
        <f>CONCATENATE(A840,".",B840,".",C840,".",D840,)</f>
        <v>2.2.3.3</v>
      </c>
      <c r="G840" s="1664" t="s">
        <v>25</v>
      </c>
      <c r="H840" s="1601" t="s">
        <v>157</v>
      </c>
      <c r="I840" s="1614" t="s">
        <v>191</v>
      </c>
      <c r="J840" s="36" t="s">
        <v>79</v>
      </c>
      <c r="K840" s="919">
        <f>'Budget assumption'!C242</f>
        <v>661.5</v>
      </c>
      <c r="L840" s="893">
        <f>'Budget assumption'!E242</f>
        <v>826.5</v>
      </c>
      <c r="M840" s="893">
        <f>'Budget assumption'!F242</f>
        <v>909</v>
      </c>
      <c r="N840" s="893">
        <f>'Budget assumption'!G242</f>
        <v>991.5</v>
      </c>
      <c r="O840" s="893">
        <f>'Budget assumption'!H242</f>
        <v>1074</v>
      </c>
      <c r="P840" s="893">
        <f>'Budget assumption'!I242</f>
        <v>1157.8</v>
      </c>
      <c r="Q840" s="1475">
        <f>L840*H845</f>
        <v>4051255.05</v>
      </c>
      <c r="R840" s="1475">
        <f>M840*H845</f>
        <v>4455645.3</v>
      </c>
      <c r="S840" s="1475">
        <f>N840*H845</f>
        <v>4860035.55</v>
      </c>
      <c r="T840" s="1475">
        <f>O840*H845</f>
        <v>5264425.8</v>
      </c>
      <c r="U840" s="1475">
        <f>P840*H845</f>
        <v>5675188.2599999998</v>
      </c>
      <c r="V840" s="1475">
        <f t="shared" si="444"/>
        <v>24306549.960000001</v>
      </c>
    </row>
    <row r="841" spans="1:22" s="39" customFormat="1" ht="24" customHeight="1">
      <c r="A841" s="1860">
        <v>2</v>
      </c>
      <c r="B841" s="1860"/>
      <c r="C841" s="1860"/>
      <c r="D841" s="1860"/>
      <c r="E841" s="1839"/>
      <c r="F841" s="1841"/>
      <c r="G841" s="1665"/>
      <c r="H841" s="1601"/>
      <c r="I841" s="1615"/>
      <c r="J841" s="40" t="s">
        <v>80</v>
      </c>
      <c r="K841" s="42"/>
      <c r="L841" s="364">
        <f t="shared" ref="L841:U841" si="454">SUM(L842:L848)</f>
        <v>826.5</v>
      </c>
      <c r="M841" s="364">
        <f t="shared" si="454"/>
        <v>909</v>
      </c>
      <c r="N841" s="364">
        <f t="shared" si="454"/>
        <v>991.5</v>
      </c>
      <c r="O841" s="364">
        <f t="shared" si="454"/>
        <v>1074</v>
      </c>
      <c r="P841" s="364">
        <f t="shared" si="454"/>
        <v>1157.8</v>
      </c>
      <c r="Q841" s="1475">
        <f t="shared" si="454"/>
        <v>4051255.05</v>
      </c>
      <c r="R841" s="1475">
        <f t="shared" si="454"/>
        <v>4455645.2999999989</v>
      </c>
      <c r="S841" s="1475">
        <f t="shared" si="454"/>
        <v>4860035.55</v>
      </c>
      <c r="T841" s="1475">
        <f t="shared" si="454"/>
        <v>5264425.8</v>
      </c>
      <c r="U841" s="1475">
        <f t="shared" si="454"/>
        <v>5675188.2599999998</v>
      </c>
      <c r="V841" s="1475">
        <f t="shared" si="444"/>
        <v>24306549.960000001</v>
      </c>
    </row>
    <row r="842" spans="1:22" s="39" customFormat="1" ht="24" customHeight="1">
      <c r="A842" s="1860">
        <v>2</v>
      </c>
      <c r="B842" s="1860"/>
      <c r="C842" s="1860"/>
      <c r="D842" s="1860"/>
      <c r="E842" s="1839"/>
      <c r="F842" s="1841"/>
      <c r="G842" s="1665"/>
      <c r="H842" s="1601"/>
      <c r="I842" s="1615"/>
      <c r="J842" s="40" t="s">
        <v>429</v>
      </c>
      <c r="K842" s="42"/>
      <c r="L842" s="364">
        <f>L840*0.7</f>
        <v>578.54999999999995</v>
      </c>
      <c r="M842" s="364">
        <f t="shared" ref="M842:P842" si="455">M840*0.7</f>
        <v>636.29999999999995</v>
      </c>
      <c r="N842" s="364">
        <f t="shared" si="455"/>
        <v>694.05</v>
      </c>
      <c r="O842" s="364">
        <f t="shared" si="455"/>
        <v>751.8</v>
      </c>
      <c r="P842" s="364">
        <f t="shared" si="455"/>
        <v>810.45999999999992</v>
      </c>
      <c r="Q842" s="1475">
        <f>L842*$H845</f>
        <v>2835878.5349999997</v>
      </c>
      <c r="R842" s="1475">
        <f>M842*$H845</f>
        <v>3118951.7099999995</v>
      </c>
      <c r="S842" s="1475">
        <f>N842*$H845</f>
        <v>3402024.8849999998</v>
      </c>
      <c r="T842" s="1475">
        <f>O842*$H845</f>
        <v>3685098.0599999996</v>
      </c>
      <c r="U842" s="1475">
        <f>P842*$H845</f>
        <v>3972631.7819999997</v>
      </c>
      <c r="V842" s="1475">
        <f t="shared" si="444"/>
        <v>17014584.971999995</v>
      </c>
    </row>
    <row r="843" spans="1:22" s="39" customFormat="1" ht="24" customHeight="1">
      <c r="A843" s="1860">
        <v>2</v>
      </c>
      <c r="B843" s="1860"/>
      <c r="C843" s="1860"/>
      <c r="D843" s="1860"/>
      <c r="E843" s="1839"/>
      <c r="F843" s="1841"/>
      <c r="G843" s="1665"/>
      <c r="H843" s="1601"/>
      <c r="I843" s="1615"/>
      <c r="J843" s="40" t="s">
        <v>133</v>
      </c>
      <c r="K843" s="42"/>
      <c r="L843" s="364">
        <f>L840*0.3</f>
        <v>247.95</v>
      </c>
      <c r="M843" s="364">
        <f t="shared" ref="M843:P843" si="456">M840*0.3</f>
        <v>272.7</v>
      </c>
      <c r="N843" s="364">
        <f t="shared" si="456"/>
        <v>297.45</v>
      </c>
      <c r="O843" s="364">
        <f t="shared" si="456"/>
        <v>322.2</v>
      </c>
      <c r="P843" s="364">
        <f t="shared" si="456"/>
        <v>347.34</v>
      </c>
      <c r="Q843" s="1475">
        <f>L843*$H845</f>
        <v>1215376.5149999999</v>
      </c>
      <c r="R843" s="1475">
        <f>M843*$H845</f>
        <v>1336693.5899999999</v>
      </c>
      <c r="S843" s="1475">
        <f>N843*$H845</f>
        <v>1458010.6649999998</v>
      </c>
      <c r="T843" s="1475">
        <f>O843*$H845</f>
        <v>1579327.74</v>
      </c>
      <c r="U843" s="1475">
        <f>P843*$H845</f>
        <v>1702556.4779999999</v>
      </c>
      <c r="V843" s="1475">
        <f t="shared" si="444"/>
        <v>7291964.9879999999</v>
      </c>
    </row>
    <row r="844" spans="1:22" s="39" customFormat="1" ht="24" customHeight="1">
      <c r="A844" s="1860">
        <v>2</v>
      </c>
      <c r="B844" s="1860"/>
      <c r="C844" s="1860"/>
      <c r="D844" s="1860"/>
      <c r="E844" s="1839"/>
      <c r="F844" s="1841"/>
      <c r="G844" s="1665"/>
      <c r="H844" s="1601"/>
      <c r="I844" s="1615"/>
      <c r="J844" s="40" t="s">
        <v>81</v>
      </c>
      <c r="K844" s="42"/>
      <c r="L844" s="364">
        <v>0</v>
      </c>
      <c r="M844" s="364">
        <v>0</v>
      </c>
      <c r="N844" s="364">
        <v>0</v>
      </c>
      <c r="O844" s="364">
        <v>0</v>
      </c>
      <c r="P844" s="364">
        <v>0</v>
      </c>
      <c r="Q844" s="1475">
        <f>L844*$H845</f>
        <v>0</v>
      </c>
      <c r="R844" s="1475">
        <f>M844*$H845</f>
        <v>0</v>
      </c>
      <c r="S844" s="1475">
        <f>N844*$H845</f>
        <v>0</v>
      </c>
      <c r="T844" s="1475">
        <f>O844*$H845</f>
        <v>0</v>
      </c>
      <c r="U844" s="1475">
        <f>P844*$H845</f>
        <v>0</v>
      </c>
      <c r="V844" s="1475">
        <f t="shared" si="444"/>
        <v>0</v>
      </c>
    </row>
    <row r="845" spans="1:22" s="39" customFormat="1" ht="24" customHeight="1">
      <c r="A845" s="1860">
        <v>2</v>
      </c>
      <c r="B845" s="1860"/>
      <c r="C845" s="1860"/>
      <c r="D845" s="1860"/>
      <c r="E845" s="1839"/>
      <c r="F845" s="1841"/>
      <c r="G845" s="1665"/>
      <c r="H845" s="1595">
        <f>'Budget assumption'!C253</f>
        <v>4901.7</v>
      </c>
      <c r="I845" s="1615"/>
      <c r="J845" s="40" t="s">
        <v>134</v>
      </c>
      <c r="K845" s="42"/>
      <c r="L845" s="364">
        <f>L836*30%</f>
        <v>0</v>
      </c>
      <c r="M845" s="364">
        <f>M836*30%</f>
        <v>0</v>
      </c>
      <c r="N845" s="364">
        <f>N836*30%</f>
        <v>0</v>
      </c>
      <c r="O845" s="364">
        <f>O836*30%</f>
        <v>0</v>
      </c>
      <c r="P845" s="364">
        <f>P836*30%</f>
        <v>0</v>
      </c>
      <c r="Q845" s="1475">
        <f>L845*$H845</f>
        <v>0</v>
      </c>
      <c r="R845" s="1475">
        <f>M845*$H845</f>
        <v>0</v>
      </c>
      <c r="S845" s="1475">
        <f>N845*$H845</f>
        <v>0</v>
      </c>
      <c r="T845" s="1475">
        <f>O845*$H845</f>
        <v>0</v>
      </c>
      <c r="U845" s="1475">
        <f>P845*$H845</f>
        <v>0</v>
      </c>
      <c r="V845" s="1475">
        <f t="shared" si="444"/>
        <v>0</v>
      </c>
    </row>
    <row r="846" spans="1:22" s="39" customFormat="1" ht="24" customHeight="1">
      <c r="A846" s="1860">
        <v>2</v>
      </c>
      <c r="B846" s="1860"/>
      <c r="C846" s="1860"/>
      <c r="D846" s="1860"/>
      <c r="E846" s="1839"/>
      <c r="F846" s="1841"/>
      <c r="G846" s="1665"/>
      <c r="H846" s="1596">
        <f>810*0.05</f>
        <v>40.5</v>
      </c>
      <c r="I846" s="1615"/>
      <c r="J846" s="40" t="s">
        <v>82</v>
      </c>
      <c r="K846" s="42"/>
      <c r="L846" s="364">
        <v>0</v>
      </c>
      <c r="M846" s="364">
        <v>0</v>
      </c>
      <c r="N846" s="364">
        <v>0</v>
      </c>
      <c r="O846" s="364">
        <v>0</v>
      </c>
      <c r="P846" s="364">
        <v>0</v>
      </c>
      <c r="Q846" s="1475">
        <f>L846*$H845</f>
        <v>0</v>
      </c>
      <c r="R846" s="1475">
        <f>M846*$H845</f>
        <v>0</v>
      </c>
      <c r="S846" s="1475">
        <f>N846*$H845</f>
        <v>0</v>
      </c>
      <c r="T846" s="1475">
        <f>O846*$H845</f>
        <v>0</v>
      </c>
      <c r="U846" s="1475">
        <f>P846*$H845</f>
        <v>0</v>
      </c>
      <c r="V846" s="1475">
        <f t="shared" si="444"/>
        <v>0</v>
      </c>
    </row>
    <row r="847" spans="1:22" s="39" customFormat="1" ht="24" customHeight="1">
      <c r="A847" s="1860">
        <v>2</v>
      </c>
      <c r="B847" s="1860"/>
      <c r="C847" s="1860"/>
      <c r="D847" s="1860"/>
      <c r="E847" s="1839"/>
      <c r="F847" s="1841"/>
      <c r="G847" s="1665"/>
      <c r="H847" s="1596"/>
      <c r="I847" s="1615"/>
      <c r="J847" s="40" t="s">
        <v>90</v>
      </c>
      <c r="K847" s="42"/>
      <c r="L847" s="364">
        <f>L838*30%</f>
        <v>0</v>
      </c>
      <c r="M847" s="364">
        <f>M838*30%</f>
        <v>0</v>
      </c>
      <c r="N847" s="364">
        <f>N838*30%</f>
        <v>0</v>
      </c>
      <c r="O847" s="364">
        <f>O838*30%</f>
        <v>0</v>
      </c>
      <c r="P847" s="364">
        <f>P838*30%</f>
        <v>0</v>
      </c>
      <c r="Q847" s="1475">
        <f>L847*$H845</f>
        <v>0</v>
      </c>
      <c r="R847" s="1475">
        <f>M847*$H845</f>
        <v>0</v>
      </c>
      <c r="S847" s="1475">
        <f>N847*$H845</f>
        <v>0</v>
      </c>
      <c r="T847" s="1475">
        <f>O847*$H845</f>
        <v>0</v>
      </c>
      <c r="U847" s="1475">
        <f>P847*$H845</f>
        <v>0</v>
      </c>
      <c r="V847" s="1475">
        <f t="shared" si="444"/>
        <v>0</v>
      </c>
    </row>
    <row r="848" spans="1:22" s="39" customFormat="1" ht="24" customHeight="1">
      <c r="A848" s="1860">
        <v>2</v>
      </c>
      <c r="B848" s="1860"/>
      <c r="C848" s="1860"/>
      <c r="D848" s="1860"/>
      <c r="E848" s="1839"/>
      <c r="F848" s="1841"/>
      <c r="G848" s="1665"/>
      <c r="H848" s="1596"/>
      <c r="I848" s="1615"/>
      <c r="J848" s="40" t="s">
        <v>83</v>
      </c>
      <c r="K848" s="42"/>
      <c r="L848" s="364">
        <v>0</v>
      </c>
      <c r="M848" s="364">
        <v>0</v>
      </c>
      <c r="N848" s="364">
        <v>0</v>
      </c>
      <c r="O848" s="364">
        <v>0</v>
      </c>
      <c r="P848" s="364">
        <v>0</v>
      </c>
      <c r="Q848" s="1475">
        <f>L848*$H845</f>
        <v>0</v>
      </c>
      <c r="R848" s="1475">
        <f>M848*$H845</f>
        <v>0</v>
      </c>
      <c r="S848" s="1475">
        <f>N848*$H845</f>
        <v>0</v>
      </c>
      <c r="T848" s="1475">
        <f>O848*$H845</f>
        <v>0</v>
      </c>
      <c r="U848" s="1475">
        <f>P848*$H845</f>
        <v>0</v>
      </c>
      <c r="V848" s="1475">
        <f t="shared" si="444"/>
        <v>0</v>
      </c>
    </row>
    <row r="849" spans="1:22" s="39" customFormat="1" ht="24" customHeight="1">
      <c r="A849" s="1860">
        <v>2</v>
      </c>
      <c r="B849" s="1860"/>
      <c r="C849" s="1860"/>
      <c r="D849" s="1860"/>
      <c r="E849" s="1839"/>
      <c r="F849" s="1841"/>
      <c r="G849" s="1666"/>
      <c r="H849" s="1618"/>
      <c r="I849" s="1617"/>
      <c r="J849" s="40" t="s">
        <v>84</v>
      </c>
      <c r="K849" s="42"/>
      <c r="L849" s="364">
        <f>L840-L841</f>
        <v>0</v>
      </c>
      <c r="M849" s="364">
        <f t="shared" ref="M849:U849" si="457">M840-M841</f>
        <v>0</v>
      </c>
      <c r="N849" s="364">
        <f t="shared" si="457"/>
        <v>0</v>
      </c>
      <c r="O849" s="364">
        <f t="shared" si="457"/>
        <v>0</v>
      </c>
      <c r="P849" s="364">
        <f t="shared" si="457"/>
        <v>0</v>
      </c>
      <c r="Q849" s="1475">
        <f t="shared" si="457"/>
        <v>0</v>
      </c>
      <c r="R849" s="1475">
        <f t="shared" si="457"/>
        <v>0</v>
      </c>
      <c r="S849" s="1475">
        <f t="shared" si="457"/>
        <v>0</v>
      </c>
      <c r="T849" s="1475">
        <f t="shared" si="457"/>
        <v>0</v>
      </c>
      <c r="U849" s="1475">
        <f t="shared" si="457"/>
        <v>0</v>
      </c>
      <c r="V849" s="1475">
        <f t="shared" si="444"/>
        <v>0</v>
      </c>
    </row>
    <row r="850" spans="1:22" s="45" customFormat="1" ht="24" customHeight="1">
      <c r="A850" s="1860">
        <v>2</v>
      </c>
      <c r="B850" s="1860">
        <v>2</v>
      </c>
      <c r="C850" s="1860">
        <v>3</v>
      </c>
      <c r="D850" s="1860">
        <v>4</v>
      </c>
      <c r="E850" s="1839" t="s">
        <v>49</v>
      </c>
      <c r="F850" s="1841" t="str">
        <f>CONCATENATE(A850,".",B850,".",C850,".",D850,)</f>
        <v>2.2.3.4</v>
      </c>
      <c r="G850" s="1664" t="s">
        <v>26</v>
      </c>
      <c r="H850" s="1601" t="s">
        <v>157</v>
      </c>
      <c r="I850" s="1614" t="s">
        <v>191</v>
      </c>
      <c r="J850" s="36" t="s">
        <v>79</v>
      </c>
      <c r="K850" s="919">
        <f>'Budget assumption'!C243</f>
        <v>66.149999999999636</v>
      </c>
      <c r="L850" s="893">
        <f>'Budget assumption'!E243</f>
        <v>82.649999999999636</v>
      </c>
      <c r="M850" s="893">
        <f>'Budget assumption'!F243</f>
        <v>90.899999999999636</v>
      </c>
      <c r="N850" s="893">
        <f>'Budget assumption'!G243</f>
        <v>99.149999999999636</v>
      </c>
      <c r="O850" s="893">
        <f>'Budget assumption'!H243</f>
        <v>107.39999999999964</v>
      </c>
      <c r="P850" s="893">
        <f>'Budget assumption'!I243</f>
        <v>115.77999999999997</v>
      </c>
      <c r="Q850" s="1475">
        <f>L850*H855</f>
        <v>1687465.0499999926</v>
      </c>
      <c r="R850" s="1475">
        <f>M850*H855</f>
        <v>1855905.2999999926</v>
      </c>
      <c r="S850" s="1475">
        <f>N850*H855</f>
        <v>2024345.5499999926</v>
      </c>
      <c r="T850" s="1475">
        <f>O850*H855</f>
        <v>2192785.7999999924</v>
      </c>
      <c r="U850" s="1475">
        <f>P850*H855</f>
        <v>2363880.2599999993</v>
      </c>
      <c r="V850" s="1475">
        <f t="shared" si="444"/>
        <v>10124381.959999969</v>
      </c>
    </row>
    <row r="851" spans="1:22" s="39" customFormat="1" ht="24" customHeight="1">
      <c r="A851" s="1860">
        <v>2</v>
      </c>
      <c r="B851" s="1860"/>
      <c r="C851" s="1860"/>
      <c r="D851" s="1860"/>
      <c r="E851" s="1839"/>
      <c r="F851" s="1841"/>
      <c r="G851" s="1665"/>
      <c r="H851" s="1601"/>
      <c r="I851" s="1615"/>
      <c r="J851" s="40" t="s">
        <v>80</v>
      </c>
      <c r="K851" s="42"/>
      <c r="L851" s="364">
        <f t="shared" ref="L851:U851" si="458">SUM(L852:L858)</f>
        <v>82.649999999999636</v>
      </c>
      <c r="M851" s="364">
        <f t="shared" si="458"/>
        <v>90.899999999999636</v>
      </c>
      <c r="N851" s="364">
        <f t="shared" si="458"/>
        <v>99.149999999999636</v>
      </c>
      <c r="O851" s="364">
        <f t="shared" si="458"/>
        <v>107.39999999999964</v>
      </c>
      <c r="P851" s="364">
        <f t="shared" si="458"/>
        <v>115.77999999999997</v>
      </c>
      <c r="Q851" s="1475">
        <f t="shared" si="458"/>
        <v>1687465.0499999926</v>
      </c>
      <c r="R851" s="1475">
        <f t="shared" si="458"/>
        <v>1855905.2999999924</v>
      </c>
      <c r="S851" s="1475">
        <f t="shared" si="458"/>
        <v>2024345.5499999928</v>
      </c>
      <c r="T851" s="1475">
        <f t="shared" si="458"/>
        <v>2192785.7999999924</v>
      </c>
      <c r="U851" s="1475">
        <f t="shared" si="458"/>
        <v>2363880.2599999993</v>
      </c>
      <c r="V851" s="1475">
        <f t="shared" ref="V851:V879" si="459">SUM(Q851:U851)</f>
        <v>10124381.959999969</v>
      </c>
    </row>
    <row r="852" spans="1:22" s="39" customFormat="1" ht="24" customHeight="1">
      <c r="A852" s="1860">
        <v>2</v>
      </c>
      <c r="B852" s="1860"/>
      <c r="C852" s="1860"/>
      <c r="D852" s="1860"/>
      <c r="E852" s="1839"/>
      <c r="F852" s="1841"/>
      <c r="G852" s="1665"/>
      <c r="H852" s="1601"/>
      <c r="I852" s="1615"/>
      <c r="J852" s="40" t="s">
        <v>429</v>
      </c>
      <c r="K852" s="42"/>
      <c r="L852" s="364">
        <f>L850*0.7</f>
        <v>57.854999999999741</v>
      </c>
      <c r="M852" s="364">
        <f t="shared" ref="M852:P852" si="460">M850*0.7</f>
        <v>63.62999999999974</v>
      </c>
      <c r="N852" s="364">
        <f t="shared" si="460"/>
        <v>69.404999999999745</v>
      </c>
      <c r="O852" s="364">
        <f t="shared" si="460"/>
        <v>75.179999999999737</v>
      </c>
      <c r="P852" s="364">
        <f t="shared" si="460"/>
        <v>81.045999999999978</v>
      </c>
      <c r="Q852" s="1475">
        <f>L852*$H855</f>
        <v>1181225.5349999948</v>
      </c>
      <c r="R852" s="1475">
        <f>M852*$H855</f>
        <v>1299133.7099999946</v>
      </c>
      <c r="S852" s="1475">
        <f>N852*$H855</f>
        <v>1417041.8849999949</v>
      </c>
      <c r="T852" s="1475">
        <f>O852*$H855</f>
        <v>1534950.0599999947</v>
      </c>
      <c r="U852" s="1475">
        <f>P852*$H855</f>
        <v>1654716.1819999996</v>
      </c>
      <c r="V852" s="1475">
        <f t="shared" si="459"/>
        <v>7087067.371999979</v>
      </c>
    </row>
    <row r="853" spans="1:22" s="39" customFormat="1" ht="24" customHeight="1">
      <c r="A853" s="1860">
        <v>2</v>
      </c>
      <c r="B853" s="1860"/>
      <c r="C853" s="1860"/>
      <c r="D853" s="1860"/>
      <c r="E853" s="1839"/>
      <c r="F853" s="1841"/>
      <c r="G853" s="1665"/>
      <c r="H853" s="1601"/>
      <c r="I853" s="1615"/>
      <c r="J853" s="40" t="s">
        <v>133</v>
      </c>
      <c r="K853" s="42"/>
      <c r="L853" s="364">
        <f>L850*0.3</f>
        <v>24.794999999999892</v>
      </c>
      <c r="M853" s="364">
        <f t="shared" ref="M853:P853" si="461">M850*0.3</f>
        <v>27.269999999999889</v>
      </c>
      <c r="N853" s="364">
        <f t="shared" si="461"/>
        <v>29.744999999999891</v>
      </c>
      <c r="O853" s="364">
        <f t="shared" si="461"/>
        <v>32.219999999999892</v>
      </c>
      <c r="P853" s="364">
        <f t="shared" si="461"/>
        <v>34.733999999999988</v>
      </c>
      <c r="Q853" s="1475">
        <f>L853*$H855</f>
        <v>506239.5149999978</v>
      </c>
      <c r="R853" s="1475">
        <f>M853*$H855</f>
        <v>556771.58999999776</v>
      </c>
      <c r="S853" s="1475">
        <f>N853*$H855</f>
        <v>607303.66499999783</v>
      </c>
      <c r="T853" s="1475">
        <f>O853*$H855</f>
        <v>657835.73999999778</v>
      </c>
      <c r="U853" s="1475">
        <f>P853*$H855</f>
        <v>709164.07799999975</v>
      </c>
      <c r="V853" s="1475">
        <f t="shared" si="459"/>
        <v>3037314.5879999911</v>
      </c>
    </row>
    <row r="854" spans="1:22" s="39" customFormat="1" ht="24" customHeight="1">
      <c r="A854" s="1860">
        <v>2</v>
      </c>
      <c r="B854" s="1860"/>
      <c r="C854" s="1860"/>
      <c r="D854" s="1860"/>
      <c r="E854" s="1839"/>
      <c r="F854" s="1841"/>
      <c r="G854" s="1665"/>
      <c r="H854" s="1601"/>
      <c r="I854" s="1615"/>
      <c r="J854" s="40" t="s">
        <v>81</v>
      </c>
      <c r="K854" s="42"/>
      <c r="L854" s="364">
        <v>0</v>
      </c>
      <c r="M854" s="364">
        <v>0</v>
      </c>
      <c r="N854" s="364">
        <v>0</v>
      </c>
      <c r="O854" s="364">
        <v>0</v>
      </c>
      <c r="P854" s="364">
        <v>0</v>
      </c>
      <c r="Q854" s="1475">
        <f>L854*$H855</f>
        <v>0</v>
      </c>
      <c r="R854" s="1475">
        <f>M854*$H855</f>
        <v>0</v>
      </c>
      <c r="S854" s="1475">
        <f>N854*$H855</f>
        <v>0</v>
      </c>
      <c r="T854" s="1475">
        <f>O854*$H855</f>
        <v>0</v>
      </c>
      <c r="U854" s="1475">
        <f>P854*$H855</f>
        <v>0</v>
      </c>
      <c r="V854" s="1475">
        <f t="shared" si="459"/>
        <v>0</v>
      </c>
    </row>
    <row r="855" spans="1:22" s="39" customFormat="1" ht="24" customHeight="1">
      <c r="A855" s="1860">
        <v>2</v>
      </c>
      <c r="B855" s="1860"/>
      <c r="C855" s="1860"/>
      <c r="D855" s="1860"/>
      <c r="E855" s="1839"/>
      <c r="F855" s="1841"/>
      <c r="G855" s="1665"/>
      <c r="H855" s="1595">
        <f>'Budget assumption'!D258</f>
        <v>20417</v>
      </c>
      <c r="I855" s="1615"/>
      <c r="J855" s="40" t="s">
        <v>134</v>
      </c>
      <c r="K855" s="42"/>
      <c r="L855" s="364">
        <f>L846*30%</f>
        <v>0</v>
      </c>
      <c r="M855" s="364">
        <f>M846*30%</f>
        <v>0</v>
      </c>
      <c r="N855" s="364">
        <f>N846*30%</f>
        <v>0</v>
      </c>
      <c r="O855" s="364">
        <f>O846*30%</f>
        <v>0</v>
      </c>
      <c r="P855" s="364">
        <f>P846*30%</f>
        <v>0</v>
      </c>
      <c r="Q855" s="1475">
        <f>L855*$H855</f>
        <v>0</v>
      </c>
      <c r="R855" s="1475">
        <f>M855*$H855</f>
        <v>0</v>
      </c>
      <c r="S855" s="1475">
        <f>N855*$H855</f>
        <v>0</v>
      </c>
      <c r="T855" s="1475">
        <f>O855*$H855</f>
        <v>0</v>
      </c>
      <c r="U855" s="1475">
        <f>P855*$H855</f>
        <v>0</v>
      </c>
      <c r="V855" s="1475">
        <f t="shared" si="459"/>
        <v>0</v>
      </c>
    </row>
    <row r="856" spans="1:22" s="39" customFormat="1" ht="24" customHeight="1">
      <c r="A856" s="1860">
        <v>2</v>
      </c>
      <c r="B856" s="1860"/>
      <c r="C856" s="1860"/>
      <c r="D856" s="1860"/>
      <c r="E856" s="1839"/>
      <c r="F856" s="1841"/>
      <c r="G856" s="1665"/>
      <c r="H856" s="1596">
        <f>810*0.05</f>
        <v>40.5</v>
      </c>
      <c r="I856" s="1615"/>
      <c r="J856" s="40" t="s">
        <v>82</v>
      </c>
      <c r="K856" s="42"/>
      <c r="L856" s="364">
        <v>0</v>
      </c>
      <c r="M856" s="364">
        <v>0</v>
      </c>
      <c r="N856" s="364">
        <v>0</v>
      </c>
      <c r="O856" s="364">
        <v>0</v>
      </c>
      <c r="P856" s="364">
        <v>0</v>
      </c>
      <c r="Q856" s="1475">
        <f>L856*$H855</f>
        <v>0</v>
      </c>
      <c r="R856" s="1475">
        <f>M856*$H855</f>
        <v>0</v>
      </c>
      <c r="S856" s="1475">
        <f>N856*$H855</f>
        <v>0</v>
      </c>
      <c r="T856" s="1475">
        <f>O856*$H855</f>
        <v>0</v>
      </c>
      <c r="U856" s="1475">
        <f>P856*$H855</f>
        <v>0</v>
      </c>
      <c r="V856" s="1475">
        <f t="shared" si="459"/>
        <v>0</v>
      </c>
    </row>
    <row r="857" spans="1:22" s="39" customFormat="1" ht="24" customHeight="1">
      <c r="A857" s="1860">
        <v>2</v>
      </c>
      <c r="B857" s="1860"/>
      <c r="C857" s="1860"/>
      <c r="D857" s="1860"/>
      <c r="E857" s="1839"/>
      <c r="F857" s="1841"/>
      <c r="G857" s="1665"/>
      <c r="H857" s="1596"/>
      <c r="I857" s="1615"/>
      <c r="J857" s="40" t="s">
        <v>90</v>
      </c>
      <c r="K857" s="42"/>
      <c r="L857" s="364">
        <f>L848*30%</f>
        <v>0</v>
      </c>
      <c r="M857" s="364">
        <f>M848*30%</f>
        <v>0</v>
      </c>
      <c r="N857" s="364">
        <f>N848*30%</f>
        <v>0</v>
      </c>
      <c r="O857" s="364">
        <f>O848*30%</f>
        <v>0</v>
      </c>
      <c r="P857" s="364">
        <f>P848*30%</f>
        <v>0</v>
      </c>
      <c r="Q857" s="1475">
        <f>L857*$H855</f>
        <v>0</v>
      </c>
      <c r="R857" s="1475">
        <f>M857*$H855</f>
        <v>0</v>
      </c>
      <c r="S857" s="1475">
        <f>N857*$H855</f>
        <v>0</v>
      </c>
      <c r="T857" s="1475">
        <f>O857*$H855</f>
        <v>0</v>
      </c>
      <c r="U857" s="1475">
        <f>P857*$H855</f>
        <v>0</v>
      </c>
      <c r="V857" s="1475">
        <f t="shared" si="459"/>
        <v>0</v>
      </c>
    </row>
    <row r="858" spans="1:22" s="39" customFormat="1" ht="24" customHeight="1">
      <c r="A858" s="1860">
        <v>2</v>
      </c>
      <c r="B858" s="1860"/>
      <c r="C858" s="1860"/>
      <c r="D858" s="1860"/>
      <c r="E858" s="1839"/>
      <c r="F858" s="1841"/>
      <c r="G858" s="1665"/>
      <c r="H858" s="1596"/>
      <c r="I858" s="1615"/>
      <c r="J858" s="40" t="s">
        <v>83</v>
      </c>
      <c r="K858" s="42"/>
      <c r="L858" s="364">
        <v>0</v>
      </c>
      <c r="M858" s="364">
        <v>0</v>
      </c>
      <c r="N858" s="364">
        <v>0</v>
      </c>
      <c r="O858" s="364">
        <v>0</v>
      </c>
      <c r="P858" s="364">
        <v>0</v>
      </c>
      <c r="Q858" s="1475">
        <f>L858*$H855</f>
        <v>0</v>
      </c>
      <c r="R858" s="1475">
        <f>M858*$H855</f>
        <v>0</v>
      </c>
      <c r="S858" s="1475">
        <f>N858*$H855</f>
        <v>0</v>
      </c>
      <c r="T858" s="1475">
        <f>O858*$H855</f>
        <v>0</v>
      </c>
      <c r="U858" s="1475">
        <f>P858*$H855</f>
        <v>0</v>
      </c>
      <c r="V858" s="1475">
        <f t="shared" si="459"/>
        <v>0</v>
      </c>
    </row>
    <row r="859" spans="1:22" s="39" customFormat="1" ht="24" customHeight="1">
      <c r="A859" s="1860">
        <v>2</v>
      </c>
      <c r="B859" s="1860"/>
      <c r="C859" s="1860"/>
      <c r="D859" s="1860"/>
      <c r="E859" s="1839"/>
      <c r="F859" s="1841"/>
      <c r="G859" s="1666"/>
      <c r="H859" s="1618"/>
      <c r="I859" s="1617"/>
      <c r="J859" s="40" t="s">
        <v>84</v>
      </c>
      <c r="K859" s="42"/>
      <c r="L859" s="364">
        <f>L850-L851</f>
        <v>0</v>
      </c>
      <c r="M859" s="364">
        <f t="shared" ref="M859:U859" si="462">M850-M851</f>
        <v>0</v>
      </c>
      <c r="N859" s="364">
        <f t="shared" si="462"/>
        <v>0</v>
      </c>
      <c r="O859" s="364">
        <f t="shared" si="462"/>
        <v>0</v>
      </c>
      <c r="P859" s="364">
        <f t="shared" si="462"/>
        <v>0</v>
      </c>
      <c r="Q859" s="1475">
        <f t="shared" si="462"/>
        <v>0</v>
      </c>
      <c r="R859" s="1475">
        <f t="shared" si="462"/>
        <v>0</v>
      </c>
      <c r="S859" s="1475">
        <f t="shared" si="462"/>
        <v>0</v>
      </c>
      <c r="T859" s="1475">
        <f t="shared" si="462"/>
        <v>0</v>
      </c>
      <c r="U859" s="1475">
        <f t="shared" si="462"/>
        <v>0</v>
      </c>
      <c r="V859" s="1475">
        <f t="shared" si="459"/>
        <v>0</v>
      </c>
    </row>
    <row r="860" spans="1:22" s="45" customFormat="1" ht="24" customHeight="1">
      <c r="A860" s="1860">
        <v>2</v>
      </c>
      <c r="B860" s="1860">
        <v>2</v>
      </c>
      <c r="C860" s="1860">
        <v>3</v>
      </c>
      <c r="D860" s="1860">
        <v>5</v>
      </c>
      <c r="E860" s="1839" t="s">
        <v>49</v>
      </c>
      <c r="F860" s="1841" t="str">
        <f>CONCATENATE(A860,".",B860,".",C860,".",D860,)</f>
        <v>2.2.3.5</v>
      </c>
      <c r="G860" s="1664" t="s">
        <v>27</v>
      </c>
      <c r="H860" s="1601" t="s">
        <v>157</v>
      </c>
      <c r="I860" s="1614" t="s">
        <v>191</v>
      </c>
      <c r="J860" s="36" t="s">
        <v>79</v>
      </c>
      <c r="K860" s="919">
        <v>75</v>
      </c>
      <c r="L860" s="893">
        <v>75</v>
      </c>
      <c r="M860" s="893">
        <v>75</v>
      </c>
      <c r="N860" s="893">
        <v>75</v>
      </c>
      <c r="O860" s="893">
        <v>75</v>
      </c>
      <c r="P860" s="893">
        <v>75</v>
      </c>
      <c r="Q860" s="1475">
        <f>L860*H865</f>
        <v>918215.70000000007</v>
      </c>
      <c r="R860" s="1475">
        <f>M860*H865</f>
        <v>918215.70000000007</v>
      </c>
      <c r="S860" s="1475">
        <f>N860*H865</f>
        <v>918215.70000000007</v>
      </c>
      <c r="T860" s="1475">
        <f>O860*H865</f>
        <v>918215.70000000007</v>
      </c>
      <c r="U860" s="1475">
        <f>P860*H865</f>
        <v>918215.70000000007</v>
      </c>
      <c r="V860" s="1475">
        <f t="shared" si="459"/>
        <v>4591078.5</v>
      </c>
    </row>
    <row r="861" spans="1:22" s="39" customFormat="1" ht="24" customHeight="1">
      <c r="A861" s="1860">
        <v>2</v>
      </c>
      <c r="B861" s="1860"/>
      <c r="C861" s="1860"/>
      <c r="D861" s="1860"/>
      <c r="E861" s="1839"/>
      <c r="F861" s="1841"/>
      <c r="G861" s="1665"/>
      <c r="H861" s="1601"/>
      <c r="I861" s="1615"/>
      <c r="J861" s="40" t="s">
        <v>80</v>
      </c>
      <c r="K861" s="42"/>
      <c r="L861" s="364">
        <f t="shared" ref="L861:U861" si="463">SUM(L862:L868)</f>
        <v>75</v>
      </c>
      <c r="M861" s="364">
        <f t="shared" si="463"/>
        <v>75</v>
      </c>
      <c r="N861" s="364">
        <f t="shared" si="463"/>
        <v>75</v>
      </c>
      <c r="O861" s="364">
        <f t="shared" si="463"/>
        <v>75</v>
      </c>
      <c r="P861" s="364">
        <f t="shared" si="463"/>
        <v>75</v>
      </c>
      <c r="Q861" s="1475">
        <f t="shared" si="463"/>
        <v>918215.7</v>
      </c>
      <c r="R861" s="1475">
        <f t="shared" si="463"/>
        <v>918215.7</v>
      </c>
      <c r="S861" s="1475">
        <f t="shared" si="463"/>
        <v>918215.7</v>
      </c>
      <c r="T861" s="1475">
        <f t="shared" si="463"/>
        <v>918215.7</v>
      </c>
      <c r="U861" s="1475">
        <f t="shared" si="463"/>
        <v>918215.7</v>
      </c>
      <c r="V861" s="1475">
        <f t="shared" si="459"/>
        <v>4591078.5</v>
      </c>
    </row>
    <row r="862" spans="1:22" s="39" customFormat="1" ht="24" customHeight="1">
      <c r="A862" s="1860">
        <v>2</v>
      </c>
      <c r="B862" s="1860"/>
      <c r="C862" s="1860"/>
      <c r="D862" s="1860"/>
      <c r="E862" s="1839"/>
      <c r="F862" s="1841"/>
      <c r="G862" s="1665"/>
      <c r="H862" s="1601"/>
      <c r="I862" s="1615"/>
      <c r="J862" s="40" t="s">
        <v>429</v>
      </c>
      <c r="K862" s="42"/>
      <c r="L862" s="364">
        <f>L860*0.7</f>
        <v>52.5</v>
      </c>
      <c r="M862" s="364">
        <f t="shared" ref="M862:P862" si="464">M860*0.7</f>
        <v>52.5</v>
      </c>
      <c r="N862" s="364">
        <f t="shared" si="464"/>
        <v>52.5</v>
      </c>
      <c r="O862" s="364">
        <f t="shared" si="464"/>
        <v>52.5</v>
      </c>
      <c r="P862" s="364">
        <f t="shared" si="464"/>
        <v>52.5</v>
      </c>
      <c r="Q862" s="1475">
        <f>L862*$H865</f>
        <v>642750.99</v>
      </c>
      <c r="R862" s="1475">
        <f>M862*$H865</f>
        <v>642750.99</v>
      </c>
      <c r="S862" s="1475">
        <f>N862*$H865</f>
        <v>642750.99</v>
      </c>
      <c r="T862" s="1475">
        <f>O862*$H865</f>
        <v>642750.99</v>
      </c>
      <c r="U862" s="1475">
        <f>P862*$H865</f>
        <v>642750.99</v>
      </c>
      <c r="V862" s="1475">
        <f t="shared" si="459"/>
        <v>3213754.95</v>
      </c>
    </row>
    <row r="863" spans="1:22" s="39" customFormat="1" ht="24" customHeight="1">
      <c r="A863" s="1860">
        <v>2</v>
      </c>
      <c r="B863" s="1860"/>
      <c r="C863" s="1860"/>
      <c r="D863" s="1860"/>
      <c r="E863" s="1839"/>
      <c r="F863" s="1841"/>
      <c r="G863" s="1665"/>
      <c r="H863" s="1601"/>
      <c r="I863" s="1615"/>
      <c r="J863" s="40" t="s">
        <v>133</v>
      </c>
      <c r="K863" s="42"/>
      <c r="L863" s="364">
        <f>L860*0.3</f>
        <v>22.5</v>
      </c>
      <c r="M863" s="364">
        <f t="shared" ref="M863:P863" si="465">M860*0.3</f>
        <v>22.5</v>
      </c>
      <c r="N863" s="364">
        <f t="shared" si="465"/>
        <v>22.5</v>
      </c>
      <c r="O863" s="364">
        <f t="shared" si="465"/>
        <v>22.5</v>
      </c>
      <c r="P863" s="364">
        <f t="shared" si="465"/>
        <v>22.5</v>
      </c>
      <c r="Q863" s="1475">
        <f>L863*$H865</f>
        <v>275464.71000000002</v>
      </c>
      <c r="R863" s="1475">
        <f>M863*$H865</f>
        <v>275464.71000000002</v>
      </c>
      <c r="S863" s="1475">
        <f>N863*$H865</f>
        <v>275464.71000000002</v>
      </c>
      <c r="T863" s="1475">
        <f>O863*$H865</f>
        <v>275464.71000000002</v>
      </c>
      <c r="U863" s="1475">
        <f>P863*$H865</f>
        <v>275464.71000000002</v>
      </c>
      <c r="V863" s="1475">
        <f t="shared" si="459"/>
        <v>1377323.55</v>
      </c>
    </row>
    <row r="864" spans="1:22" s="39" customFormat="1" ht="24" customHeight="1">
      <c r="A864" s="1860">
        <v>2</v>
      </c>
      <c r="B864" s="1860"/>
      <c r="C864" s="1860"/>
      <c r="D864" s="1860"/>
      <c r="E864" s="1839"/>
      <c r="F864" s="1841"/>
      <c r="G864" s="1665"/>
      <c r="H864" s="1601"/>
      <c r="I864" s="1615"/>
      <c r="J864" s="40" t="s">
        <v>81</v>
      </c>
      <c r="K864" s="42"/>
      <c r="L864" s="364">
        <v>0</v>
      </c>
      <c r="M864" s="364">
        <v>0</v>
      </c>
      <c r="N864" s="364">
        <v>0</v>
      </c>
      <c r="O864" s="364">
        <v>0</v>
      </c>
      <c r="P864" s="364">
        <v>0</v>
      </c>
      <c r="Q864" s="1475">
        <f>L864*$H865</f>
        <v>0</v>
      </c>
      <c r="R864" s="1475">
        <f>M864*$H865</f>
        <v>0</v>
      </c>
      <c r="S864" s="1475">
        <f>N864*$H865</f>
        <v>0</v>
      </c>
      <c r="T864" s="1475">
        <f>O864*$H865</f>
        <v>0</v>
      </c>
      <c r="U864" s="1475">
        <f>P864*$H865</f>
        <v>0</v>
      </c>
      <c r="V864" s="1475">
        <f t="shared" si="459"/>
        <v>0</v>
      </c>
    </row>
    <row r="865" spans="1:22" s="39" customFormat="1" ht="24" customHeight="1">
      <c r="A865" s="1860">
        <v>2</v>
      </c>
      <c r="B865" s="1860"/>
      <c r="C865" s="1860"/>
      <c r="D865" s="1860"/>
      <c r="E865" s="1839"/>
      <c r="F865" s="1841"/>
      <c r="G865" s="1665"/>
      <c r="H865" s="1595">
        <f>'Budget assumption'!C260</f>
        <v>12242.876</v>
      </c>
      <c r="I865" s="1615"/>
      <c r="J865" s="40" t="s">
        <v>134</v>
      </c>
      <c r="K865" s="42"/>
      <c r="L865" s="364">
        <f>L856*30%</f>
        <v>0</v>
      </c>
      <c r="M865" s="364">
        <f>M856*30%</f>
        <v>0</v>
      </c>
      <c r="N865" s="364">
        <f>N856*30%</f>
        <v>0</v>
      </c>
      <c r="O865" s="364">
        <f>O856*30%</f>
        <v>0</v>
      </c>
      <c r="P865" s="364">
        <f>P856*30%</f>
        <v>0</v>
      </c>
      <c r="Q865" s="1475">
        <f>L865*$H865</f>
        <v>0</v>
      </c>
      <c r="R865" s="1475">
        <f>M865*$H865</f>
        <v>0</v>
      </c>
      <c r="S865" s="1475">
        <f>N865*$H865</f>
        <v>0</v>
      </c>
      <c r="T865" s="1475">
        <f>O865*$H865</f>
        <v>0</v>
      </c>
      <c r="U865" s="1475">
        <f>P865*$H865</f>
        <v>0</v>
      </c>
      <c r="V865" s="1475">
        <f t="shared" si="459"/>
        <v>0</v>
      </c>
    </row>
    <row r="866" spans="1:22" s="39" customFormat="1" ht="24" customHeight="1">
      <c r="A866" s="1860">
        <v>2</v>
      </c>
      <c r="B866" s="1860"/>
      <c r="C866" s="1860"/>
      <c r="D866" s="1860"/>
      <c r="E866" s="1839"/>
      <c r="F866" s="1841"/>
      <c r="G866" s="1665"/>
      <c r="H866" s="1596">
        <f>810*0.05</f>
        <v>40.5</v>
      </c>
      <c r="I866" s="1615"/>
      <c r="J866" s="40" t="s">
        <v>82</v>
      </c>
      <c r="K866" s="42"/>
      <c r="L866" s="364">
        <v>0</v>
      </c>
      <c r="M866" s="364">
        <v>0</v>
      </c>
      <c r="N866" s="364">
        <v>0</v>
      </c>
      <c r="O866" s="364">
        <v>0</v>
      </c>
      <c r="P866" s="364">
        <v>0</v>
      </c>
      <c r="Q866" s="1475">
        <f>L866*$H865</f>
        <v>0</v>
      </c>
      <c r="R866" s="1475">
        <f>M866*$H865</f>
        <v>0</v>
      </c>
      <c r="S866" s="1475">
        <f>N866*$H865</f>
        <v>0</v>
      </c>
      <c r="T866" s="1475">
        <f>O866*$H865</f>
        <v>0</v>
      </c>
      <c r="U866" s="1475">
        <f>P866*$H865</f>
        <v>0</v>
      </c>
      <c r="V866" s="1475">
        <f t="shared" si="459"/>
        <v>0</v>
      </c>
    </row>
    <row r="867" spans="1:22" s="39" customFormat="1" ht="24" customHeight="1">
      <c r="A867" s="1860">
        <v>2</v>
      </c>
      <c r="B867" s="1860"/>
      <c r="C867" s="1860"/>
      <c r="D867" s="1860"/>
      <c r="E867" s="1839"/>
      <c r="F867" s="1841"/>
      <c r="G867" s="1665"/>
      <c r="H867" s="1596"/>
      <c r="I867" s="1615"/>
      <c r="J867" s="40" t="s">
        <v>90</v>
      </c>
      <c r="K867" s="42"/>
      <c r="L867" s="364">
        <v>0</v>
      </c>
      <c r="M867" s="364">
        <v>0</v>
      </c>
      <c r="N867" s="364">
        <v>0</v>
      </c>
      <c r="O867" s="364">
        <v>0</v>
      </c>
      <c r="P867" s="364">
        <v>0</v>
      </c>
      <c r="Q867" s="1475">
        <f>L867*$H865</f>
        <v>0</v>
      </c>
      <c r="R867" s="1475">
        <f>M867*$H865</f>
        <v>0</v>
      </c>
      <c r="S867" s="1475">
        <f>N867*$H865</f>
        <v>0</v>
      </c>
      <c r="T867" s="1475">
        <f>O867*$H865</f>
        <v>0</v>
      </c>
      <c r="U867" s="1475">
        <f>P867*$H865</f>
        <v>0</v>
      </c>
      <c r="V867" s="1475">
        <f t="shared" si="459"/>
        <v>0</v>
      </c>
    </row>
    <row r="868" spans="1:22" s="39" customFormat="1" ht="24" customHeight="1">
      <c r="A868" s="1860">
        <v>2</v>
      </c>
      <c r="B868" s="1860"/>
      <c r="C868" s="1860"/>
      <c r="D868" s="1860"/>
      <c r="E868" s="1839"/>
      <c r="F868" s="1841"/>
      <c r="G868" s="1665"/>
      <c r="H868" s="1596"/>
      <c r="I868" s="1615"/>
      <c r="J868" s="40" t="s">
        <v>83</v>
      </c>
      <c r="K868" s="42"/>
      <c r="L868" s="364">
        <v>0</v>
      </c>
      <c r="M868" s="364">
        <v>0</v>
      </c>
      <c r="N868" s="364">
        <v>0</v>
      </c>
      <c r="O868" s="364">
        <v>0</v>
      </c>
      <c r="P868" s="364">
        <v>0</v>
      </c>
      <c r="Q868" s="1475">
        <f>L868*$H865</f>
        <v>0</v>
      </c>
      <c r="R868" s="1475">
        <f>M868*$H865</f>
        <v>0</v>
      </c>
      <c r="S868" s="1475">
        <f>N868*$H865</f>
        <v>0</v>
      </c>
      <c r="T868" s="1475">
        <f>O868*$H865</f>
        <v>0</v>
      </c>
      <c r="U868" s="1475">
        <f>P868*$H865</f>
        <v>0</v>
      </c>
      <c r="V868" s="1475">
        <f t="shared" si="459"/>
        <v>0</v>
      </c>
    </row>
    <row r="869" spans="1:22" s="39" customFormat="1" ht="24" customHeight="1">
      <c r="A869" s="1860">
        <v>2</v>
      </c>
      <c r="B869" s="1860"/>
      <c r="C869" s="1860"/>
      <c r="D869" s="1860"/>
      <c r="E869" s="1839"/>
      <c r="F869" s="1841"/>
      <c r="G869" s="1666"/>
      <c r="H869" s="1618"/>
      <c r="I869" s="1617"/>
      <c r="J869" s="40" t="s">
        <v>84</v>
      </c>
      <c r="K869" s="42"/>
      <c r="L869" s="364">
        <f>L860-L861</f>
        <v>0</v>
      </c>
      <c r="M869" s="364">
        <f t="shared" ref="M869:U869" si="466">M860-M861</f>
        <v>0</v>
      </c>
      <c r="N869" s="364">
        <f t="shared" si="466"/>
        <v>0</v>
      </c>
      <c r="O869" s="364">
        <f t="shared" si="466"/>
        <v>0</v>
      </c>
      <c r="P869" s="364">
        <f t="shared" si="466"/>
        <v>0</v>
      </c>
      <c r="Q869" s="1475">
        <f t="shared" si="466"/>
        <v>0</v>
      </c>
      <c r="R869" s="1475">
        <f t="shared" si="466"/>
        <v>0</v>
      </c>
      <c r="S869" s="1475">
        <f t="shared" si="466"/>
        <v>0</v>
      </c>
      <c r="T869" s="1475">
        <f t="shared" si="466"/>
        <v>0</v>
      </c>
      <c r="U869" s="1475">
        <f t="shared" si="466"/>
        <v>0</v>
      </c>
      <c r="V869" s="1475">
        <f t="shared" si="459"/>
        <v>0</v>
      </c>
    </row>
    <row r="870" spans="1:22" s="45" customFormat="1" ht="24" customHeight="1">
      <c r="A870" s="1860">
        <v>2</v>
      </c>
      <c r="B870" s="1860">
        <v>2</v>
      </c>
      <c r="C870" s="1860">
        <v>3</v>
      </c>
      <c r="D870" s="1860">
        <v>6</v>
      </c>
      <c r="E870" s="1839" t="s">
        <v>49</v>
      </c>
      <c r="F870" s="1841" t="str">
        <f>CONCATENATE(A870,".",B870,".",C870,".",D870,)</f>
        <v>2.2.3.6</v>
      </c>
      <c r="G870" s="1664" t="s">
        <v>393</v>
      </c>
      <c r="H870" s="1601" t="s">
        <v>157</v>
      </c>
      <c r="I870" s="1614" t="s">
        <v>392</v>
      </c>
      <c r="J870" s="36" t="s">
        <v>79</v>
      </c>
      <c r="K870" s="919">
        <f>'Budget assumption'!C244</f>
        <v>2000</v>
      </c>
      <c r="L870" s="893">
        <f>'Budget assumption'!$E$244</f>
        <v>2000</v>
      </c>
      <c r="M870" s="893">
        <f>'Budget assumption'!$E$244</f>
        <v>2000</v>
      </c>
      <c r="N870" s="893">
        <f>'Budget assumption'!$E$244</f>
        <v>2000</v>
      </c>
      <c r="O870" s="893">
        <f>'Budget assumption'!$E$244</f>
        <v>2000</v>
      </c>
      <c r="P870" s="893">
        <f>'Budget assumption'!$E$244</f>
        <v>2000</v>
      </c>
      <c r="Q870" s="1475">
        <f>L870*H875</f>
        <v>24000</v>
      </c>
      <c r="R870" s="1475">
        <f>M870*H875</f>
        <v>24000</v>
      </c>
      <c r="S870" s="1475">
        <f>N870*H875</f>
        <v>24000</v>
      </c>
      <c r="T870" s="1475">
        <f>O870*H875</f>
        <v>24000</v>
      </c>
      <c r="U870" s="1475">
        <f>P870*H875</f>
        <v>24000</v>
      </c>
      <c r="V870" s="1475">
        <f t="shared" si="459"/>
        <v>120000</v>
      </c>
    </row>
    <row r="871" spans="1:22" s="39" customFormat="1" ht="24" customHeight="1">
      <c r="A871" s="1860">
        <v>2</v>
      </c>
      <c r="B871" s="1860"/>
      <c r="C871" s="1860"/>
      <c r="D871" s="1860"/>
      <c r="E871" s="1839"/>
      <c r="F871" s="1841"/>
      <c r="G871" s="1665"/>
      <c r="H871" s="1601"/>
      <c r="I871" s="1615"/>
      <c r="J871" s="40" t="s">
        <v>80</v>
      </c>
      <c r="K871" s="42"/>
      <c r="L871" s="364">
        <f t="shared" ref="L871:U871" si="467">SUM(L872:L878)</f>
        <v>2000</v>
      </c>
      <c r="M871" s="364">
        <f t="shared" si="467"/>
        <v>2000</v>
      </c>
      <c r="N871" s="364">
        <f t="shared" si="467"/>
        <v>2000</v>
      </c>
      <c r="O871" s="364">
        <f t="shared" si="467"/>
        <v>2000</v>
      </c>
      <c r="P871" s="364">
        <f t="shared" si="467"/>
        <v>2000</v>
      </c>
      <c r="Q871" s="1475">
        <f t="shared" si="467"/>
        <v>24000</v>
      </c>
      <c r="R871" s="1475">
        <f t="shared" si="467"/>
        <v>24000</v>
      </c>
      <c r="S871" s="1475">
        <f t="shared" si="467"/>
        <v>24000</v>
      </c>
      <c r="T871" s="1475">
        <f t="shared" si="467"/>
        <v>24000</v>
      </c>
      <c r="U871" s="1475">
        <f t="shared" si="467"/>
        <v>24000</v>
      </c>
      <c r="V871" s="1475">
        <f t="shared" si="459"/>
        <v>120000</v>
      </c>
    </row>
    <row r="872" spans="1:22" s="39" customFormat="1" ht="24" customHeight="1">
      <c r="A872" s="1860">
        <v>2</v>
      </c>
      <c r="B872" s="1860"/>
      <c r="C872" s="1860"/>
      <c r="D872" s="1860"/>
      <c r="E872" s="1839"/>
      <c r="F872" s="1841"/>
      <c r="G872" s="1665"/>
      <c r="H872" s="1601"/>
      <c r="I872" s="1615"/>
      <c r="J872" s="40" t="s">
        <v>429</v>
      </c>
      <c r="K872" s="42"/>
      <c r="L872" s="364">
        <f>L870*70%</f>
        <v>1400</v>
      </c>
      <c r="M872" s="364">
        <f t="shared" ref="M872:P872" si="468">M870*70%</f>
        <v>1400</v>
      </c>
      <c r="N872" s="364">
        <f t="shared" si="468"/>
        <v>1400</v>
      </c>
      <c r="O872" s="364">
        <f t="shared" si="468"/>
        <v>1400</v>
      </c>
      <c r="P872" s="364">
        <f t="shared" si="468"/>
        <v>1400</v>
      </c>
      <c r="Q872" s="1475">
        <f>L872*$H875</f>
        <v>16800</v>
      </c>
      <c r="R872" s="1475">
        <f>M872*$H875</f>
        <v>16800</v>
      </c>
      <c r="S872" s="1475">
        <f>N872*$H875</f>
        <v>16800</v>
      </c>
      <c r="T872" s="1475">
        <f>O872*$H875</f>
        <v>16800</v>
      </c>
      <c r="U872" s="1475">
        <f>P872*$H875</f>
        <v>16800</v>
      </c>
      <c r="V872" s="1475">
        <f t="shared" si="459"/>
        <v>84000</v>
      </c>
    </row>
    <row r="873" spans="1:22" s="39" customFormat="1" ht="24" customHeight="1">
      <c r="A873" s="1860">
        <v>2</v>
      </c>
      <c r="B873" s="1860"/>
      <c r="C873" s="1860"/>
      <c r="D873" s="1860"/>
      <c r="E873" s="1839"/>
      <c r="F873" s="1841"/>
      <c r="G873" s="1665"/>
      <c r="H873" s="1601"/>
      <c r="I873" s="1615"/>
      <c r="J873" s="40" t="s">
        <v>133</v>
      </c>
      <c r="K873" s="42"/>
      <c r="L873" s="364">
        <f>L870*30%</f>
        <v>600</v>
      </c>
      <c r="M873" s="364">
        <f t="shared" ref="M873:P873" si="469">M870*30%</f>
        <v>600</v>
      </c>
      <c r="N873" s="364">
        <f t="shared" si="469"/>
        <v>600</v>
      </c>
      <c r="O873" s="364">
        <f t="shared" si="469"/>
        <v>600</v>
      </c>
      <c r="P873" s="364">
        <f t="shared" si="469"/>
        <v>600</v>
      </c>
      <c r="Q873" s="1475">
        <f>L873*$H875</f>
        <v>7200</v>
      </c>
      <c r="R873" s="1475">
        <f>M873*$H875</f>
        <v>7200</v>
      </c>
      <c r="S873" s="1475">
        <f>N873*$H875</f>
        <v>7200</v>
      </c>
      <c r="T873" s="1475">
        <f>O873*$H875</f>
        <v>7200</v>
      </c>
      <c r="U873" s="1475">
        <f>P873*$H875</f>
        <v>7200</v>
      </c>
      <c r="V873" s="1475">
        <f t="shared" si="459"/>
        <v>36000</v>
      </c>
    </row>
    <row r="874" spans="1:22" s="39" customFormat="1" ht="24" customHeight="1">
      <c r="A874" s="1860">
        <v>2</v>
      </c>
      <c r="B874" s="1860"/>
      <c r="C874" s="1860"/>
      <c r="D874" s="1860"/>
      <c r="E874" s="1839"/>
      <c r="F874" s="1841"/>
      <c r="G874" s="1665"/>
      <c r="H874" s="1601"/>
      <c r="I874" s="1615"/>
      <c r="J874" s="40" t="s">
        <v>81</v>
      </c>
      <c r="K874" s="42"/>
      <c r="L874" s="364">
        <v>0</v>
      </c>
      <c r="M874" s="364">
        <v>0</v>
      </c>
      <c r="N874" s="364">
        <v>0</v>
      </c>
      <c r="O874" s="364">
        <v>0</v>
      </c>
      <c r="P874" s="364">
        <v>0</v>
      </c>
      <c r="Q874" s="1475">
        <f>L874*$H875</f>
        <v>0</v>
      </c>
      <c r="R874" s="1475">
        <f>M874*$H875</f>
        <v>0</v>
      </c>
      <c r="S874" s="1475">
        <f>N874*$H875</f>
        <v>0</v>
      </c>
      <c r="T874" s="1475">
        <f>O874*$H875</f>
        <v>0</v>
      </c>
      <c r="U874" s="1475">
        <f>P874*$H875</f>
        <v>0</v>
      </c>
      <c r="V874" s="1475">
        <f t="shared" si="459"/>
        <v>0</v>
      </c>
    </row>
    <row r="875" spans="1:22" s="39" customFormat="1" ht="24" customHeight="1">
      <c r="A875" s="1860">
        <v>2</v>
      </c>
      <c r="B875" s="1860"/>
      <c r="C875" s="1860"/>
      <c r="D875" s="1860"/>
      <c r="E875" s="1839"/>
      <c r="F875" s="1841"/>
      <c r="G875" s="1665"/>
      <c r="H875" s="1595">
        <f>'Budget assumption'!D263</f>
        <v>12</v>
      </c>
      <c r="I875" s="1615"/>
      <c r="J875" s="40" t="s">
        <v>134</v>
      </c>
      <c r="K875" s="42"/>
      <c r="L875" s="364">
        <v>0</v>
      </c>
      <c r="M875" s="364">
        <v>0</v>
      </c>
      <c r="N875" s="364">
        <v>0</v>
      </c>
      <c r="O875" s="364">
        <v>0</v>
      </c>
      <c r="P875" s="364">
        <v>0</v>
      </c>
      <c r="Q875" s="1475">
        <f>L875*$H875</f>
        <v>0</v>
      </c>
      <c r="R875" s="1475">
        <f>M875*$H875</f>
        <v>0</v>
      </c>
      <c r="S875" s="1475">
        <f>N875*$H875</f>
        <v>0</v>
      </c>
      <c r="T875" s="1475">
        <f>O875*$H875</f>
        <v>0</v>
      </c>
      <c r="U875" s="1475">
        <f>P875*$H875</f>
        <v>0</v>
      </c>
      <c r="V875" s="1475">
        <f t="shared" si="459"/>
        <v>0</v>
      </c>
    </row>
    <row r="876" spans="1:22" s="39" customFormat="1" ht="24" customHeight="1">
      <c r="A876" s="1860">
        <v>2</v>
      </c>
      <c r="B876" s="1860"/>
      <c r="C876" s="1860"/>
      <c r="D876" s="1860"/>
      <c r="E876" s="1839"/>
      <c r="F876" s="1841"/>
      <c r="G876" s="1665"/>
      <c r="H876" s="1596">
        <f>810*0.05</f>
        <v>40.5</v>
      </c>
      <c r="I876" s="1615"/>
      <c r="J876" s="40" t="s">
        <v>82</v>
      </c>
      <c r="K876" s="42"/>
      <c r="L876" s="364">
        <v>0</v>
      </c>
      <c r="M876" s="364">
        <v>0</v>
      </c>
      <c r="N876" s="364">
        <v>0</v>
      </c>
      <c r="O876" s="364">
        <v>0</v>
      </c>
      <c r="P876" s="364">
        <v>0</v>
      </c>
      <c r="Q876" s="1475">
        <f>L876*$H875</f>
        <v>0</v>
      </c>
      <c r="R876" s="1475">
        <f>M876*$H875</f>
        <v>0</v>
      </c>
      <c r="S876" s="1475">
        <f>N876*$H875</f>
        <v>0</v>
      </c>
      <c r="T876" s="1475">
        <f>O876*$H875</f>
        <v>0</v>
      </c>
      <c r="U876" s="1475">
        <f>P876*$H875</f>
        <v>0</v>
      </c>
      <c r="V876" s="1475">
        <f t="shared" si="459"/>
        <v>0</v>
      </c>
    </row>
    <row r="877" spans="1:22" s="39" customFormat="1" ht="24" customHeight="1">
      <c r="A877" s="1860">
        <v>2</v>
      </c>
      <c r="B877" s="1860"/>
      <c r="C877" s="1860"/>
      <c r="D877" s="1860"/>
      <c r="E877" s="1839"/>
      <c r="F877" s="1841"/>
      <c r="G877" s="1665"/>
      <c r="H877" s="1596"/>
      <c r="I877" s="1615"/>
      <c r="J877" s="40" t="s">
        <v>90</v>
      </c>
      <c r="K877" s="42"/>
      <c r="L877" s="364">
        <v>0</v>
      </c>
      <c r="M877" s="364">
        <v>0</v>
      </c>
      <c r="N877" s="364">
        <v>0</v>
      </c>
      <c r="O877" s="364">
        <v>0</v>
      </c>
      <c r="P877" s="364">
        <v>0</v>
      </c>
      <c r="Q877" s="1475">
        <f>L877*$H875</f>
        <v>0</v>
      </c>
      <c r="R877" s="1475">
        <f>M877*$H875</f>
        <v>0</v>
      </c>
      <c r="S877" s="1475">
        <f>N877*$H875</f>
        <v>0</v>
      </c>
      <c r="T877" s="1475">
        <f>O877*$H875</f>
        <v>0</v>
      </c>
      <c r="U877" s="1475">
        <f>P877*$H875</f>
        <v>0</v>
      </c>
      <c r="V877" s="1475">
        <f t="shared" si="459"/>
        <v>0</v>
      </c>
    </row>
    <row r="878" spans="1:22" s="39" customFormat="1" ht="24" customHeight="1">
      <c r="A878" s="1860">
        <v>2</v>
      </c>
      <c r="B878" s="1860"/>
      <c r="C878" s="1860"/>
      <c r="D878" s="1860"/>
      <c r="E878" s="1839"/>
      <c r="F878" s="1841"/>
      <c r="G878" s="1665"/>
      <c r="H878" s="1596"/>
      <c r="I878" s="1615"/>
      <c r="J878" s="40" t="s">
        <v>83</v>
      </c>
      <c r="K878" s="42"/>
      <c r="L878" s="364">
        <v>0</v>
      </c>
      <c r="M878" s="364">
        <v>0</v>
      </c>
      <c r="N878" s="364">
        <v>0</v>
      </c>
      <c r="O878" s="364">
        <v>0</v>
      </c>
      <c r="P878" s="364">
        <v>0</v>
      </c>
      <c r="Q878" s="1475">
        <f>L878*$H875</f>
        <v>0</v>
      </c>
      <c r="R878" s="1475">
        <f>M878*$H875</f>
        <v>0</v>
      </c>
      <c r="S878" s="1475">
        <f>N878*$H875</f>
        <v>0</v>
      </c>
      <c r="T878" s="1475">
        <f>O878*$H875</f>
        <v>0</v>
      </c>
      <c r="U878" s="1475">
        <f>P878*$H875</f>
        <v>0</v>
      </c>
      <c r="V878" s="1475">
        <f t="shared" si="459"/>
        <v>0</v>
      </c>
    </row>
    <row r="879" spans="1:22" s="39" customFormat="1" ht="24" customHeight="1">
      <c r="A879" s="1860">
        <v>2</v>
      </c>
      <c r="B879" s="1860"/>
      <c r="C879" s="1860"/>
      <c r="D879" s="1860"/>
      <c r="E879" s="1839"/>
      <c r="F879" s="1841"/>
      <c r="G879" s="1666"/>
      <c r="H879" s="1618"/>
      <c r="I879" s="1617"/>
      <c r="J879" s="40" t="s">
        <v>84</v>
      </c>
      <c r="K879" s="42"/>
      <c r="L879" s="364">
        <f>L870-L871</f>
        <v>0</v>
      </c>
      <c r="M879" s="364">
        <f t="shared" ref="M879:U879" si="470">M870-M871</f>
        <v>0</v>
      </c>
      <c r="N879" s="364">
        <f t="shared" si="470"/>
        <v>0</v>
      </c>
      <c r="O879" s="364">
        <f t="shared" si="470"/>
        <v>0</v>
      </c>
      <c r="P879" s="364">
        <f t="shared" si="470"/>
        <v>0</v>
      </c>
      <c r="Q879" s="1475">
        <f t="shared" si="470"/>
        <v>0</v>
      </c>
      <c r="R879" s="1475">
        <f t="shared" si="470"/>
        <v>0</v>
      </c>
      <c r="S879" s="1475">
        <f t="shared" si="470"/>
        <v>0</v>
      </c>
      <c r="T879" s="1475">
        <f t="shared" si="470"/>
        <v>0</v>
      </c>
      <c r="U879" s="1475">
        <f t="shared" si="470"/>
        <v>0</v>
      </c>
      <c r="V879" s="1475">
        <f t="shared" si="459"/>
        <v>0</v>
      </c>
    </row>
    <row r="880" spans="1:22" s="45" customFormat="1" ht="24" customHeight="1">
      <c r="A880" s="1860">
        <v>2</v>
      </c>
      <c r="B880" s="1860">
        <v>2</v>
      </c>
      <c r="C880" s="1860">
        <v>3</v>
      </c>
      <c r="D880" s="1860">
        <v>7</v>
      </c>
      <c r="E880" s="1839" t="s">
        <v>49</v>
      </c>
      <c r="F880" s="1841" t="str">
        <f>CONCATENATE(A880,".",B880,".",C880,".",D880,)</f>
        <v>2.2.3.7</v>
      </c>
      <c r="G880" s="1664" t="s">
        <v>28</v>
      </c>
      <c r="H880" s="1601" t="s">
        <v>157</v>
      </c>
      <c r="I880" s="1614" t="s">
        <v>392</v>
      </c>
      <c r="J880" s="36" t="s">
        <v>79</v>
      </c>
      <c r="K880" s="919"/>
      <c r="L880" s="893">
        <f>'Budget assumption'!$E$244</f>
        <v>2000</v>
      </c>
      <c r="M880" s="893">
        <f>'Budget assumption'!$E$244</f>
        <v>2000</v>
      </c>
      <c r="N880" s="893">
        <f>'Budget assumption'!$E$244</f>
        <v>2000</v>
      </c>
      <c r="O880" s="893">
        <f>'Budget assumption'!$E$244</f>
        <v>2000</v>
      </c>
      <c r="P880" s="893">
        <f>'Budget assumption'!$E$244</f>
        <v>2000</v>
      </c>
      <c r="Q880" s="1475">
        <f>L880*H885</f>
        <v>360000</v>
      </c>
      <c r="R880" s="1475">
        <f>M880*H885</f>
        <v>360000</v>
      </c>
      <c r="S880" s="1475">
        <f>N880*H885</f>
        <v>360000</v>
      </c>
      <c r="T880" s="1475">
        <f>O880*H885</f>
        <v>360000</v>
      </c>
      <c r="U880" s="1475">
        <f>P880*H885</f>
        <v>360000</v>
      </c>
      <c r="V880" s="1475">
        <f t="shared" ref="V880:V899" si="471">SUM(Q880:U880)</f>
        <v>1800000</v>
      </c>
    </row>
    <row r="881" spans="1:22" s="39" customFormat="1" ht="24" customHeight="1">
      <c r="A881" s="1860">
        <v>2</v>
      </c>
      <c r="B881" s="1860"/>
      <c r="C881" s="1860"/>
      <c r="D881" s="1860"/>
      <c r="E881" s="1839"/>
      <c r="F881" s="1841"/>
      <c r="G881" s="1665"/>
      <c r="H881" s="1601"/>
      <c r="I881" s="1615"/>
      <c r="J881" s="40" t="s">
        <v>80</v>
      </c>
      <c r="K881" s="42"/>
      <c r="L881" s="364">
        <f t="shared" ref="L881:U881" si="472">SUM(L882:L888)</f>
        <v>2000</v>
      </c>
      <c r="M881" s="364">
        <f t="shared" si="472"/>
        <v>2000</v>
      </c>
      <c r="N881" s="364">
        <f t="shared" si="472"/>
        <v>2000</v>
      </c>
      <c r="O881" s="364">
        <f t="shared" si="472"/>
        <v>2000</v>
      </c>
      <c r="P881" s="364">
        <f t="shared" si="472"/>
        <v>2000</v>
      </c>
      <c r="Q881" s="1475">
        <f t="shared" si="472"/>
        <v>360000</v>
      </c>
      <c r="R881" s="1475">
        <f t="shared" si="472"/>
        <v>360000</v>
      </c>
      <c r="S881" s="1475">
        <f t="shared" si="472"/>
        <v>360000</v>
      </c>
      <c r="T881" s="1475">
        <f t="shared" si="472"/>
        <v>360000</v>
      </c>
      <c r="U881" s="1475">
        <f t="shared" si="472"/>
        <v>360000</v>
      </c>
      <c r="V881" s="1475">
        <f t="shared" si="471"/>
        <v>1800000</v>
      </c>
    </row>
    <row r="882" spans="1:22" s="39" customFormat="1" ht="24" customHeight="1">
      <c r="A882" s="1860">
        <v>2</v>
      </c>
      <c r="B882" s="1860"/>
      <c r="C882" s="1860"/>
      <c r="D882" s="1860"/>
      <c r="E882" s="1839"/>
      <c r="F882" s="1841"/>
      <c r="G882" s="1665"/>
      <c r="H882" s="1601"/>
      <c r="I882" s="1615"/>
      <c r="J882" s="40" t="s">
        <v>429</v>
      </c>
      <c r="K882" s="42"/>
      <c r="L882" s="364">
        <v>0</v>
      </c>
      <c r="M882" s="364">
        <v>0</v>
      </c>
      <c r="N882" s="364">
        <v>0</v>
      </c>
      <c r="O882" s="364">
        <v>0</v>
      </c>
      <c r="P882" s="364">
        <v>0</v>
      </c>
      <c r="Q882" s="1475">
        <f>L882*$H885</f>
        <v>0</v>
      </c>
      <c r="R882" s="1475">
        <f>M882*$H885</f>
        <v>0</v>
      </c>
      <c r="S882" s="1475">
        <f>N882*$H885</f>
        <v>0</v>
      </c>
      <c r="T882" s="1475">
        <f>O882*$H885</f>
        <v>0</v>
      </c>
      <c r="U882" s="1475">
        <f>P882*$H885</f>
        <v>0</v>
      </c>
      <c r="V882" s="1475">
        <f t="shared" si="471"/>
        <v>0</v>
      </c>
    </row>
    <row r="883" spans="1:22" s="39" customFormat="1" ht="24" customHeight="1">
      <c r="A883" s="1860">
        <v>2</v>
      </c>
      <c r="B883" s="1860"/>
      <c r="C883" s="1860"/>
      <c r="D883" s="1860"/>
      <c r="E883" s="1839"/>
      <c r="F883" s="1841"/>
      <c r="G883" s="1665"/>
      <c r="H883" s="1601"/>
      <c r="I883" s="1615"/>
      <c r="J883" s="40" t="s">
        <v>133</v>
      </c>
      <c r="K883" s="42"/>
      <c r="L883" s="364">
        <f>L880*30%</f>
        <v>600</v>
      </c>
      <c r="M883" s="364">
        <f t="shared" ref="M883:P883" si="473">M880*30%</f>
        <v>600</v>
      </c>
      <c r="N883" s="364">
        <f t="shared" si="473"/>
        <v>600</v>
      </c>
      <c r="O883" s="364">
        <f t="shared" si="473"/>
        <v>600</v>
      </c>
      <c r="P883" s="364">
        <f t="shared" si="473"/>
        <v>600</v>
      </c>
      <c r="Q883" s="1475">
        <f>L883*$H885</f>
        <v>108000</v>
      </c>
      <c r="R883" s="1475">
        <f>M883*$H885</f>
        <v>108000</v>
      </c>
      <c r="S883" s="1475">
        <f>N883*$H885</f>
        <v>108000</v>
      </c>
      <c r="T883" s="1475">
        <f>O883*$H885</f>
        <v>108000</v>
      </c>
      <c r="U883" s="1475">
        <f>P883*$H885</f>
        <v>108000</v>
      </c>
      <c r="V883" s="1475">
        <f t="shared" si="471"/>
        <v>540000</v>
      </c>
    </row>
    <row r="884" spans="1:22" s="39" customFormat="1" ht="24" customHeight="1">
      <c r="A884" s="1860">
        <v>2</v>
      </c>
      <c r="B884" s="1860"/>
      <c r="C884" s="1860"/>
      <c r="D884" s="1860"/>
      <c r="E884" s="1839"/>
      <c r="F884" s="1841"/>
      <c r="G884" s="1665"/>
      <c r="H884" s="1601"/>
      <c r="I884" s="1615"/>
      <c r="J884" s="40" t="s">
        <v>81</v>
      </c>
      <c r="K884" s="42"/>
      <c r="L884" s="364">
        <v>0</v>
      </c>
      <c r="M884" s="364">
        <v>0</v>
      </c>
      <c r="N884" s="364">
        <v>0</v>
      </c>
      <c r="O884" s="364">
        <v>0</v>
      </c>
      <c r="P884" s="364">
        <v>0</v>
      </c>
      <c r="Q884" s="1475">
        <f>L884*$H885</f>
        <v>0</v>
      </c>
      <c r="R884" s="1475">
        <f>M884*$H885</f>
        <v>0</v>
      </c>
      <c r="S884" s="1475">
        <f>N884*$H885</f>
        <v>0</v>
      </c>
      <c r="T884" s="1475">
        <f>O884*$H885</f>
        <v>0</v>
      </c>
      <c r="U884" s="1475">
        <f>P884*$H885</f>
        <v>0</v>
      </c>
      <c r="V884" s="1475">
        <f t="shared" si="471"/>
        <v>0</v>
      </c>
    </row>
    <row r="885" spans="1:22" s="39" customFormat="1" ht="24" customHeight="1">
      <c r="A885" s="1860">
        <v>2</v>
      </c>
      <c r="B885" s="1860"/>
      <c r="C885" s="1860"/>
      <c r="D885" s="1860"/>
      <c r="E885" s="1839"/>
      <c r="F885" s="1841"/>
      <c r="G885" s="1665"/>
      <c r="H885" s="1595">
        <f>2*90</f>
        <v>180</v>
      </c>
      <c r="I885" s="1615"/>
      <c r="J885" s="40" t="s">
        <v>134</v>
      </c>
      <c r="K885" s="42"/>
      <c r="L885" s="364">
        <f>L880*70%</f>
        <v>1400</v>
      </c>
      <c r="M885" s="364">
        <f t="shared" ref="M885:P885" si="474">M880*70%</f>
        <v>1400</v>
      </c>
      <c r="N885" s="364">
        <f t="shared" si="474"/>
        <v>1400</v>
      </c>
      <c r="O885" s="364">
        <f t="shared" si="474"/>
        <v>1400</v>
      </c>
      <c r="P885" s="364">
        <f t="shared" si="474"/>
        <v>1400</v>
      </c>
      <c r="Q885" s="1475">
        <f>L885*$H885</f>
        <v>252000</v>
      </c>
      <c r="R885" s="1475">
        <f>M885*$H885</f>
        <v>252000</v>
      </c>
      <c r="S885" s="1475">
        <f>N885*$H885</f>
        <v>252000</v>
      </c>
      <c r="T885" s="1475">
        <f>O885*$H885</f>
        <v>252000</v>
      </c>
      <c r="U885" s="1475">
        <f>P885*$H885</f>
        <v>252000</v>
      </c>
      <c r="V885" s="1475">
        <f t="shared" si="471"/>
        <v>1260000</v>
      </c>
    </row>
    <row r="886" spans="1:22" s="39" customFormat="1" ht="24" customHeight="1">
      <c r="A886" s="1860">
        <v>2</v>
      </c>
      <c r="B886" s="1860"/>
      <c r="C886" s="1860"/>
      <c r="D886" s="1860"/>
      <c r="E886" s="1839"/>
      <c r="F886" s="1841"/>
      <c r="G886" s="1665"/>
      <c r="H886" s="1596">
        <f>810*0.05</f>
        <v>40.5</v>
      </c>
      <c r="I886" s="1615"/>
      <c r="J886" s="40" t="s">
        <v>82</v>
      </c>
      <c r="K886" s="42"/>
      <c r="L886" s="364">
        <v>0</v>
      </c>
      <c r="M886" s="364">
        <v>0</v>
      </c>
      <c r="N886" s="364">
        <v>0</v>
      </c>
      <c r="O886" s="364">
        <v>0</v>
      </c>
      <c r="P886" s="364">
        <v>0</v>
      </c>
      <c r="Q886" s="1475">
        <f>L886*$H885</f>
        <v>0</v>
      </c>
      <c r="R886" s="1475">
        <f>M886*$H885</f>
        <v>0</v>
      </c>
      <c r="S886" s="1475">
        <f>N886*$H885</f>
        <v>0</v>
      </c>
      <c r="T886" s="1475">
        <f>O886*$H885</f>
        <v>0</v>
      </c>
      <c r="U886" s="1475">
        <f>P886*$H885</f>
        <v>0</v>
      </c>
      <c r="V886" s="1475">
        <f t="shared" si="471"/>
        <v>0</v>
      </c>
    </row>
    <row r="887" spans="1:22" s="39" customFormat="1" ht="24" customHeight="1">
      <c r="A887" s="1860">
        <v>2</v>
      </c>
      <c r="B887" s="1860"/>
      <c r="C887" s="1860"/>
      <c r="D887" s="1860"/>
      <c r="E887" s="1839"/>
      <c r="F887" s="1841"/>
      <c r="G887" s="1665"/>
      <c r="H887" s="1596"/>
      <c r="I887" s="1615"/>
      <c r="J887" s="40" t="s">
        <v>90</v>
      </c>
      <c r="K887" s="42"/>
      <c r="L887" s="364">
        <v>0</v>
      </c>
      <c r="M887" s="364">
        <v>0</v>
      </c>
      <c r="N887" s="364">
        <v>0</v>
      </c>
      <c r="O887" s="364">
        <v>0</v>
      </c>
      <c r="P887" s="364">
        <v>0</v>
      </c>
      <c r="Q887" s="1475">
        <f>L887*$H885</f>
        <v>0</v>
      </c>
      <c r="R887" s="1475">
        <f>M887*$H885</f>
        <v>0</v>
      </c>
      <c r="S887" s="1475">
        <f>N887*$H885</f>
        <v>0</v>
      </c>
      <c r="T887" s="1475">
        <f>O887*$H885</f>
        <v>0</v>
      </c>
      <c r="U887" s="1475">
        <f>P887*$H885</f>
        <v>0</v>
      </c>
      <c r="V887" s="1475">
        <f t="shared" si="471"/>
        <v>0</v>
      </c>
    </row>
    <row r="888" spans="1:22" s="39" customFormat="1" ht="24" customHeight="1">
      <c r="A888" s="1860">
        <v>2</v>
      </c>
      <c r="B888" s="1860"/>
      <c r="C888" s="1860"/>
      <c r="D888" s="1860"/>
      <c r="E888" s="1839"/>
      <c r="F888" s="1841"/>
      <c r="G888" s="1665"/>
      <c r="H888" s="1596"/>
      <c r="I888" s="1615"/>
      <c r="J888" s="40" t="s">
        <v>83</v>
      </c>
      <c r="K888" s="42"/>
      <c r="L888" s="364">
        <v>0</v>
      </c>
      <c r="M888" s="364">
        <v>0</v>
      </c>
      <c r="N888" s="364">
        <v>0</v>
      </c>
      <c r="O888" s="364">
        <v>0</v>
      </c>
      <c r="P888" s="364">
        <v>0</v>
      </c>
      <c r="Q888" s="1475">
        <f>L888*$H885</f>
        <v>0</v>
      </c>
      <c r="R888" s="1475">
        <f>M888*$H885</f>
        <v>0</v>
      </c>
      <c r="S888" s="1475">
        <f>N888*$H885</f>
        <v>0</v>
      </c>
      <c r="T888" s="1475">
        <f>O888*$H885</f>
        <v>0</v>
      </c>
      <c r="U888" s="1475">
        <f>P888*$H885</f>
        <v>0</v>
      </c>
      <c r="V888" s="1475">
        <f t="shared" si="471"/>
        <v>0</v>
      </c>
    </row>
    <row r="889" spans="1:22" s="39" customFormat="1" ht="24" customHeight="1">
      <c r="A889" s="1860">
        <v>2</v>
      </c>
      <c r="B889" s="1860"/>
      <c r="C889" s="1860"/>
      <c r="D889" s="1860"/>
      <c r="E889" s="1839"/>
      <c r="F889" s="1841"/>
      <c r="G889" s="1666"/>
      <c r="H889" s="1618"/>
      <c r="I889" s="1617"/>
      <c r="J889" s="40" t="s">
        <v>84</v>
      </c>
      <c r="K889" s="42"/>
      <c r="L889" s="364">
        <f>L880-L881</f>
        <v>0</v>
      </c>
      <c r="M889" s="364">
        <f t="shared" ref="M889:U889" si="475">M880-M881</f>
        <v>0</v>
      </c>
      <c r="N889" s="364">
        <f t="shared" si="475"/>
        <v>0</v>
      </c>
      <c r="O889" s="364">
        <f t="shared" si="475"/>
        <v>0</v>
      </c>
      <c r="P889" s="364">
        <f t="shared" si="475"/>
        <v>0</v>
      </c>
      <c r="Q889" s="1475">
        <f t="shared" si="475"/>
        <v>0</v>
      </c>
      <c r="R889" s="1475">
        <f t="shared" si="475"/>
        <v>0</v>
      </c>
      <c r="S889" s="1475">
        <f t="shared" si="475"/>
        <v>0</v>
      </c>
      <c r="T889" s="1475">
        <f t="shared" si="475"/>
        <v>0</v>
      </c>
      <c r="U889" s="1475">
        <f t="shared" si="475"/>
        <v>0</v>
      </c>
      <c r="V889" s="1475">
        <f t="shared" si="471"/>
        <v>0</v>
      </c>
    </row>
    <row r="890" spans="1:22" s="45" customFormat="1" ht="24" customHeight="1">
      <c r="A890" s="1860">
        <v>2</v>
      </c>
      <c r="B890" s="1860">
        <v>2</v>
      </c>
      <c r="C890" s="1860">
        <v>3</v>
      </c>
      <c r="D890" s="1860">
        <v>8</v>
      </c>
      <c r="E890" s="1839" t="s">
        <v>49</v>
      </c>
      <c r="F890" s="1841" t="str">
        <f>CONCATENATE(A890,".",B890,".",C890,".",D890,)</f>
        <v>2.2.3.8</v>
      </c>
      <c r="G890" s="1664" t="s">
        <v>394</v>
      </c>
      <c r="H890" s="1601" t="s">
        <v>157</v>
      </c>
      <c r="I890" s="1614" t="s">
        <v>392</v>
      </c>
      <c r="J890" s="36" t="s">
        <v>79</v>
      </c>
      <c r="K890" s="919"/>
      <c r="L890" s="893">
        <f>'Budget assumption'!$E$244</f>
        <v>2000</v>
      </c>
      <c r="M890" s="893">
        <f>'Budget assumption'!$E$244</f>
        <v>2000</v>
      </c>
      <c r="N890" s="893">
        <f>'Budget assumption'!$E$244</f>
        <v>2000</v>
      </c>
      <c r="O890" s="893">
        <f>'Budget assumption'!$E$244</f>
        <v>2000</v>
      </c>
      <c r="P890" s="893">
        <f>'Budget assumption'!$E$244</f>
        <v>2000</v>
      </c>
      <c r="Q890" s="1475">
        <f>L890*H895</f>
        <v>40000</v>
      </c>
      <c r="R890" s="1475">
        <f>M890*H895</f>
        <v>40000</v>
      </c>
      <c r="S890" s="1475">
        <f>N890*H895</f>
        <v>40000</v>
      </c>
      <c r="T890" s="1475">
        <f>O890*H895</f>
        <v>40000</v>
      </c>
      <c r="U890" s="1475">
        <f>P890*H895</f>
        <v>40000</v>
      </c>
      <c r="V890" s="1475">
        <f t="shared" si="471"/>
        <v>200000</v>
      </c>
    </row>
    <row r="891" spans="1:22" s="39" customFormat="1" ht="24" customHeight="1">
      <c r="A891" s="1860">
        <v>2</v>
      </c>
      <c r="B891" s="1860"/>
      <c r="C891" s="1860"/>
      <c r="D891" s="1860"/>
      <c r="E891" s="1839"/>
      <c r="F891" s="1841"/>
      <c r="G891" s="1665"/>
      <c r="H891" s="1601"/>
      <c r="I891" s="1615"/>
      <c r="J891" s="40" t="s">
        <v>80</v>
      </c>
      <c r="K891" s="42"/>
      <c r="L891" s="364">
        <f t="shared" ref="L891:U891" si="476">SUM(L892:L898)</f>
        <v>2000</v>
      </c>
      <c r="M891" s="364">
        <f t="shared" si="476"/>
        <v>2000</v>
      </c>
      <c r="N891" s="364">
        <f t="shared" si="476"/>
        <v>2000</v>
      </c>
      <c r="O891" s="364">
        <f t="shared" si="476"/>
        <v>2000</v>
      </c>
      <c r="P891" s="364">
        <f t="shared" si="476"/>
        <v>2000</v>
      </c>
      <c r="Q891" s="1475">
        <f t="shared" si="476"/>
        <v>40000</v>
      </c>
      <c r="R891" s="1475">
        <f t="shared" si="476"/>
        <v>40000</v>
      </c>
      <c r="S891" s="1475">
        <f t="shared" si="476"/>
        <v>40000</v>
      </c>
      <c r="T891" s="1475">
        <f t="shared" si="476"/>
        <v>40000</v>
      </c>
      <c r="U891" s="1475">
        <f t="shared" si="476"/>
        <v>40000</v>
      </c>
      <c r="V891" s="1475">
        <f t="shared" si="471"/>
        <v>200000</v>
      </c>
    </row>
    <row r="892" spans="1:22" s="39" customFormat="1" ht="24" customHeight="1">
      <c r="A892" s="1860">
        <v>2</v>
      </c>
      <c r="B892" s="1860"/>
      <c r="C892" s="1860"/>
      <c r="D892" s="1860"/>
      <c r="E892" s="1839"/>
      <c r="F892" s="1841"/>
      <c r="G892" s="1665"/>
      <c r="H892" s="1601"/>
      <c r="I892" s="1615"/>
      <c r="J892" s="40" t="s">
        <v>429</v>
      </c>
      <c r="K892" s="42"/>
      <c r="L892" s="364">
        <f>L890*70%</f>
        <v>1400</v>
      </c>
      <c r="M892" s="364">
        <f t="shared" ref="M892:P892" si="477">M890*70%</f>
        <v>1400</v>
      </c>
      <c r="N892" s="364">
        <f t="shared" si="477"/>
        <v>1400</v>
      </c>
      <c r="O892" s="364">
        <f t="shared" si="477"/>
        <v>1400</v>
      </c>
      <c r="P892" s="364">
        <f t="shared" si="477"/>
        <v>1400</v>
      </c>
      <c r="Q892" s="1475">
        <f>L892*$H895</f>
        <v>28000</v>
      </c>
      <c r="R892" s="1475">
        <f>M892*$H895</f>
        <v>28000</v>
      </c>
      <c r="S892" s="1475">
        <f>N892*$H895</f>
        <v>28000</v>
      </c>
      <c r="T892" s="1475">
        <f>O892*$H895</f>
        <v>28000</v>
      </c>
      <c r="U892" s="1475">
        <f>P892*$H895</f>
        <v>28000</v>
      </c>
      <c r="V892" s="1475">
        <f t="shared" si="471"/>
        <v>140000</v>
      </c>
    </row>
    <row r="893" spans="1:22" s="39" customFormat="1" ht="24" customHeight="1">
      <c r="A893" s="1860">
        <v>2</v>
      </c>
      <c r="B893" s="1860"/>
      <c r="C893" s="1860"/>
      <c r="D893" s="1860"/>
      <c r="E893" s="1839"/>
      <c r="F893" s="1841"/>
      <c r="G893" s="1665"/>
      <c r="H893" s="1601"/>
      <c r="I893" s="1615"/>
      <c r="J893" s="40" t="s">
        <v>133</v>
      </c>
      <c r="K893" s="42"/>
      <c r="L893" s="364">
        <f>L890*30%</f>
        <v>600</v>
      </c>
      <c r="M893" s="364">
        <f t="shared" ref="M893:P893" si="478">M890*30%</f>
        <v>600</v>
      </c>
      <c r="N893" s="364">
        <f t="shared" si="478"/>
        <v>600</v>
      </c>
      <c r="O893" s="364">
        <f t="shared" si="478"/>
        <v>600</v>
      </c>
      <c r="P893" s="364">
        <f t="shared" si="478"/>
        <v>600</v>
      </c>
      <c r="Q893" s="1475">
        <f>L893*$H895</f>
        <v>12000</v>
      </c>
      <c r="R893" s="1475">
        <f>M893*$H895</f>
        <v>12000</v>
      </c>
      <c r="S893" s="1475">
        <f>N893*$H895</f>
        <v>12000</v>
      </c>
      <c r="T893" s="1475">
        <f>O893*$H895</f>
        <v>12000</v>
      </c>
      <c r="U893" s="1475">
        <f>P893*$H895</f>
        <v>12000</v>
      </c>
      <c r="V893" s="1475">
        <f t="shared" si="471"/>
        <v>60000</v>
      </c>
    </row>
    <row r="894" spans="1:22" s="39" customFormat="1" ht="24" customHeight="1">
      <c r="A894" s="1860">
        <v>2</v>
      </c>
      <c r="B894" s="1860"/>
      <c r="C894" s="1860"/>
      <c r="D894" s="1860"/>
      <c r="E894" s="1839"/>
      <c r="F894" s="1841"/>
      <c r="G894" s="1665"/>
      <c r="H894" s="1601"/>
      <c r="I894" s="1615"/>
      <c r="J894" s="40" t="s">
        <v>81</v>
      </c>
      <c r="K894" s="42"/>
      <c r="L894" s="364">
        <v>0</v>
      </c>
      <c r="M894" s="364">
        <v>0</v>
      </c>
      <c r="N894" s="364">
        <v>0</v>
      </c>
      <c r="O894" s="364">
        <v>0</v>
      </c>
      <c r="P894" s="364">
        <v>0</v>
      </c>
      <c r="Q894" s="1475">
        <f>L894*$H895</f>
        <v>0</v>
      </c>
      <c r="R894" s="1475">
        <f>M894*$H895</f>
        <v>0</v>
      </c>
      <c r="S894" s="1475">
        <f>N894*$H895</f>
        <v>0</v>
      </c>
      <c r="T894" s="1475">
        <f>O894*$H895</f>
        <v>0</v>
      </c>
      <c r="U894" s="1475">
        <f>P894*$H895</f>
        <v>0</v>
      </c>
      <c r="V894" s="1475">
        <f t="shared" si="471"/>
        <v>0</v>
      </c>
    </row>
    <row r="895" spans="1:22" s="39" customFormat="1" ht="24" customHeight="1">
      <c r="A895" s="1860">
        <v>2</v>
      </c>
      <c r="B895" s="1860"/>
      <c r="C895" s="1860"/>
      <c r="D895" s="1860"/>
      <c r="E895" s="1839"/>
      <c r="F895" s="1841"/>
      <c r="G895" s="1665"/>
      <c r="H895" s="1595">
        <v>20</v>
      </c>
      <c r="I895" s="1615"/>
      <c r="J895" s="40" t="s">
        <v>134</v>
      </c>
      <c r="K895" s="42"/>
      <c r="L895" s="364">
        <v>0</v>
      </c>
      <c r="M895" s="364">
        <v>0</v>
      </c>
      <c r="N895" s="364">
        <v>0</v>
      </c>
      <c r="O895" s="364">
        <v>0</v>
      </c>
      <c r="P895" s="364">
        <v>0</v>
      </c>
      <c r="Q895" s="1475">
        <f>L895*$H895</f>
        <v>0</v>
      </c>
      <c r="R895" s="1475">
        <f>M895*$H895</f>
        <v>0</v>
      </c>
      <c r="S895" s="1475">
        <f>N895*$H895</f>
        <v>0</v>
      </c>
      <c r="T895" s="1475">
        <f>O895*$H895</f>
        <v>0</v>
      </c>
      <c r="U895" s="1475">
        <f>P895*$H895</f>
        <v>0</v>
      </c>
      <c r="V895" s="1475">
        <f t="shared" si="471"/>
        <v>0</v>
      </c>
    </row>
    <row r="896" spans="1:22" s="39" customFormat="1" ht="24" customHeight="1">
      <c r="A896" s="1860">
        <v>2</v>
      </c>
      <c r="B896" s="1860"/>
      <c r="C896" s="1860"/>
      <c r="D896" s="1860"/>
      <c r="E896" s="1839"/>
      <c r="F896" s="1841"/>
      <c r="G896" s="1665"/>
      <c r="H896" s="1596">
        <f>810*0.05</f>
        <v>40.5</v>
      </c>
      <c r="I896" s="1615"/>
      <c r="J896" s="40" t="s">
        <v>82</v>
      </c>
      <c r="K896" s="42"/>
      <c r="L896" s="364">
        <v>0</v>
      </c>
      <c r="M896" s="364">
        <v>0</v>
      </c>
      <c r="N896" s="364">
        <v>0</v>
      </c>
      <c r="O896" s="364">
        <v>0</v>
      </c>
      <c r="P896" s="364">
        <v>0</v>
      </c>
      <c r="Q896" s="1475">
        <f>L896*$H895</f>
        <v>0</v>
      </c>
      <c r="R896" s="1475">
        <f>M896*$H895</f>
        <v>0</v>
      </c>
      <c r="S896" s="1475">
        <f>N896*$H895</f>
        <v>0</v>
      </c>
      <c r="T896" s="1475">
        <f>O896*$H895</f>
        <v>0</v>
      </c>
      <c r="U896" s="1475">
        <f>P896*$H895</f>
        <v>0</v>
      </c>
      <c r="V896" s="1475">
        <f t="shared" si="471"/>
        <v>0</v>
      </c>
    </row>
    <row r="897" spans="1:22" s="39" customFormat="1" ht="24" customHeight="1">
      <c r="A897" s="1860">
        <v>2</v>
      </c>
      <c r="B897" s="1860"/>
      <c r="C897" s="1860"/>
      <c r="D897" s="1860"/>
      <c r="E897" s="1839"/>
      <c r="F897" s="1841"/>
      <c r="G897" s="1665"/>
      <c r="H897" s="1596"/>
      <c r="I897" s="1615"/>
      <c r="J897" s="40" t="s">
        <v>90</v>
      </c>
      <c r="K897" s="42"/>
      <c r="L897" s="364">
        <v>0</v>
      </c>
      <c r="M897" s="364">
        <v>0</v>
      </c>
      <c r="N897" s="364">
        <v>0</v>
      </c>
      <c r="O897" s="364">
        <v>0</v>
      </c>
      <c r="P897" s="364">
        <v>0</v>
      </c>
      <c r="Q897" s="1475">
        <f>L897*$H895</f>
        <v>0</v>
      </c>
      <c r="R897" s="1475">
        <f>M897*$H895</f>
        <v>0</v>
      </c>
      <c r="S897" s="1475">
        <f>N897*$H895</f>
        <v>0</v>
      </c>
      <c r="T897" s="1475">
        <f>O897*$H895</f>
        <v>0</v>
      </c>
      <c r="U897" s="1475">
        <f>P897*$H895</f>
        <v>0</v>
      </c>
      <c r="V897" s="1475">
        <f t="shared" si="471"/>
        <v>0</v>
      </c>
    </row>
    <row r="898" spans="1:22" s="39" customFormat="1" ht="24" customHeight="1">
      <c r="A898" s="1860">
        <v>2</v>
      </c>
      <c r="B898" s="1860"/>
      <c r="C898" s="1860"/>
      <c r="D898" s="1860"/>
      <c r="E898" s="1839"/>
      <c r="F898" s="1841"/>
      <c r="G898" s="1665"/>
      <c r="H898" s="1596"/>
      <c r="I898" s="1615"/>
      <c r="J898" s="40" t="s">
        <v>83</v>
      </c>
      <c r="K898" s="42"/>
      <c r="L898" s="364">
        <v>0</v>
      </c>
      <c r="M898" s="364">
        <v>0</v>
      </c>
      <c r="N898" s="364">
        <v>0</v>
      </c>
      <c r="O898" s="364">
        <v>0</v>
      </c>
      <c r="P898" s="364">
        <v>0</v>
      </c>
      <c r="Q898" s="1475">
        <f>L898*$H895</f>
        <v>0</v>
      </c>
      <c r="R898" s="1475">
        <f>M898*$H895</f>
        <v>0</v>
      </c>
      <c r="S898" s="1475">
        <f>N898*$H895</f>
        <v>0</v>
      </c>
      <c r="T898" s="1475">
        <f>O898*$H895</f>
        <v>0</v>
      </c>
      <c r="U898" s="1475">
        <f>P898*$H895</f>
        <v>0</v>
      </c>
      <c r="V898" s="1475">
        <f t="shared" si="471"/>
        <v>0</v>
      </c>
    </row>
    <row r="899" spans="1:22" s="39" customFormat="1" ht="24" customHeight="1">
      <c r="A899" s="1860">
        <v>2</v>
      </c>
      <c r="B899" s="1860"/>
      <c r="C899" s="1860"/>
      <c r="D899" s="1860"/>
      <c r="E899" s="1839"/>
      <c r="F899" s="1841"/>
      <c r="G899" s="1666"/>
      <c r="H899" s="1618"/>
      <c r="I899" s="1617"/>
      <c r="J899" s="40" t="s">
        <v>84</v>
      </c>
      <c r="K899" s="42"/>
      <c r="L899" s="364">
        <f>L890-L891</f>
        <v>0</v>
      </c>
      <c r="M899" s="364">
        <f t="shared" ref="M899:U899" si="479">M890-M891</f>
        <v>0</v>
      </c>
      <c r="N899" s="364">
        <f t="shared" si="479"/>
        <v>0</v>
      </c>
      <c r="O899" s="364">
        <f t="shared" si="479"/>
        <v>0</v>
      </c>
      <c r="P899" s="364">
        <f t="shared" si="479"/>
        <v>0</v>
      </c>
      <c r="Q899" s="1475">
        <f t="shared" si="479"/>
        <v>0</v>
      </c>
      <c r="R899" s="1475">
        <f t="shared" si="479"/>
        <v>0</v>
      </c>
      <c r="S899" s="1475">
        <f t="shared" si="479"/>
        <v>0</v>
      </c>
      <c r="T899" s="1475">
        <f t="shared" si="479"/>
        <v>0</v>
      </c>
      <c r="U899" s="1475">
        <f t="shared" si="479"/>
        <v>0</v>
      </c>
      <c r="V899" s="1475">
        <f t="shared" si="471"/>
        <v>0</v>
      </c>
    </row>
    <row r="900" spans="1:22" s="45" customFormat="1" ht="24" customHeight="1">
      <c r="A900" s="1860">
        <v>2</v>
      </c>
      <c r="B900" s="1860">
        <v>2</v>
      </c>
      <c r="C900" s="1860">
        <v>3</v>
      </c>
      <c r="D900" s="1860">
        <v>9</v>
      </c>
      <c r="E900" s="1839" t="s">
        <v>49</v>
      </c>
      <c r="F900" s="1841" t="str">
        <f>CONCATENATE(A900,".",B900,".",C900,".",D900,)</f>
        <v>2.2.3.9</v>
      </c>
      <c r="G900" s="1664" t="s">
        <v>391</v>
      </c>
      <c r="H900" s="1601" t="s">
        <v>157</v>
      </c>
      <c r="I900" s="1614" t="s">
        <v>392</v>
      </c>
      <c r="J900" s="36" t="s">
        <v>79</v>
      </c>
      <c r="K900" s="919"/>
      <c r="L900" s="893">
        <f>'Budget assumption'!$E$244</f>
        <v>2000</v>
      </c>
      <c r="M900" s="893">
        <f>'Budget assumption'!$E$244</f>
        <v>2000</v>
      </c>
      <c r="N900" s="893">
        <f>'Budget assumption'!$E$244</f>
        <v>2000</v>
      </c>
      <c r="O900" s="893">
        <f>'Budget assumption'!$E$244</f>
        <v>2000</v>
      </c>
      <c r="P900" s="893">
        <f>'Budget assumption'!$E$244</f>
        <v>2000</v>
      </c>
      <c r="Q900" s="1475">
        <f>L900*H905</f>
        <v>360000</v>
      </c>
      <c r="R900" s="1475">
        <f>M900*H905</f>
        <v>360000</v>
      </c>
      <c r="S900" s="1475">
        <f>N900*H905</f>
        <v>360000</v>
      </c>
      <c r="T900" s="1475">
        <f>O900*H905</f>
        <v>360000</v>
      </c>
      <c r="U900" s="1475">
        <f>P900*H905</f>
        <v>360000</v>
      </c>
      <c r="V900" s="1475">
        <f t="shared" ref="V900:V909" si="480">SUM(Q900:U900)</f>
        <v>1800000</v>
      </c>
    </row>
    <row r="901" spans="1:22" s="39" customFormat="1" ht="24" customHeight="1">
      <c r="A901" s="1860">
        <v>2</v>
      </c>
      <c r="B901" s="1860"/>
      <c r="C901" s="1860"/>
      <c r="D901" s="1860"/>
      <c r="E901" s="1839"/>
      <c r="F901" s="1841"/>
      <c r="G901" s="1665"/>
      <c r="H901" s="1601"/>
      <c r="I901" s="1615"/>
      <c r="J901" s="40" t="s">
        <v>80</v>
      </c>
      <c r="K901" s="42"/>
      <c r="L901" s="364">
        <f t="shared" ref="L901:U901" si="481">SUM(L902:L908)</f>
        <v>2000</v>
      </c>
      <c r="M901" s="364">
        <f t="shared" si="481"/>
        <v>2000</v>
      </c>
      <c r="N901" s="364">
        <f t="shared" si="481"/>
        <v>2000</v>
      </c>
      <c r="O901" s="364">
        <f t="shared" si="481"/>
        <v>2000</v>
      </c>
      <c r="P901" s="364">
        <f t="shared" si="481"/>
        <v>2000</v>
      </c>
      <c r="Q901" s="1475">
        <f t="shared" si="481"/>
        <v>360000</v>
      </c>
      <c r="R901" s="1475">
        <f t="shared" si="481"/>
        <v>360000</v>
      </c>
      <c r="S901" s="1475">
        <f t="shared" si="481"/>
        <v>360000</v>
      </c>
      <c r="T901" s="1475">
        <f t="shared" si="481"/>
        <v>360000</v>
      </c>
      <c r="U901" s="1475">
        <f t="shared" si="481"/>
        <v>360000</v>
      </c>
      <c r="V901" s="1475">
        <f t="shared" si="480"/>
        <v>1800000</v>
      </c>
    </row>
    <row r="902" spans="1:22" s="39" customFormat="1" ht="24" customHeight="1">
      <c r="A902" s="1860">
        <v>2</v>
      </c>
      <c r="B902" s="1860"/>
      <c r="C902" s="1860"/>
      <c r="D902" s="1860"/>
      <c r="E902" s="1839"/>
      <c r="F902" s="1841"/>
      <c r="G902" s="1665"/>
      <c r="H902" s="1601"/>
      <c r="I902" s="1615"/>
      <c r="J902" s="40" t="s">
        <v>429</v>
      </c>
      <c r="K902" s="42"/>
      <c r="L902" s="364">
        <v>0</v>
      </c>
      <c r="M902" s="364">
        <v>0</v>
      </c>
      <c r="N902" s="364">
        <v>0</v>
      </c>
      <c r="O902" s="364">
        <v>0</v>
      </c>
      <c r="P902" s="364">
        <v>0</v>
      </c>
      <c r="Q902" s="1475">
        <f>L902*$H905</f>
        <v>0</v>
      </c>
      <c r="R902" s="1475">
        <f>M902*$H905</f>
        <v>0</v>
      </c>
      <c r="S902" s="1475">
        <f>N902*$H905</f>
        <v>0</v>
      </c>
      <c r="T902" s="1475">
        <f>O902*$H905</f>
        <v>0</v>
      </c>
      <c r="U902" s="1475">
        <f>P902*$H905</f>
        <v>0</v>
      </c>
      <c r="V902" s="1475">
        <f t="shared" si="480"/>
        <v>0</v>
      </c>
    </row>
    <row r="903" spans="1:22" s="39" customFormat="1" ht="24" customHeight="1">
      <c r="A903" s="1860">
        <v>2</v>
      </c>
      <c r="B903" s="1860"/>
      <c r="C903" s="1860"/>
      <c r="D903" s="1860"/>
      <c r="E903" s="1839"/>
      <c r="F903" s="1841"/>
      <c r="G903" s="1665"/>
      <c r="H903" s="1601"/>
      <c r="I903" s="1615"/>
      <c r="J903" s="40" t="s">
        <v>133</v>
      </c>
      <c r="K903" s="42"/>
      <c r="L903" s="364">
        <f>L900*30%</f>
        <v>600</v>
      </c>
      <c r="M903" s="364">
        <f t="shared" ref="M903:P903" si="482">M900*30%</f>
        <v>600</v>
      </c>
      <c r="N903" s="364">
        <f t="shared" si="482"/>
        <v>600</v>
      </c>
      <c r="O903" s="364">
        <f t="shared" si="482"/>
        <v>600</v>
      </c>
      <c r="P903" s="364">
        <f t="shared" si="482"/>
        <v>600</v>
      </c>
      <c r="Q903" s="1475">
        <f>L903*$H905</f>
        <v>108000</v>
      </c>
      <c r="R903" s="1475">
        <f>M903*$H905</f>
        <v>108000</v>
      </c>
      <c r="S903" s="1475">
        <f>N903*$H905</f>
        <v>108000</v>
      </c>
      <c r="T903" s="1475">
        <f>O903*$H905</f>
        <v>108000</v>
      </c>
      <c r="U903" s="1475">
        <f>P903*$H905</f>
        <v>108000</v>
      </c>
      <c r="V903" s="1475">
        <f t="shared" si="480"/>
        <v>540000</v>
      </c>
    </row>
    <row r="904" spans="1:22" s="39" customFormat="1" ht="24" customHeight="1">
      <c r="A904" s="1860">
        <v>2</v>
      </c>
      <c r="B904" s="1860"/>
      <c r="C904" s="1860"/>
      <c r="D904" s="1860"/>
      <c r="E904" s="1839"/>
      <c r="F904" s="1841"/>
      <c r="G904" s="1665"/>
      <c r="H904" s="1601"/>
      <c r="I904" s="1615"/>
      <c r="J904" s="40" t="s">
        <v>81</v>
      </c>
      <c r="K904" s="42"/>
      <c r="L904" s="364">
        <v>0</v>
      </c>
      <c r="M904" s="364">
        <v>0</v>
      </c>
      <c r="N904" s="364">
        <v>0</v>
      </c>
      <c r="O904" s="364">
        <v>0</v>
      </c>
      <c r="P904" s="364">
        <v>0</v>
      </c>
      <c r="Q904" s="1475">
        <f>L904*$H905</f>
        <v>0</v>
      </c>
      <c r="R904" s="1475">
        <f>M904*$H905</f>
        <v>0</v>
      </c>
      <c r="S904" s="1475">
        <f>N904*$H905</f>
        <v>0</v>
      </c>
      <c r="T904" s="1475">
        <f>O904*$H905</f>
        <v>0</v>
      </c>
      <c r="U904" s="1475">
        <f>P904*$H905</f>
        <v>0</v>
      </c>
      <c r="V904" s="1475">
        <f t="shared" si="480"/>
        <v>0</v>
      </c>
    </row>
    <row r="905" spans="1:22" s="39" customFormat="1" ht="24" customHeight="1">
      <c r="A905" s="1860">
        <v>2</v>
      </c>
      <c r="B905" s="1860"/>
      <c r="C905" s="1860"/>
      <c r="D905" s="1860"/>
      <c r="E905" s="1839"/>
      <c r="F905" s="1841"/>
      <c r="G905" s="1665"/>
      <c r="H905" s="1595">
        <f>2*90</f>
        <v>180</v>
      </c>
      <c r="I905" s="1615"/>
      <c r="J905" s="40" t="s">
        <v>134</v>
      </c>
      <c r="K905" s="42"/>
      <c r="L905" s="364">
        <f>L900*70%</f>
        <v>1400</v>
      </c>
      <c r="M905" s="364">
        <f t="shared" ref="M905:P905" si="483">M900*70%</f>
        <v>1400</v>
      </c>
      <c r="N905" s="364">
        <f t="shared" si="483"/>
        <v>1400</v>
      </c>
      <c r="O905" s="364">
        <f t="shared" si="483"/>
        <v>1400</v>
      </c>
      <c r="P905" s="364">
        <f t="shared" si="483"/>
        <v>1400</v>
      </c>
      <c r="Q905" s="1475">
        <f>L905*$H905</f>
        <v>252000</v>
      </c>
      <c r="R905" s="1475">
        <f>M905*$H905</f>
        <v>252000</v>
      </c>
      <c r="S905" s="1475">
        <f>N905*$H905</f>
        <v>252000</v>
      </c>
      <c r="T905" s="1475">
        <f>O905*$H905</f>
        <v>252000</v>
      </c>
      <c r="U905" s="1475">
        <f>P905*$H905</f>
        <v>252000</v>
      </c>
      <c r="V905" s="1475">
        <f t="shared" si="480"/>
        <v>1260000</v>
      </c>
    </row>
    <row r="906" spans="1:22" s="39" customFormat="1" ht="24" customHeight="1">
      <c r="A906" s="1860">
        <v>2</v>
      </c>
      <c r="B906" s="1860"/>
      <c r="C906" s="1860"/>
      <c r="D906" s="1860"/>
      <c r="E906" s="1839"/>
      <c r="F906" s="1841"/>
      <c r="G906" s="1665"/>
      <c r="H906" s="1596">
        <f>810*0.05</f>
        <v>40.5</v>
      </c>
      <c r="I906" s="1615"/>
      <c r="J906" s="40" t="s">
        <v>82</v>
      </c>
      <c r="K906" s="42"/>
      <c r="L906" s="364">
        <v>0</v>
      </c>
      <c r="M906" s="364">
        <v>0</v>
      </c>
      <c r="N906" s="364">
        <v>0</v>
      </c>
      <c r="O906" s="364">
        <v>0</v>
      </c>
      <c r="P906" s="364">
        <v>0</v>
      </c>
      <c r="Q906" s="1475">
        <f>L906*$H905</f>
        <v>0</v>
      </c>
      <c r="R906" s="1475">
        <f>M906*$H905</f>
        <v>0</v>
      </c>
      <c r="S906" s="1475">
        <f>N906*$H905</f>
        <v>0</v>
      </c>
      <c r="T906" s="1475">
        <f>O906*$H905</f>
        <v>0</v>
      </c>
      <c r="U906" s="1475">
        <f>P906*$H905</f>
        <v>0</v>
      </c>
      <c r="V906" s="1475">
        <f t="shared" si="480"/>
        <v>0</v>
      </c>
    </row>
    <row r="907" spans="1:22" s="39" customFormat="1" ht="24" customHeight="1">
      <c r="A907" s="1860">
        <v>2</v>
      </c>
      <c r="B907" s="1860"/>
      <c r="C907" s="1860"/>
      <c r="D907" s="1860"/>
      <c r="E907" s="1839"/>
      <c r="F907" s="1841"/>
      <c r="G907" s="1665"/>
      <c r="H907" s="1596"/>
      <c r="I907" s="1615"/>
      <c r="J907" s="40" t="s">
        <v>90</v>
      </c>
      <c r="K907" s="42"/>
      <c r="L907" s="364">
        <v>0</v>
      </c>
      <c r="M907" s="364">
        <v>0</v>
      </c>
      <c r="N907" s="364">
        <v>0</v>
      </c>
      <c r="O907" s="364">
        <v>0</v>
      </c>
      <c r="P907" s="364">
        <v>0</v>
      </c>
      <c r="Q907" s="1475">
        <f>L907*$H905</f>
        <v>0</v>
      </c>
      <c r="R907" s="1475">
        <f>M907*$H905</f>
        <v>0</v>
      </c>
      <c r="S907" s="1475">
        <f>N907*$H905</f>
        <v>0</v>
      </c>
      <c r="T907" s="1475">
        <f>O907*$H905</f>
        <v>0</v>
      </c>
      <c r="U907" s="1475">
        <f>P907*$H905</f>
        <v>0</v>
      </c>
      <c r="V907" s="1475">
        <f t="shared" si="480"/>
        <v>0</v>
      </c>
    </row>
    <row r="908" spans="1:22" s="39" customFormat="1" ht="24" customHeight="1">
      <c r="A908" s="1860">
        <v>2</v>
      </c>
      <c r="B908" s="1860"/>
      <c r="C908" s="1860"/>
      <c r="D908" s="1860"/>
      <c r="E908" s="1839"/>
      <c r="F908" s="1841"/>
      <c r="G908" s="1665"/>
      <c r="H908" s="1596"/>
      <c r="I908" s="1615"/>
      <c r="J908" s="40" t="s">
        <v>83</v>
      </c>
      <c r="K908" s="42"/>
      <c r="L908" s="364">
        <v>0</v>
      </c>
      <c r="M908" s="364">
        <v>0</v>
      </c>
      <c r="N908" s="364">
        <v>0</v>
      </c>
      <c r="O908" s="364">
        <v>0</v>
      </c>
      <c r="P908" s="364">
        <v>0</v>
      </c>
      <c r="Q908" s="1475">
        <f>L908*$H905</f>
        <v>0</v>
      </c>
      <c r="R908" s="1475">
        <f>M908*$H905</f>
        <v>0</v>
      </c>
      <c r="S908" s="1475">
        <f>N908*$H905</f>
        <v>0</v>
      </c>
      <c r="T908" s="1475">
        <f>O908*$H905</f>
        <v>0</v>
      </c>
      <c r="U908" s="1475">
        <f>P908*$H905</f>
        <v>0</v>
      </c>
      <c r="V908" s="1475">
        <f t="shared" si="480"/>
        <v>0</v>
      </c>
    </row>
    <row r="909" spans="1:22" s="39" customFormat="1" ht="24" customHeight="1">
      <c r="A909" s="1860">
        <v>2</v>
      </c>
      <c r="B909" s="1860"/>
      <c r="C909" s="1860"/>
      <c r="D909" s="1860"/>
      <c r="E909" s="1839"/>
      <c r="F909" s="1841"/>
      <c r="G909" s="1666"/>
      <c r="H909" s="1618"/>
      <c r="I909" s="1617"/>
      <c r="J909" s="40" t="s">
        <v>84</v>
      </c>
      <c r="K909" s="42"/>
      <c r="L909" s="364">
        <f>L900-L901</f>
        <v>0</v>
      </c>
      <c r="M909" s="364">
        <f t="shared" ref="M909:U909" si="484">M900-M901</f>
        <v>0</v>
      </c>
      <c r="N909" s="364">
        <f t="shared" si="484"/>
        <v>0</v>
      </c>
      <c r="O909" s="364">
        <f t="shared" si="484"/>
        <v>0</v>
      </c>
      <c r="P909" s="364">
        <f t="shared" si="484"/>
        <v>0</v>
      </c>
      <c r="Q909" s="1475">
        <f t="shared" si="484"/>
        <v>0</v>
      </c>
      <c r="R909" s="1475">
        <f t="shared" si="484"/>
        <v>0</v>
      </c>
      <c r="S909" s="1475">
        <f t="shared" si="484"/>
        <v>0</v>
      </c>
      <c r="T909" s="1475">
        <f t="shared" si="484"/>
        <v>0</v>
      </c>
      <c r="U909" s="1475">
        <f t="shared" si="484"/>
        <v>0</v>
      </c>
      <c r="V909" s="1475">
        <f t="shared" si="480"/>
        <v>0</v>
      </c>
    </row>
    <row r="910" spans="1:22" s="55" customFormat="1" ht="36" customHeight="1">
      <c r="A910" s="75">
        <v>2</v>
      </c>
      <c r="B910" s="75">
        <v>3</v>
      </c>
      <c r="C910" s="75"/>
      <c r="D910" s="75"/>
      <c r="E910" s="74" t="s">
        <v>12</v>
      </c>
      <c r="F910" s="915" t="str">
        <f>CONCATENATE(A910,".",B910)</f>
        <v>2.3</v>
      </c>
      <c r="G910" s="1573" t="s">
        <v>1139</v>
      </c>
      <c r="H910" s="1574"/>
      <c r="I910" s="1574"/>
      <c r="J910" s="1575"/>
      <c r="K910" s="915"/>
      <c r="L910" s="916"/>
      <c r="M910" s="916"/>
      <c r="N910" s="916"/>
      <c r="O910" s="916"/>
      <c r="P910" s="916"/>
      <c r="Q910" s="1514">
        <f>Q911+Q932+Q983+Q1044+Q1145</f>
        <v>41112257.943391696</v>
      </c>
      <c r="R910" s="1514">
        <f>R911+R932+R983+R1044+R1145</f>
        <v>41547120.715391695</v>
      </c>
      <c r="S910" s="1514">
        <f>S911+S932+S983+S1044+S1145</f>
        <v>40179291.487391688</v>
      </c>
      <c r="T910" s="1514">
        <f>T911+T932+T983+T1044+T1145</f>
        <v>34309158.259391695</v>
      </c>
      <c r="U910" s="1514">
        <f>U911+U932+U983+U1044+U1145</f>
        <v>34428642.631391697</v>
      </c>
      <c r="V910" s="1514">
        <f t="shared" ref="V910:V921" si="485">SUM(Q910:U910)</f>
        <v>191576471.03695849</v>
      </c>
    </row>
    <row r="911" spans="1:22" s="39" customFormat="1" ht="24" customHeight="1">
      <c r="A911" s="73">
        <v>2</v>
      </c>
      <c r="B911" s="73">
        <v>3</v>
      </c>
      <c r="C911" s="73">
        <v>1</v>
      </c>
      <c r="D911" s="73"/>
      <c r="E911" s="74" t="s">
        <v>13</v>
      </c>
      <c r="F911" s="71" t="str">
        <f>CONCATENATE(A911,".",B911,".",C911,)</f>
        <v>2.3.1</v>
      </c>
      <c r="G911" s="1579" t="s">
        <v>204</v>
      </c>
      <c r="H911" s="1580"/>
      <c r="I911" s="1580"/>
      <c r="J911" s="1581"/>
      <c r="K911" s="71"/>
      <c r="L911" s="382"/>
      <c r="M911" s="382"/>
      <c r="N911" s="382"/>
      <c r="O911" s="382"/>
      <c r="P911" s="382"/>
      <c r="Q911" s="1521">
        <f>Q913+Q923</f>
        <v>3710000</v>
      </c>
      <c r="R911" s="1521">
        <f t="shared" ref="R911:V911" si="486">R913+R923</f>
        <v>3710000</v>
      </c>
      <c r="S911" s="1521">
        <f t="shared" si="486"/>
        <v>3710402</v>
      </c>
      <c r="T911" s="1521">
        <f t="shared" si="486"/>
        <v>0</v>
      </c>
      <c r="U911" s="1521">
        <f t="shared" si="486"/>
        <v>0</v>
      </c>
      <c r="V911" s="1521">
        <f t="shared" si="486"/>
        <v>11130402</v>
      </c>
    </row>
    <row r="912" spans="1:22" s="45" customFormat="1" ht="24" customHeight="1">
      <c r="A912" s="1860">
        <v>2</v>
      </c>
      <c r="B912" s="1860">
        <v>3</v>
      </c>
      <c r="C912" s="1860">
        <v>1</v>
      </c>
      <c r="D912" s="1860">
        <v>1</v>
      </c>
      <c r="E912" s="1839" t="s">
        <v>49</v>
      </c>
      <c r="F912" s="1841" t="str">
        <f>CONCATENATE(A912,".",B912,".",C912,".",D912,)</f>
        <v>2.3.1.1</v>
      </c>
      <c r="G912" s="1664" t="s">
        <v>207</v>
      </c>
      <c r="H912" s="1601" t="s">
        <v>86</v>
      </c>
      <c r="I912" s="1614" t="s">
        <v>1116</v>
      </c>
      <c r="J912" s="36" t="s">
        <v>79</v>
      </c>
      <c r="K912" s="891"/>
      <c r="L912" s="383">
        <f>(L820-K820)/2+500+200+130+200</f>
        <v>1855</v>
      </c>
      <c r="M912" s="383">
        <f>(M820-L820)+500+200+130+200</f>
        <v>1855</v>
      </c>
      <c r="N912" s="383">
        <f>N820-M820+500+200+130+200</f>
        <v>1855</v>
      </c>
      <c r="O912" s="383">
        <f>O820-N820+500+200+130+200</f>
        <v>1855</v>
      </c>
      <c r="P912" s="383">
        <f>P820-O820+500+200+130+200</f>
        <v>1868</v>
      </c>
      <c r="Q912" s="1475">
        <f>L912*H917</f>
        <v>3710000</v>
      </c>
      <c r="R912" s="1475">
        <f>M912*H917</f>
        <v>3710000</v>
      </c>
      <c r="S912" s="1475">
        <f>N912*H917</f>
        <v>3710000</v>
      </c>
      <c r="T912" s="1475">
        <f>O912*H917</f>
        <v>3710000</v>
      </c>
      <c r="U912" s="1475">
        <f>P912*H917</f>
        <v>3736000</v>
      </c>
      <c r="V912" s="1475">
        <f t="shared" si="485"/>
        <v>18576000</v>
      </c>
    </row>
    <row r="913" spans="1:22" s="39" customFormat="1" ht="24" customHeight="1">
      <c r="A913" s="1860">
        <v>2</v>
      </c>
      <c r="B913" s="1860"/>
      <c r="C913" s="1860"/>
      <c r="D913" s="1860"/>
      <c r="E913" s="1839"/>
      <c r="F913" s="1841"/>
      <c r="G913" s="1665"/>
      <c r="H913" s="1601"/>
      <c r="I913" s="1615"/>
      <c r="J913" s="40" t="s">
        <v>80</v>
      </c>
      <c r="K913" s="42"/>
      <c r="L913" s="364">
        <f t="shared" ref="L913:U913" si="487">SUM(L914:L920)</f>
        <v>1855</v>
      </c>
      <c r="M913" s="364">
        <f t="shared" si="487"/>
        <v>1855</v>
      </c>
      <c r="N913" s="364">
        <f t="shared" si="487"/>
        <v>1855</v>
      </c>
      <c r="O913" s="364">
        <f t="shared" si="487"/>
        <v>0</v>
      </c>
      <c r="P913" s="364">
        <f t="shared" si="487"/>
        <v>0</v>
      </c>
      <c r="Q913" s="1475">
        <f t="shared" si="487"/>
        <v>3710000</v>
      </c>
      <c r="R913" s="1475">
        <f t="shared" si="487"/>
        <v>3710000</v>
      </c>
      <c r="S913" s="1475">
        <f t="shared" si="487"/>
        <v>3710000</v>
      </c>
      <c r="T913" s="1475">
        <f t="shared" si="487"/>
        <v>0</v>
      </c>
      <c r="U913" s="1475">
        <f t="shared" si="487"/>
        <v>0</v>
      </c>
      <c r="V913" s="1475">
        <f t="shared" si="485"/>
        <v>11130000</v>
      </c>
    </row>
    <row r="914" spans="1:22" s="39" customFormat="1" ht="24" customHeight="1">
      <c r="A914" s="1860">
        <v>2</v>
      </c>
      <c r="B914" s="1860"/>
      <c r="C914" s="1860"/>
      <c r="D914" s="1860"/>
      <c r="E914" s="1839"/>
      <c r="F914" s="1841"/>
      <c r="G914" s="1665"/>
      <c r="H914" s="1601"/>
      <c r="I914" s="1615"/>
      <c r="J914" s="40" t="s">
        <v>429</v>
      </c>
      <c r="K914" s="42"/>
      <c r="L914" s="364">
        <v>0</v>
      </c>
      <c r="M914" s="364">
        <v>0</v>
      </c>
      <c r="N914" s="364">
        <v>0</v>
      </c>
      <c r="O914" s="364">
        <v>0</v>
      </c>
      <c r="P914" s="364">
        <v>0</v>
      </c>
      <c r="Q914" s="1475">
        <f>L914*$H917</f>
        <v>0</v>
      </c>
      <c r="R914" s="1475">
        <f>M914*$H917</f>
        <v>0</v>
      </c>
      <c r="S914" s="1475">
        <f>N914*$H917</f>
        <v>0</v>
      </c>
      <c r="T914" s="1475">
        <f>O914*$H917</f>
        <v>0</v>
      </c>
      <c r="U914" s="1475">
        <f>P914*$H917</f>
        <v>0</v>
      </c>
      <c r="V914" s="1475">
        <f t="shared" si="485"/>
        <v>0</v>
      </c>
    </row>
    <row r="915" spans="1:22" s="39" customFormat="1" ht="24" customHeight="1">
      <c r="A915" s="1860">
        <v>2</v>
      </c>
      <c r="B915" s="1860"/>
      <c r="C915" s="1860"/>
      <c r="D915" s="1860"/>
      <c r="E915" s="1839"/>
      <c r="F915" s="1841"/>
      <c r="G915" s="1665"/>
      <c r="H915" s="1601"/>
      <c r="I915" s="1615"/>
      <c r="J915" s="40" t="s">
        <v>133</v>
      </c>
      <c r="K915" s="42"/>
      <c r="L915" s="364">
        <v>0</v>
      </c>
      <c r="M915" s="364">
        <v>0</v>
      </c>
      <c r="N915" s="364">
        <v>0</v>
      </c>
      <c r="O915" s="364">
        <v>0</v>
      </c>
      <c r="P915" s="364">
        <v>0</v>
      </c>
      <c r="Q915" s="1475">
        <f>L915*$H917</f>
        <v>0</v>
      </c>
      <c r="R915" s="1475">
        <f>M915*$H917</f>
        <v>0</v>
      </c>
      <c r="S915" s="1475">
        <f>N915*$H917</f>
        <v>0</v>
      </c>
      <c r="T915" s="1475">
        <f>O915*$H917</f>
        <v>0</v>
      </c>
      <c r="U915" s="1475">
        <f>P915*$H917</f>
        <v>0</v>
      </c>
      <c r="V915" s="1475">
        <f t="shared" si="485"/>
        <v>0</v>
      </c>
    </row>
    <row r="916" spans="1:22" s="39" customFormat="1" ht="24" customHeight="1">
      <c r="A916" s="1860">
        <v>2</v>
      </c>
      <c r="B916" s="1860"/>
      <c r="C916" s="1860"/>
      <c r="D916" s="1860"/>
      <c r="E916" s="1839"/>
      <c r="F916" s="1841"/>
      <c r="G916" s="1665"/>
      <c r="H916" s="1601"/>
      <c r="I916" s="1615"/>
      <c r="J916" s="40" t="s">
        <v>81</v>
      </c>
      <c r="K916" s="42"/>
      <c r="L916" s="364">
        <v>0</v>
      </c>
      <c r="M916" s="364">
        <v>0</v>
      </c>
      <c r="N916" s="364">
        <v>0</v>
      </c>
      <c r="O916" s="364">
        <v>0</v>
      </c>
      <c r="P916" s="364">
        <v>0</v>
      </c>
      <c r="Q916" s="1475">
        <f>L916*$H917</f>
        <v>0</v>
      </c>
      <c r="R916" s="1475">
        <f>M916*$H917</f>
        <v>0</v>
      </c>
      <c r="S916" s="1475">
        <f>N916*$H917</f>
        <v>0</v>
      </c>
      <c r="T916" s="1475">
        <f>O916*$H917</f>
        <v>0</v>
      </c>
      <c r="U916" s="1475">
        <f>P916*$H917</f>
        <v>0</v>
      </c>
      <c r="V916" s="1475">
        <f t="shared" si="485"/>
        <v>0</v>
      </c>
    </row>
    <row r="917" spans="1:22" s="39" customFormat="1" ht="24" customHeight="1">
      <c r="A917" s="1860">
        <v>2</v>
      </c>
      <c r="B917" s="1860"/>
      <c r="C917" s="1860"/>
      <c r="D917" s="1860"/>
      <c r="E917" s="1839"/>
      <c r="F917" s="1841"/>
      <c r="G917" s="1665"/>
      <c r="H917" s="1667">
        <v>2000</v>
      </c>
      <c r="I917" s="1615"/>
      <c r="J917" s="40" t="s">
        <v>134</v>
      </c>
      <c r="K917" s="42"/>
      <c r="L917" s="364">
        <v>0</v>
      </c>
      <c r="M917" s="364">
        <v>0</v>
      </c>
      <c r="N917" s="364">
        <f>N1214*30%</f>
        <v>0</v>
      </c>
      <c r="O917" s="364">
        <f>O1214*30%</f>
        <v>0</v>
      </c>
      <c r="P917" s="364">
        <f>P1214*30%</f>
        <v>0</v>
      </c>
      <c r="Q917" s="1475">
        <f>L917*$H917</f>
        <v>0</v>
      </c>
      <c r="R917" s="1475">
        <f>M917*$H917</f>
        <v>0</v>
      </c>
      <c r="S917" s="1475">
        <f>N917*$H917</f>
        <v>0</v>
      </c>
      <c r="T917" s="1475">
        <f>O917*$H917</f>
        <v>0</v>
      </c>
      <c r="U917" s="1475">
        <f>P917*$H917</f>
        <v>0</v>
      </c>
      <c r="V917" s="1475">
        <f t="shared" si="485"/>
        <v>0</v>
      </c>
    </row>
    <row r="918" spans="1:22" s="39" customFormat="1" ht="24" customHeight="1">
      <c r="A918" s="1860">
        <v>2</v>
      </c>
      <c r="B918" s="1860"/>
      <c r="C918" s="1860"/>
      <c r="D918" s="1860"/>
      <c r="E918" s="1839"/>
      <c r="F918" s="1841"/>
      <c r="G918" s="1665"/>
      <c r="H918" s="1668"/>
      <c r="I918" s="1615"/>
      <c r="J918" s="40" t="s">
        <v>82</v>
      </c>
      <c r="K918" s="42"/>
      <c r="L918" s="364">
        <f>L912*70%</f>
        <v>1298.5</v>
      </c>
      <c r="M918" s="364">
        <f t="shared" ref="M918:N918" si="488">M912*70%</f>
        <v>1298.5</v>
      </c>
      <c r="N918" s="364">
        <f t="shared" si="488"/>
        <v>1298.5</v>
      </c>
      <c r="O918" s="364">
        <v>0</v>
      </c>
      <c r="P918" s="364">
        <v>0</v>
      </c>
      <c r="Q918" s="1475">
        <f>L918*$H917</f>
        <v>2597000</v>
      </c>
      <c r="R918" s="1475">
        <f>M918*$H917</f>
        <v>2597000</v>
      </c>
      <c r="S918" s="1475">
        <f>N918*$H917</f>
        <v>2597000</v>
      </c>
      <c r="T918" s="1475">
        <f>O918*$H917</f>
        <v>0</v>
      </c>
      <c r="U918" s="1475">
        <f>P918*$H917</f>
        <v>0</v>
      </c>
      <c r="V918" s="1475">
        <f t="shared" si="485"/>
        <v>7791000</v>
      </c>
    </row>
    <row r="919" spans="1:22" s="39" customFormat="1" ht="24" customHeight="1">
      <c r="A919" s="1860">
        <v>2</v>
      </c>
      <c r="B919" s="1860"/>
      <c r="C919" s="1860"/>
      <c r="D919" s="1860"/>
      <c r="E919" s="1839"/>
      <c r="F919" s="1841"/>
      <c r="G919" s="1665"/>
      <c r="H919" s="1668"/>
      <c r="I919" s="1615"/>
      <c r="J919" s="40" t="s">
        <v>90</v>
      </c>
      <c r="K919" s="42"/>
      <c r="L919" s="364">
        <f>L912*30%</f>
        <v>556.5</v>
      </c>
      <c r="M919" s="364">
        <f t="shared" ref="M919:N919" si="489">M912*30%</f>
        <v>556.5</v>
      </c>
      <c r="N919" s="364">
        <f t="shared" si="489"/>
        <v>556.5</v>
      </c>
      <c r="O919" s="364">
        <v>0</v>
      </c>
      <c r="P919" s="364">
        <v>0</v>
      </c>
      <c r="Q919" s="1475">
        <f>L919*$H917</f>
        <v>1113000</v>
      </c>
      <c r="R919" s="1475">
        <f>M919*$H917</f>
        <v>1113000</v>
      </c>
      <c r="S919" s="1475">
        <f>N919*$H917</f>
        <v>1113000</v>
      </c>
      <c r="T919" s="1475">
        <f>O919*$H917</f>
        <v>0</v>
      </c>
      <c r="U919" s="1475">
        <f>P919*$H917</f>
        <v>0</v>
      </c>
      <c r="V919" s="1475">
        <f t="shared" si="485"/>
        <v>3339000</v>
      </c>
    </row>
    <row r="920" spans="1:22" s="39" customFormat="1" ht="24" customHeight="1">
      <c r="A920" s="1860">
        <v>2</v>
      </c>
      <c r="B920" s="1860"/>
      <c r="C920" s="1860"/>
      <c r="D920" s="1860"/>
      <c r="E920" s="1839"/>
      <c r="F920" s="1841"/>
      <c r="G920" s="1665"/>
      <c r="H920" s="1668"/>
      <c r="I920" s="1615"/>
      <c r="J920" s="40" t="s">
        <v>83</v>
      </c>
      <c r="K920" s="42"/>
      <c r="L920" s="364">
        <v>0</v>
      </c>
      <c r="M920" s="364">
        <v>0</v>
      </c>
      <c r="N920" s="364">
        <v>0</v>
      </c>
      <c r="O920" s="364">
        <v>0</v>
      </c>
      <c r="P920" s="364">
        <v>0</v>
      </c>
      <c r="Q920" s="1475">
        <f>L920*$H917</f>
        <v>0</v>
      </c>
      <c r="R920" s="1475">
        <f>M920*$H917</f>
        <v>0</v>
      </c>
      <c r="S920" s="1475">
        <f>N920*$H917</f>
        <v>0</v>
      </c>
      <c r="T920" s="1475">
        <f>O920*$H917</f>
        <v>0</v>
      </c>
      <c r="U920" s="1475">
        <f>P920*$H917</f>
        <v>0</v>
      </c>
      <c r="V920" s="1475">
        <f t="shared" si="485"/>
        <v>0</v>
      </c>
    </row>
    <row r="921" spans="1:22" s="39" customFormat="1" ht="24" customHeight="1" thickBot="1">
      <c r="A921" s="1860">
        <v>2</v>
      </c>
      <c r="B921" s="1860"/>
      <c r="C921" s="1860"/>
      <c r="D921" s="1860"/>
      <c r="E921" s="1839"/>
      <c r="F921" s="1841"/>
      <c r="G921" s="1666"/>
      <c r="H921" s="1669"/>
      <c r="I921" s="1617"/>
      <c r="J921" s="40" t="s">
        <v>84</v>
      </c>
      <c r="K921" s="42"/>
      <c r="L921" s="364">
        <f>L912-L913</f>
        <v>0</v>
      </c>
      <c r="M921" s="364">
        <f t="shared" ref="M921:U921" si="490">M912-M913</f>
        <v>0</v>
      </c>
      <c r="N921" s="364">
        <f t="shared" si="490"/>
        <v>0</v>
      </c>
      <c r="O921" s="364">
        <f t="shared" si="490"/>
        <v>1855</v>
      </c>
      <c r="P921" s="364">
        <f t="shared" si="490"/>
        <v>1868</v>
      </c>
      <c r="Q921" s="1475">
        <f t="shared" si="490"/>
        <v>0</v>
      </c>
      <c r="R921" s="1475">
        <f t="shared" si="490"/>
        <v>0</v>
      </c>
      <c r="S921" s="1475">
        <f t="shared" si="490"/>
        <v>0</v>
      </c>
      <c r="T921" s="1475">
        <f t="shared" si="490"/>
        <v>3710000</v>
      </c>
      <c r="U921" s="1475">
        <f t="shared" si="490"/>
        <v>3736000</v>
      </c>
      <c r="V921" s="1475">
        <f t="shared" si="485"/>
        <v>7446000</v>
      </c>
    </row>
    <row r="922" spans="1:22" s="45" customFormat="1" ht="24" customHeight="1">
      <c r="A922" s="1860">
        <v>2</v>
      </c>
      <c r="B922" s="1860">
        <v>3</v>
      </c>
      <c r="C922" s="1860">
        <v>1</v>
      </c>
      <c r="D922" s="1860">
        <v>2</v>
      </c>
      <c r="E922" s="1839" t="s">
        <v>49</v>
      </c>
      <c r="F922" s="1957" t="str">
        <f>CONCATENATE(A922,".",B922,".",C922,".",D922,)</f>
        <v>2.3.1.2</v>
      </c>
      <c r="G922" s="1857" t="s">
        <v>207</v>
      </c>
      <c r="H922" s="1685" t="s">
        <v>86</v>
      </c>
      <c r="I922" s="1823" t="s">
        <v>1419</v>
      </c>
      <c r="J922" s="36" t="s">
        <v>79</v>
      </c>
      <c r="K922" s="891"/>
      <c r="L922" s="383">
        <f>L820*0.3</f>
        <v>2502</v>
      </c>
      <c r="M922" s="383">
        <f t="shared" ref="M922:P922" si="491">M820*0.3</f>
        <v>2749.5</v>
      </c>
      <c r="N922" s="383">
        <f t="shared" si="491"/>
        <v>2997</v>
      </c>
      <c r="O922" s="383">
        <f t="shared" si="491"/>
        <v>3244.5</v>
      </c>
      <c r="P922" s="383">
        <f t="shared" si="491"/>
        <v>3495.9</v>
      </c>
      <c r="Q922" s="1475">
        <f>L922*H927</f>
        <v>1676340</v>
      </c>
      <c r="R922" s="1475">
        <f>M922*H927</f>
        <v>1842165</v>
      </c>
      <c r="S922" s="1475">
        <f>N922*H927</f>
        <v>2007990</v>
      </c>
      <c r="T922" s="1475">
        <f>O922*H927</f>
        <v>2173815</v>
      </c>
      <c r="U922" s="1475">
        <f>P922*H927</f>
        <v>2342253</v>
      </c>
      <c r="V922" s="1475">
        <f t="shared" ref="V922:V931" si="492">SUM(Q922:U922)</f>
        <v>10042563</v>
      </c>
    </row>
    <row r="923" spans="1:22" s="39" customFormat="1" ht="24" customHeight="1">
      <c r="A923" s="1860">
        <v>2</v>
      </c>
      <c r="B923" s="1860"/>
      <c r="C923" s="1860"/>
      <c r="D923" s="1860"/>
      <c r="E923" s="1839"/>
      <c r="F923" s="1957"/>
      <c r="G923" s="1858"/>
      <c r="H923" s="1685"/>
      <c r="I923" s="1824"/>
      <c r="J923" s="40" t="s">
        <v>80</v>
      </c>
      <c r="K923" s="42"/>
      <c r="L923" s="364">
        <f t="shared" ref="L923:U923" si="493">SUM(L924:L930)</f>
        <v>0</v>
      </c>
      <c r="M923" s="364">
        <f t="shared" si="493"/>
        <v>0</v>
      </c>
      <c r="N923" s="364">
        <f t="shared" si="493"/>
        <v>0.6</v>
      </c>
      <c r="O923" s="364">
        <f t="shared" si="493"/>
        <v>0</v>
      </c>
      <c r="P923" s="364">
        <f t="shared" si="493"/>
        <v>0</v>
      </c>
      <c r="Q923" s="1475">
        <f t="shared" si="493"/>
        <v>0</v>
      </c>
      <c r="R923" s="1475">
        <f t="shared" si="493"/>
        <v>0</v>
      </c>
      <c r="S923" s="1475">
        <f t="shared" si="493"/>
        <v>402</v>
      </c>
      <c r="T923" s="1475">
        <f t="shared" si="493"/>
        <v>0</v>
      </c>
      <c r="U923" s="1475">
        <f t="shared" si="493"/>
        <v>0</v>
      </c>
      <c r="V923" s="1475">
        <f t="shared" si="492"/>
        <v>402</v>
      </c>
    </row>
    <row r="924" spans="1:22" s="39" customFormat="1" ht="24" customHeight="1">
      <c r="A924" s="1860">
        <v>2</v>
      </c>
      <c r="B924" s="1860"/>
      <c r="C924" s="1860"/>
      <c r="D924" s="1860"/>
      <c r="E924" s="1839"/>
      <c r="F924" s="1957"/>
      <c r="G924" s="1858"/>
      <c r="H924" s="1685"/>
      <c r="I924" s="1824"/>
      <c r="J924" s="40" t="s">
        <v>429</v>
      </c>
      <c r="K924" s="42"/>
      <c r="L924" s="364">
        <v>0</v>
      </c>
      <c r="M924" s="364">
        <v>0</v>
      </c>
      <c r="N924" s="364">
        <v>0</v>
      </c>
      <c r="O924" s="364">
        <v>0</v>
      </c>
      <c r="P924" s="364">
        <v>0</v>
      </c>
      <c r="Q924" s="1475">
        <f>L924*$H927</f>
        <v>0</v>
      </c>
      <c r="R924" s="1475">
        <f>M924*$H927</f>
        <v>0</v>
      </c>
      <c r="S924" s="1475">
        <f>N924*$H927</f>
        <v>0</v>
      </c>
      <c r="T924" s="1475">
        <f>O924*$H927</f>
        <v>0</v>
      </c>
      <c r="U924" s="1475">
        <f>P924*$H927</f>
        <v>0</v>
      </c>
      <c r="V924" s="1475">
        <f t="shared" si="492"/>
        <v>0</v>
      </c>
    </row>
    <row r="925" spans="1:22" s="39" customFormat="1" ht="24" customHeight="1">
      <c r="A925" s="1860">
        <v>2</v>
      </c>
      <c r="B925" s="1860"/>
      <c r="C925" s="1860"/>
      <c r="D925" s="1860"/>
      <c r="E925" s="1839"/>
      <c r="F925" s="1957"/>
      <c r="G925" s="1858"/>
      <c r="H925" s="1685"/>
      <c r="I925" s="1824"/>
      <c r="J925" s="40" t="s">
        <v>133</v>
      </c>
      <c r="K925" s="42"/>
      <c r="L925" s="364">
        <v>0</v>
      </c>
      <c r="M925" s="364">
        <v>0</v>
      </c>
      <c r="N925" s="364">
        <v>0</v>
      </c>
      <c r="O925" s="364">
        <v>0</v>
      </c>
      <c r="P925" s="364">
        <v>0</v>
      </c>
      <c r="Q925" s="1475">
        <f>L925*$H927</f>
        <v>0</v>
      </c>
      <c r="R925" s="1475">
        <f>M925*$H927</f>
        <v>0</v>
      </c>
      <c r="S925" s="1475">
        <f>N925*$H927</f>
        <v>0</v>
      </c>
      <c r="T925" s="1475">
        <f>O925*$H927</f>
        <v>0</v>
      </c>
      <c r="U925" s="1475">
        <f>P925*$H927</f>
        <v>0</v>
      </c>
      <c r="V925" s="1475">
        <f t="shared" si="492"/>
        <v>0</v>
      </c>
    </row>
    <row r="926" spans="1:22" s="39" customFormat="1" ht="24" customHeight="1">
      <c r="A926" s="1860">
        <v>2</v>
      </c>
      <c r="B926" s="1860"/>
      <c r="C926" s="1860"/>
      <c r="D926" s="1860"/>
      <c r="E926" s="1839"/>
      <c r="F926" s="1957"/>
      <c r="G926" s="1858"/>
      <c r="H926" s="1685"/>
      <c r="I926" s="1824"/>
      <c r="J926" s="40" t="s">
        <v>81</v>
      </c>
      <c r="K926" s="42"/>
      <c r="L926" s="364">
        <v>0</v>
      </c>
      <c r="M926" s="364">
        <v>0</v>
      </c>
      <c r="N926" s="364">
        <v>0</v>
      </c>
      <c r="O926" s="364">
        <v>0</v>
      </c>
      <c r="P926" s="364">
        <v>0</v>
      </c>
      <c r="Q926" s="1475">
        <f>L926*$H927</f>
        <v>0</v>
      </c>
      <c r="R926" s="1475">
        <f>M926*$H927</f>
        <v>0</v>
      </c>
      <c r="S926" s="1475">
        <f>N926*$H927</f>
        <v>0</v>
      </c>
      <c r="T926" s="1475">
        <f>O926*$H927</f>
        <v>0</v>
      </c>
      <c r="U926" s="1475">
        <f>P926*$H927</f>
        <v>0</v>
      </c>
      <c r="V926" s="1475">
        <f t="shared" si="492"/>
        <v>0</v>
      </c>
    </row>
    <row r="927" spans="1:22" s="39" customFormat="1" ht="24" customHeight="1">
      <c r="A927" s="1860">
        <v>2</v>
      </c>
      <c r="B927" s="1860"/>
      <c r="C927" s="1860"/>
      <c r="D927" s="1860"/>
      <c r="E927" s="1839"/>
      <c r="F927" s="1957"/>
      <c r="G927" s="1858"/>
      <c r="H927" s="2017">
        <v>670</v>
      </c>
      <c r="I927" s="1824"/>
      <c r="J927" s="40" t="s">
        <v>134</v>
      </c>
      <c r="K927" s="42"/>
      <c r="L927" s="364">
        <v>0</v>
      </c>
      <c r="M927" s="364">
        <v>0</v>
      </c>
      <c r="N927" s="364">
        <f>N1224*30%</f>
        <v>0.6</v>
      </c>
      <c r="O927" s="364">
        <f>O1224*30%</f>
        <v>0</v>
      </c>
      <c r="P927" s="364">
        <f>P1224*30%</f>
        <v>0</v>
      </c>
      <c r="Q927" s="1475">
        <f>L927*$H927</f>
        <v>0</v>
      </c>
      <c r="R927" s="1475">
        <f>M927*$H927</f>
        <v>0</v>
      </c>
      <c r="S927" s="1475">
        <f>N927*$H927</f>
        <v>402</v>
      </c>
      <c r="T927" s="1475">
        <f>O927*$H927</f>
        <v>0</v>
      </c>
      <c r="U927" s="1475">
        <f>P927*$H927</f>
        <v>0</v>
      </c>
      <c r="V927" s="1475">
        <f t="shared" si="492"/>
        <v>402</v>
      </c>
    </row>
    <row r="928" spans="1:22" s="39" customFormat="1" ht="24" customHeight="1">
      <c r="A928" s="1860">
        <v>2</v>
      </c>
      <c r="B928" s="1860"/>
      <c r="C928" s="1860"/>
      <c r="D928" s="1860"/>
      <c r="E928" s="1839"/>
      <c r="F928" s="1957"/>
      <c r="G928" s="1858"/>
      <c r="H928" s="2018"/>
      <c r="I928" s="1824"/>
      <c r="J928" s="40" t="s">
        <v>82</v>
      </c>
      <c r="K928" s="42"/>
      <c r="L928" s="364">
        <v>0</v>
      </c>
      <c r="M928" s="364">
        <v>0</v>
      </c>
      <c r="N928" s="364">
        <v>0</v>
      </c>
      <c r="O928" s="364">
        <v>0</v>
      </c>
      <c r="P928" s="364">
        <v>0</v>
      </c>
      <c r="Q928" s="1475">
        <f>L928*$H927</f>
        <v>0</v>
      </c>
      <c r="R928" s="1475">
        <f>M928*$H927</f>
        <v>0</v>
      </c>
      <c r="S928" s="1475">
        <f>N928*$H927</f>
        <v>0</v>
      </c>
      <c r="T928" s="1475">
        <f>O928*$H927</f>
        <v>0</v>
      </c>
      <c r="U928" s="1475">
        <f>P928*$H927</f>
        <v>0</v>
      </c>
      <c r="V928" s="1475">
        <f t="shared" si="492"/>
        <v>0</v>
      </c>
    </row>
    <row r="929" spans="1:22" s="39" customFormat="1" ht="24" customHeight="1">
      <c r="A929" s="1860">
        <v>2</v>
      </c>
      <c r="B929" s="1860"/>
      <c r="C929" s="1860"/>
      <c r="D929" s="1860"/>
      <c r="E929" s="1839"/>
      <c r="F929" s="1957"/>
      <c r="G929" s="1858"/>
      <c r="H929" s="2018"/>
      <c r="I929" s="1824"/>
      <c r="J929" s="40" t="s">
        <v>90</v>
      </c>
      <c r="K929" s="42"/>
      <c r="L929" s="364">
        <v>0</v>
      </c>
      <c r="M929" s="364">
        <v>0</v>
      </c>
      <c r="N929" s="364">
        <v>0</v>
      </c>
      <c r="O929" s="364">
        <v>0</v>
      </c>
      <c r="P929" s="364">
        <v>0</v>
      </c>
      <c r="Q929" s="1475">
        <f>L929*$H927</f>
        <v>0</v>
      </c>
      <c r="R929" s="1475">
        <f>M929*$H927</f>
        <v>0</v>
      </c>
      <c r="S929" s="1475">
        <f>N929*$H927</f>
        <v>0</v>
      </c>
      <c r="T929" s="1475">
        <f>O929*$H927</f>
        <v>0</v>
      </c>
      <c r="U929" s="1475">
        <f>P929*$H927</f>
        <v>0</v>
      </c>
      <c r="V929" s="1475">
        <f t="shared" si="492"/>
        <v>0</v>
      </c>
    </row>
    <row r="930" spans="1:22" s="39" customFormat="1" ht="24" customHeight="1">
      <c r="A930" s="1860">
        <v>2</v>
      </c>
      <c r="B930" s="1860"/>
      <c r="C930" s="1860"/>
      <c r="D930" s="1860"/>
      <c r="E930" s="1839"/>
      <c r="F930" s="1957"/>
      <c r="G930" s="1858"/>
      <c r="H930" s="2018"/>
      <c r="I930" s="1824"/>
      <c r="J930" s="40" t="s">
        <v>83</v>
      </c>
      <c r="K930" s="42"/>
      <c r="L930" s="364">
        <v>0</v>
      </c>
      <c r="M930" s="364">
        <v>0</v>
      </c>
      <c r="N930" s="364">
        <v>0</v>
      </c>
      <c r="O930" s="364">
        <v>0</v>
      </c>
      <c r="P930" s="364">
        <v>0</v>
      </c>
      <c r="Q930" s="1475">
        <f>L930*$H927</f>
        <v>0</v>
      </c>
      <c r="R930" s="1475">
        <f>M930*$H927</f>
        <v>0</v>
      </c>
      <c r="S930" s="1475">
        <f>N930*$H927</f>
        <v>0</v>
      </c>
      <c r="T930" s="1475">
        <f>O930*$H927</f>
        <v>0</v>
      </c>
      <c r="U930" s="1475">
        <f>P930*$H927</f>
        <v>0</v>
      </c>
      <c r="V930" s="1475">
        <f t="shared" si="492"/>
        <v>0</v>
      </c>
    </row>
    <row r="931" spans="1:22" s="39" customFormat="1" ht="24" customHeight="1" thickBot="1">
      <c r="A931" s="1860">
        <v>2</v>
      </c>
      <c r="B931" s="1860"/>
      <c r="C931" s="1860"/>
      <c r="D931" s="1860"/>
      <c r="E931" s="1839"/>
      <c r="F931" s="1957"/>
      <c r="G931" s="1859"/>
      <c r="H931" s="2019"/>
      <c r="I931" s="1825"/>
      <c r="J931" s="40" t="s">
        <v>84</v>
      </c>
      <c r="K931" s="42"/>
      <c r="L931" s="364">
        <f>L922-L923</f>
        <v>2502</v>
      </c>
      <c r="M931" s="364">
        <f t="shared" ref="M931:U931" si="494">M922-M923</f>
        <v>2749.5</v>
      </c>
      <c r="N931" s="364">
        <f t="shared" si="494"/>
        <v>2996.4</v>
      </c>
      <c r="O931" s="364">
        <f t="shared" si="494"/>
        <v>3244.5</v>
      </c>
      <c r="P931" s="364">
        <f t="shared" si="494"/>
        <v>3495.9</v>
      </c>
      <c r="Q931" s="1475">
        <f t="shared" si="494"/>
        <v>1676340</v>
      </c>
      <c r="R931" s="1475">
        <f t="shared" si="494"/>
        <v>1842165</v>
      </c>
      <c r="S931" s="1475">
        <f t="shared" si="494"/>
        <v>2007588</v>
      </c>
      <c r="T931" s="1475">
        <f t="shared" si="494"/>
        <v>2173815</v>
      </c>
      <c r="U931" s="1475">
        <f t="shared" si="494"/>
        <v>2342253</v>
      </c>
      <c r="V931" s="1475">
        <f t="shared" si="492"/>
        <v>10042161</v>
      </c>
    </row>
    <row r="932" spans="1:22" s="39" customFormat="1" ht="24" customHeight="1">
      <c r="A932" s="73">
        <v>2</v>
      </c>
      <c r="B932" s="73">
        <v>3</v>
      </c>
      <c r="C932" s="73">
        <v>2</v>
      </c>
      <c r="D932" s="73"/>
      <c r="E932" s="82" t="s">
        <v>13</v>
      </c>
      <c r="F932" s="71" t="str">
        <f>CONCATENATE(A932,".",B932,".",C932,)</f>
        <v>2.3.2</v>
      </c>
      <c r="G932" s="1579" t="s">
        <v>1115</v>
      </c>
      <c r="H932" s="1580"/>
      <c r="I932" s="1580"/>
      <c r="J932" s="1581"/>
      <c r="K932" s="66"/>
      <c r="L932" s="382"/>
      <c r="M932" s="382"/>
      <c r="N932" s="382"/>
      <c r="O932" s="382"/>
      <c r="P932" s="382"/>
      <c r="Q932" s="1521">
        <f>Q934+Q944+Q954+Q964+Q974</f>
        <v>4964300</v>
      </c>
      <c r="R932" s="1521">
        <f t="shared" ref="R932:U932" si="495">R934+R944+R954+R964+R974</f>
        <v>6730218</v>
      </c>
      <c r="S932" s="1521">
        <f t="shared" si="495"/>
        <v>6806936</v>
      </c>
      <c r="T932" s="1521">
        <f t="shared" si="495"/>
        <v>6052154</v>
      </c>
      <c r="U932" s="1521">
        <f t="shared" si="495"/>
        <v>7545572</v>
      </c>
      <c r="V932" s="1521">
        <f t="shared" ref="V932" si="496">SUM(Q932:U932)</f>
        <v>32099180</v>
      </c>
    </row>
    <row r="933" spans="1:22" s="45" customFormat="1" ht="24" customHeight="1">
      <c r="A933" s="1860">
        <v>2</v>
      </c>
      <c r="B933" s="1860">
        <v>3</v>
      </c>
      <c r="C933" s="1860">
        <v>2</v>
      </c>
      <c r="D933" s="1860">
        <v>1</v>
      </c>
      <c r="E933" s="1839" t="s">
        <v>49</v>
      </c>
      <c r="F933" s="1841" t="str">
        <f>CONCATENATE(A933,".",B933,".",C933,".",D933,)</f>
        <v>2.3.2.1</v>
      </c>
      <c r="G933" s="1664" t="s">
        <v>355</v>
      </c>
      <c r="H933" s="1601" t="s">
        <v>195</v>
      </c>
      <c r="I933" s="1655" t="s">
        <v>757</v>
      </c>
      <c r="J933" s="36" t="s">
        <v>79</v>
      </c>
      <c r="K933" s="891"/>
      <c r="L933" s="383">
        <v>30</v>
      </c>
      <c r="M933" s="383">
        <v>0</v>
      </c>
      <c r="N933" s="383">
        <v>0</v>
      </c>
      <c r="O933" s="383">
        <v>0</v>
      </c>
      <c r="P933" s="383">
        <v>0</v>
      </c>
      <c r="Q933" s="1475">
        <f>L933*H938</f>
        <v>60000</v>
      </c>
      <c r="R933" s="1475">
        <f>M933*H938</f>
        <v>0</v>
      </c>
      <c r="S933" s="1475">
        <f>N933*H938</f>
        <v>0</v>
      </c>
      <c r="T933" s="1475">
        <f>O933*H938</f>
        <v>0</v>
      </c>
      <c r="U933" s="1475">
        <f>P933*H938</f>
        <v>0</v>
      </c>
      <c r="V933" s="1475">
        <f t="shared" ref="V933:V939" si="497">SUM(Q933:U933)</f>
        <v>60000</v>
      </c>
    </row>
    <row r="934" spans="1:22" s="39" customFormat="1" ht="24" customHeight="1">
      <c r="A934" s="1860">
        <v>2</v>
      </c>
      <c r="B934" s="1860"/>
      <c r="C934" s="1860"/>
      <c r="D934" s="1860"/>
      <c r="E934" s="1839"/>
      <c r="F934" s="1841"/>
      <c r="G934" s="1665"/>
      <c r="H934" s="1601"/>
      <c r="I934" s="1656"/>
      <c r="J934" s="40" t="s">
        <v>80</v>
      </c>
      <c r="K934" s="42"/>
      <c r="L934" s="364">
        <f t="shared" ref="L934:U934" si="498">SUM(L935:L941)</f>
        <v>30</v>
      </c>
      <c r="M934" s="364">
        <f t="shared" si="498"/>
        <v>0</v>
      </c>
      <c r="N934" s="364">
        <f t="shared" si="498"/>
        <v>0</v>
      </c>
      <c r="O934" s="364">
        <f t="shared" si="498"/>
        <v>0</v>
      </c>
      <c r="P934" s="364">
        <f t="shared" si="498"/>
        <v>0</v>
      </c>
      <c r="Q934" s="1475">
        <f t="shared" si="498"/>
        <v>60000</v>
      </c>
      <c r="R934" s="1475">
        <f t="shared" si="498"/>
        <v>0</v>
      </c>
      <c r="S934" s="1475">
        <f t="shared" si="498"/>
        <v>0</v>
      </c>
      <c r="T934" s="1475">
        <f t="shared" si="498"/>
        <v>0</v>
      </c>
      <c r="U934" s="1475">
        <f t="shared" si="498"/>
        <v>0</v>
      </c>
      <c r="V934" s="1475">
        <f t="shared" si="497"/>
        <v>60000</v>
      </c>
    </row>
    <row r="935" spans="1:22" s="39" customFormat="1" ht="24" customHeight="1">
      <c r="A935" s="1860">
        <v>2</v>
      </c>
      <c r="B935" s="1860"/>
      <c r="C935" s="1860"/>
      <c r="D935" s="1860"/>
      <c r="E935" s="1839"/>
      <c r="F935" s="1841"/>
      <c r="G935" s="1665"/>
      <c r="H935" s="1601"/>
      <c r="I935" s="1656"/>
      <c r="J935" s="40" t="s">
        <v>429</v>
      </c>
      <c r="K935" s="42"/>
      <c r="L935" s="364">
        <v>0</v>
      </c>
      <c r="M935" s="364">
        <v>0</v>
      </c>
      <c r="N935" s="364">
        <v>0</v>
      </c>
      <c r="O935" s="364">
        <v>0</v>
      </c>
      <c r="P935" s="364">
        <v>0</v>
      </c>
      <c r="Q935" s="1475">
        <f>L935*$H938</f>
        <v>0</v>
      </c>
      <c r="R935" s="1475">
        <f>M935*$H938</f>
        <v>0</v>
      </c>
      <c r="S935" s="1475">
        <f>N935*$H938</f>
        <v>0</v>
      </c>
      <c r="T935" s="1475">
        <f>O935*$H938</f>
        <v>0</v>
      </c>
      <c r="U935" s="1475">
        <f>P935*$H938</f>
        <v>0</v>
      </c>
      <c r="V935" s="1475">
        <f t="shared" si="497"/>
        <v>0</v>
      </c>
    </row>
    <row r="936" spans="1:22" s="39" customFormat="1" ht="24" customHeight="1">
      <c r="A936" s="1860">
        <v>2</v>
      </c>
      <c r="B936" s="1860"/>
      <c r="C936" s="1860"/>
      <c r="D936" s="1860"/>
      <c r="E936" s="1839"/>
      <c r="F936" s="1841"/>
      <c r="G936" s="1665"/>
      <c r="H936" s="1601"/>
      <c r="I936" s="1656"/>
      <c r="J936" s="40" t="s">
        <v>133</v>
      </c>
      <c r="K936" s="42"/>
      <c r="L936" s="364">
        <v>0</v>
      </c>
      <c r="M936" s="364">
        <v>0</v>
      </c>
      <c r="N936" s="364">
        <v>0</v>
      </c>
      <c r="O936" s="364">
        <v>0</v>
      </c>
      <c r="P936" s="364">
        <v>0</v>
      </c>
      <c r="Q936" s="1475">
        <f>L936*$H938</f>
        <v>0</v>
      </c>
      <c r="R936" s="1475">
        <f>M936*$H938</f>
        <v>0</v>
      </c>
      <c r="S936" s="1475">
        <f>N936*$H938</f>
        <v>0</v>
      </c>
      <c r="T936" s="1475">
        <f>O936*$H938</f>
        <v>0</v>
      </c>
      <c r="U936" s="1475">
        <f>P936*$H938</f>
        <v>0</v>
      </c>
      <c r="V936" s="1475">
        <f t="shared" si="497"/>
        <v>0</v>
      </c>
    </row>
    <row r="937" spans="1:22" s="39" customFormat="1" ht="24" customHeight="1">
      <c r="A937" s="1860">
        <v>2</v>
      </c>
      <c r="B937" s="1860"/>
      <c r="C937" s="1860"/>
      <c r="D937" s="1860"/>
      <c r="E937" s="1839"/>
      <c r="F937" s="1841"/>
      <c r="G937" s="1665"/>
      <c r="H937" s="1601"/>
      <c r="I937" s="1656"/>
      <c r="J937" s="40" t="s">
        <v>81</v>
      </c>
      <c r="K937" s="42"/>
      <c r="L937" s="364">
        <v>0</v>
      </c>
      <c r="M937" s="364">
        <v>0</v>
      </c>
      <c r="N937" s="364">
        <v>0</v>
      </c>
      <c r="O937" s="364">
        <v>0</v>
      </c>
      <c r="P937" s="364">
        <v>0</v>
      </c>
      <c r="Q937" s="1475">
        <f>L937*$H938</f>
        <v>0</v>
      </c>
      <c r="R937" s="1475">
        <f>M937*$H938</f>
        <v>0</v>
      </c>
      <c r="S937" s="1475">
        <f>N937*$H938</f>
        <v>0</v>
      </c>
      <c r="T937" s="1475">
        <f>O937*$H938</f>
        <v>0</v>
      </c>
      <c r="U937" s="1475">
        <f>P937*$H938</f>
        <v>0</v>
      </c>
      <c r="V937" s="1475">
        <f t="shared" si="497"/>
        <v>0</v>
      </c>
    </row>
    <row r="938" spans="1:22" s="39" customFormat="1" ht="24" customHeight="1">
      <c r="A938" s="1860">
        <v>2</v>
      </c>
      <c r="B938" s="1860"/>
      <c r="C938" s="1860"/>
      <c r="D938" s="1860"/>
      <c r="E938" s="1839"/>
      <c r="F938" s="1841"/>
      <c r="G938" s="1665"/>
      <c r="H938" s="1667">
        <f>'Budget assumption'!C4</f>
        <v>2000</v>
      </c>
      <c r="I938" s="1656"/>
      <c r="J938" s="40" t="s">
        <v>134</v>
      </c>
      <c r="K938" s="42"/>
      <c r="L938" s="364">
        <f>L868*30%</f>
        <v>0</v>
      </c>
      <c r="M938" s="364">
        <f>M868*30%</f>
        <v>0</v>
      </c>
      <c r="N938" s="364">
        <f>N868*30%</f>
        <v>0</v>
      </c>
      <c r="O938" s="364">
        <f>O868*30%</f>
        <v>0</v>
      </c>
      <c r="P938" s="364">
        <f>P868*30%</f>
        <v>0</v>
      </c>
      <c r="Q938" s="1475">
        <f>L938*$H938</f>
        <v>0</v>
      </c>
      <c r="R938" s="1475">
        <f>M938*$H938</f>
        <v>0</v>
      </c>
      <c r="S938" s="1475">
        <f>N938*$H938</f>
        <v>0</v>
      </c>
      <c r="T938" s="1475">
        <f>O938*$H938</f>
        <v>0</v>
      </c>
      <c r="U938" s="1475">
        <f>P938*$H938</f>
        <v>0</v>
      </c>
      <c r="V938" s="1475">
        <f t="shared" si="497"/>
        <v>0</v>
      </c>
    </row>
    <row r="939" spans="1:22" s="39" customFormat="1" ht="24" customHeight="1">
      <c r="A939" s="1860">
        <v>2</v>
      </c>
      <c r="B939" s="1860"/>
      <c r="C939" s="1860"/>
      <c r="D939" s="1860"/>
      <c r="E939" s="1839"/>
      <c r="F939" s="1841"/>
      <c r="G939" s="1665"/>
      <c r="H939" s="1668">
        <f>810*0.05</f>
        <v>40.5</v>
      </c>
      <c r="I939" s="1656"/>
      <c r="J939" s="40" t="s">
        <v>82</v>
      </c>
      <c r="K939" s="42"/>
      <c r="L939" s="364">
        <v>30</v>
      </c>
      <c r="M939" s="364">
        <v>0</v>
      </c>
      <c r="N939" s="364">
        <v>0</v>
      </c>
      <c r="O939" s="364">
        <v>0</v>
      </c>
      <c r="P939" s="364">
        <v>0</v>
      </c>
      <c r="Q939" s="1475">
        <f>L939*$H938</f>
        <v>60000</v>
      </c>
      <c r="R939" s="1475">
        <f>M939*$H938</f>
        <v>0</v>
      </c>
      <c r="S939" s="1475">
        <f>N939*$H938</f>
        <v>0</v>
      </c>
      <c r="T939" s="1475">
        <f>O939*$H938</f>
        <v>0</v>
      </c>
      <c r="U939" s="1475">
        <f>P939*$H938</f>
        <v>0</v>
      </c>
      <c r="V939" s="1475">
        <f t="shared" si="497"/>
        <v>60000</v>
      </c>
    </row>
    <row r="940" spans="1:22" s="39" customFormat="1" ht="24" customHeight="1">
      <c r="A940" s="1860">
        <v>2</v>
      </c>
      <c r="B940" s="1860"/>
      <c r="C940" s="1860"/>
      <c r="D940" s="1860"/>
      <c r="E940" s="1839"/>
      <c r="F940" s="1841"/>
      <c r="G940" s="1665"/>
      <c r="H940" s="1668"/>
      <c r="I940" s="1656"/>
      <c r="J940" s="40" t="s">
        <v>90</v>
      </c>
      <c r="K940" s="42"/>
      <c r="L940" s="364">
        <v>0</v>
      </c>
      <c r="M940" s="364">
        <v>0</v>
      </c>
      <c r="N940" s="364">
        <v>0</v>
      </c>
      <c r="O940" s="364">
        <v>0</v>
      </c>
      <c r="P940" s="364">
        <v>0</v>
      </c>
      <c r="Q940" s="1475">
        <f>L940*$H938</f>
        <v>0</v>
      </c>
      <c r="R940" s="1475">
        <f>M940*$H938</f>
        <v>0</v>
      </c>
      <c r="S940" s="1475">
        <f>N940*$H938</f>
        <v>0</v>
      </c>
      <c r="T940" s="1475">
        <f>O940*$H938</f>
        <v>0</v>
      </c>
      <c r="U940" s="1475">
        <f>P940*$H938</f>
        <v>0</v>
      </c>
      <c r="V940" s="1475">
        <f t="shared" ref="V940:V942" si="499">SUM(Q940:U940)</f>
        <v>0</v>
      </c>
    </row>
    <row r="941" spans="1:22" s="39" customFormat="1" ht="24" customHeight="1">
      <c r="A941" s="1860">
        <v>2</v>
      </c>
      <c r="B941" s="1860"/>
      <c r="C941" s="1860"/>
      <c r="D941" s="1860"/>
      <c r="E941" s="1839"/>
      <c r="F941" s="1841"/>
      <c r="G941" s="1665"/>
      <c r="H941" s="1668"/>
      <c r="I941" s="1656"/>
      <c r="J941" s="40" t="s">
        <v>83</v>
      </c>
      <c r="K941" s="42"/>
      <c r="L941" s="364">
        <v>0</v>
      </c>
      <c r="M941" s="364">
        <v>0</v>
      </c>
      <c r="N941" s="364">
        <v>0</v>
      </c>
      <c r="O941" s="364">
        <v>0</v>
      </c>
      <c r="P941" s="364">
        <v>0</v>
      </c>
      <c r="Q941" s="1475">
        <f>L941*$H938</f>
        <v>0</v>
      </c>
      <c r="R941" s="1475">
        <f>M941*$H938</f>
        <v>0</v>
      </c>
      <c r="S941" s="1475">
        <f>N941*$H938</f>
        <v>0</v>
      </c>
      <c r="T941" s="1475">
        <f>O941*$H938</f>
        <v>0</v>
      </c>
      <c r="U941" s="1475">
        <f>P941*$H938</f>
        <v>0</v>
      </c>
      <c r="V941" s="1475">
        <f t="shared" si="499"/>
        <v>0</v>
      </c>
    </row>
    <row r="942" spans="1:22" s="39" customFormat="1" ht="24" customHeight="1" thickBot="1">
      <c r="A942" s="1860">
        <v>2</v>
      </c>
      <c r="B942" s="1860"/>
      <c r="C942" s="1860"/>
      <c r="D942" s="1860"/>
      <c r="E942" s="1839"/>
      <c r="F942" s="1841"/>
      <c r="G942" s="1666"/>
      <c r="H942" s="1669"/>
      <c r="I942" s="1657"/>
      <c r="J942" s="40" t="s">
        <v>84</v>
      </c>
      <c r="K942" s="42"/>
      <c r="L942" s="364">
        <f>L933-L934</f>
        <v>0</v>
      </c>
      <c r="M942" s="364">
        <f t="shared" ref="M942:U942" si="500">M933-M934</f>
        <v>0</v>
      </c>
      <c r="N942" s="364">
        <f t="shared" si="500"/>
        <v>0</v>
      </c>
      <c r="O942" s="364">
        <f t="shared" si="500"/>
        <v>0</v>
      </c>
      <c r="P942" s="364">
        <f t="shared" si="500"/>
        <v>0</v>
      </c>
      <c r="Q942" s="1475">
        <f t="shared" si="500"/>
        <v>0</v>
      </c>
      <c r="R942" s="1475">
        <f t="shared" si="500"/>
        <v>0</v>
      </c>
      <c r="S942" s="1475">
        <f t="shared" si="500"/>
        <v>0</v>
      </c>
      <c r="T942" s="1475">
        <f t="shared" si="500"/>
        <v>0</v>
      </c>
      <c r="U942" s="1475">
        <f t="shared" si="500"/>
        <v>0</v>
      </c>
      <c r="V942" s="1475">
        <f t="shared" si="499"/>
        <v>0</v>
      </c>
    </row>
    <row r="943" spans="1:22" s="45" customFormat="1" ht="24" customHeight="1">
      <c r="A943" s="1860">
        <v>2</v>
      </c>
      <c r="B943" s="1860">
        <v>3</v>
      </c>
      <c r="C943" s="1860">
        <v>2</v>
      </c>
      <c r="D943" s="1860">
        <v>2</v>
      </c>
      <c r="E943" s="1839" t="s">
        <v>49</v>
      </c>
      <c r="F943" s="1841" t="str">
        <f>CONCATENATE(A943,".",B943,".",C943,".",D943,)</f>
        <v>2.3.2.2</v>
      </c>
      <c r="G943" s="1664" t="s">
        <v>1140</v>
      </c>
      <c r="H943" s="1601" t="s">
        <v>144</v>
      </c>
      <c r="I943" s="1614" t="s">
        <v>191</v>
      </c>
      <c r="J943" s="36" t="s">
        <v>79</v>
      </c>
      <c r="K943" s="891"/>
      <c r="L943" s="383">
        <v>0</v>
      </c>
      <c r="M943" s="383">
        <v>1</v>
      </c>
      <c r="N943" s="383">
        <v>0</v>
      </c>
      <c r="O943" s="383">
        <v>0</v>
      </c>
      <c r="P943" s="383">
        <v>0</v>
      </c>
      <c r="Q943" s="1475">
        <f>L943*H948</f>
        <v>0</v>
      </c>
      <c r="R943" s="1475">
        <f>M943*H948</f>
        <v>250000</v>
      </c>
      <c r="S943" s="1475">
        <f>N943*H948</f>
        <v>0</v>
      </c>
      <c r="T943" s="1475">
        <f>O943*H948</f>
        <v>0</v>
      </c>
      <c r="U943" s="1475">
        <f>P943*H948</f>
        <v>0</v>
      </c>
      <c r="V943" s="1475">
        <f t="shared" ref="V943:V949" si="501">SUM(Q943:U943)</f>
        <v>250000</v>
      </c>
    </row>
    <row r="944" spans="1:22" s="39" customFormat="1" ht="24" customHeight="1">
      <c r="A944" s="1860">
        <v>2</v>
      </c>
      <c r="B944" s="1860"/>
      <c r="C944" s="1860"/>
      <c r="D944" s="1860"/>
      <c r="E944" s="1839"/>
      <c r="F944" s="1841"/>
      <c r="G944" s="1665"/>
      <c r="H944" s="1601"/>
      <c r="I944" s="1615"/>
      <c r="J944" s="40" t="s">
        <v>80</v>
      </c>
      <c r="K944" s="42"/>
      <c r="L944" s="364">
        <f t="shared" ref="L944:P944" si="502">SUM(L945:L951)</f>
        <v>0</v>
      </c>
      <c r="M944" s="364">
        <f t="shared" si="502"/>
        <v>1</v>
      </c>
      <c r="N944" s="364">
        <f t="shared" si="502"/>
        <v>0</v>
      </c>
      <c r="O944" s="364">
        <f t="shared" si="502"/>
        <v>0</v>
      </c>
      <c r="P944" s="364">
        <f t="shared" si="502"/>
        <v>0</v>
      </c>
      <c r="Q944" s="1475">
        <f t="shared" ref="Q944:U944" si="503">SUM(Q945:Q951)</f>
        <v>0</v>
      </c>
      <c r="R944" s="1475">
        <f t="shared" si="503"/>
        <v>250000</v>
      </c>
      <c r="S944" s="1475">
        <f t="shared" si="503"/>
        <v>0</v>
      </c>
      <c r="T944" s="1475">
        <f t="shared" si="503"/>
        <v>0</v>
      </c>
      <c r="U944" s="1475">
        <f t="shared" si="503"/>
        <v>0</v>
      </c>
      <c r="V944" s="1475">
        <f t="shared" si="501"/>
        <v>250000</v>
      </c>
    </row>
    <row r="945" spans="1:22" s="39" customFormat="1" ht="24" customHeight="1">
      <c r="A945" s="1860">
        <v>2</v>
      </c>
      <c r="B945" s="1860"/>
      <c r="C945" s="1860"/>
      <c r="D945" s="1860"/>
      <c r="E945" s="1839"/>
      <c r="F945" s="1841"/>
      <c r="G945" s="1665"/>
      <c r="H945" s="1601"/>
      <c r="I945" s="1615"/>
      <c r="J945" s="40" t="s">
        <v>429</v>
      </c>
      <c r="K945" s="42"/>
      <c r="L945" s="364">
        <v>0</v>
      </c>
      <c r="M945" s="364">
        <v>0</v>
      </c>
      <c r="N945" s="364">
        <v>0</v>
      </c>
      <c r="O945" s="364">
        <v>0</v>
      </c>
      <c r="P945" s="364">
        <v>0</v>
      </c>
      <c r="Q945" s="1475">
        <f>L945*$H948</f>
        <v>0</v>
      </c>
      <c r="R945" s="1475">
        <f>M945*$H948</f>
        <v>0</v>
      </c>
      <c r="S945" s="1475">
        <f>N945*$H948</f>
        <v>0</v>
      </c>
      <c r="T945" s="1475">
        <f>O945*$H948</f>
        <v>0</v>
      </c>
      <c r="U945" s="1475">
        <f>P945*$H948</f>
        <v>0</v>
      </c>
      <c r="V945" s="1475">
        <f t="shared" si="501"/>
        <v>0</v>
      </c>
    </row>
    <row r="946" spans="1:22" s="39" customFormat="1" ht="24" customHeight="1">
      <c r="A946" s="1860">
        <v>2</v>
      </c>
      <c r="B946" s="1860"/>
      <c r="C946" s="1860"/>
      <c r="D946" s="1860"/>
      <c r="E946" s="1839"/>
      <c r="F946" s="1841"/>
      <c r="G946" s="1665"/>
      <c r="H946" s="1601"/>
      <c r="I946" s="1615"/>
      <c r="J946" s="40" t="s">
        <v>133</v>
      </c>
      <c r="K946" s="42"/>
      <c r="L946" s="364">
        <v>0</v>
      </c>
      <c r="M946" s="364">
        <v>0</v>
      </c>
      <c r="N946" s="364">
        <v>0</v>
      </c>
      <c r="O946" s="364">
        <v>0</v>
      </c>
      <c r="P946" s="364">
        <v>0</v>
      </c>
      <c r="Q946" s="1475">
        <f>L946*$H948</f>
        <v>0</v>
      </c>
      <c r="R946" s="1475">
        <f>M946*$H948</f>
        <v>0</v>
      </c>
      <c r="S946" s="1475">
        <f>N946*$H948</f>
        <v>0</v>
      </c>
      <c r="T946" s="1475">
        <f>O946*$H948</f>
        <v>0</v>
      </c>
      <c r="U946" s="1475">
        <f>P946*$H948</f>
        <v>0</v>
      </c>
      <c r="V946" s="1475">
        <f t="shared" si="501"/>
        <v>0</v>
      </c>
    </row>
    <row r="947" spans="1:22" s="39" customFormat="1" ht="24" customHeight="1">
      <c r="A947" s="1860">
        <v>2</v>
      </c>
      <c r="B947" s="1860"/>
      <c r="C947" s="1860"/>
      <c r="D947" s="1860"/>
      <c r="E947" s="1839"/>
      <c r="F947" s="1841"/>
      <c r="G947" s="1665"/>
      <c r="H947" s="1601"/>
      <c r="I947" s="1615"/>
      <c r="J947" s="40" t="s">
        <v>81</v>
      </c>
      <c r="K947" s="42"/>
      <c r="L947" s="364">
        <v>0</v>
      </c>
      <c r="M947" s="364">
        <v>0</v>
      </c>
      <c r="N947" s="364">
        <v>0</v>
      </c>
      <c r="O947" s="364">
        <v>0</v>
      </c>
      <c r="P947" s="364">
        <v>0</v>
      </c>
      <c r="Q947" s="1475">
        <f>L947*$H948</f>
        <v>0</v>
      </c>
      <c r="R947" s="1475">
        <f>M947*$H948</f>
        <v>0</v>
      </c>
      <c r="S947" s="1475">
        <f>N947*$H948</f>
        <v>0</v>
      </c>
      <c r="T947" s="1475">
        <f>O947*$H948</f>
        <v>0</v>
      </c>
      <c r="U947" s="1475">
        <f>P947*$H948</f>
        <v>0</v>
      </c>
      <c r="V947" s="1475">
        <f t="shared" si="501"/>
        <v>0</v>
      </c>
    </row>
    <row r="948" spans="1:22" s="39" customFormat="1" ht="24" customHeight="1">
      <c r="A948" s="1860">
        <v>2</v>
      </c>
      <c r="B948" s="1860"/>
      <c r="C948" s="1860"/>
      <c r="D948" s="1860"/>
      <c r="E948" s="1839"/>
      <c r="F948" s="1841"/>
      <c r="G948" s="1665"/>
      <c r="H948" s="1667">
        <f>'Budget assumption'!C454+'Budget assumption'!C455</f>
        <v>250000</v>
      </c>
      <c r="I948" s="1615"/>
      <c r="J948" s="40" t="s">
        <v>134</v>
      </c>
      <c r="K948" s="42"/>
      <c r="L948" s="364">
        <f>L878*30%</f>
        <v>0</v>
      </c>
      <c r="M948" s="364">
        <f>M878*30%</f>
        <v>0</v>
      </c>
      <c r="N948" s="364">
        <f>N878*30%</f>
        <v>0</v>
      </c>
      <c r="O948" s="364">
        <f>O878*30%</f>
        <v>0</v>
      </c>
      <c r="P948" s="364">
        <f>P878*30%</f>
        <v>0</v>
      </c>
      <c r="Q948" s="1475">
        <f>L948*$H948</f>
        <v>0</v>
      </c>
      <c r="R948" s="1475">
        <f>M948*$H948</f>
        <v>0</v>
      </c>
      <c r="S948" s="1475">
        <f>N948*$H948</f>
        <v>0</v>
      </c>
      <c r="T948" s="1475">
        <f>O948*$H948</f>
        <v>0</v>
      </c>
      <c r="U948" s="1475">
        <f>P948*$H948</f>
        <v>0</v>
      </c>
      <c r="V948" s="1475">
        <f t="shared" si="501"/>
        <v>0</v>
      </c>
    </row>
    <row r="949" spans="1:22" s="39" customFormat="1" ht="24" customHeight="1">
      <c r="A949" s="1860">
        <v>2</v>
      </c>
      <c r="B949" s="1860"/>
      <c r="C949" s="1860"/>
      <c r="D949" s="1860"/>
      <c r="E949" s="1839"/>
      <c r="F949" s="1841"/>
      <c r="G949" s="1665"/>
      <c r="H949" s="1668">
        <f>810*0.05</f>
        <v>40.5</v>
      </c>
      <c r="I949" s="1615"/>
      <c r="J949" s="40" t="s">
        <v>82</v>
      </c>
      <c r="K949" s="42"/>
      <c r="L949" s="364">
        <v>0</v>
      </c>
      <c r="M949" s="364">
        <v>1</v>
      </c>
      <c r="N949" s="364">
        <v>0</v>
      </c>
      <c r="O949" s="364">
        <v>0</v>
      </c>
      <c r="P949" s="364">
        <v>0</v>
      </c>
      <c r="Q949" s="1475">
        <f>L949*$H948</f>
        <v>0</v>
      </c>
      <c r="R949" s="1475">
        <f>M949*$H948</f>
        <v>250000</v>
      </c>
      <c r="S949" s="1475">
        <f>N949*$H948</f>
        <v>0</v>
      </c>
      <c r="T949" s="1475">
        <f>O949*$H948</f>
        <v>0</v>
      </c>
      <c r="U949" s="1475">
        <f>P949*$H948</f>
        <v>0</v>
      </c>
      <c r="V949" s="1475">
        <f t="shared" si="501"/>
        <v>250000</v>
      </c>
    </row>
    <row r="950" spans="1:22" s="39" customFormat="1" ht="24" customHeight="1">
      <c r="A950" s="1860">
        <v>2</v>
      </c>
      <c r="B950" s="1860"/>
      <c r="C950" s="1860"/>
      <c r="D950" s="1860"/>
      <c r="E950" s="1839"/>
      <c r="F950" s="1841"/>
      <c r="G950" s="1665"/>
      <c r="H950" s="1668"/>
      <c r="I950" s="1615"/>
      <c r="J950" s="40" t="s">
        <v>90</v>
      </c>
      <c r="K950" s="42"/>
      <c r="L950" s="364">
        <v>0</v>
      </c>
      <c r="M950" s="364">
        <v>0</v>
      </c>
      <c r="N950" s="364">
        <v>0</v>
      </c>
      <c r="O950" s="364">
        <v>0</v>
      </c>
      <c r="P950" s="364">
        <v>0</v>
      </c>
      <c r="Q950" s="1475">
        <f>L950*$H948</f>
        <v>0</v>
      </c>
      <c r="R950" s="1475">
        <f>M950*$H948</f>
        <v>0</v>
      </c>
      <c r="S950" s="1475">
        <f>N950*$H948</f>
        <v>0</v>
      </c>
      <c r="T950" s="1475">
        <f>O950*$H948</f>
        <v>0</v>
      </c>
      <c r="U950" s="1475">
        <f>P950*$H948</f>
        <v>0</v>
      </c>
      <c r="V950" s="1475">
        <f t="shared" ref="V950:V952" si="504">SUM(Q950:U950)</f>
        <v>0</v>
      </c>
    </row>
    <row r="951" spans="1:22" s="39" customFormat="1" ht="24" customHeight="1">
      <c r="A951" s="1860">
        <v>2</v>
      </c>
      <c r="B951" s="1860"/>
      <c r="C951" s="1860"/>
      <c r="D951" s="1860"/>
      <c r="E951" s="1839"/>
      <c r="F951" s="1841"/>
      <c r="G951" s="1665"/>
      <c r="H951" s="1668"/>
      <c r="I951" s="1615"/>
      <c r="J951" s="40" t="s">
        <v>83</v>
      </c>
      <c r="K951" s="42"/>
      <c r="L951" s="364">
        <v>0</v>
      </c>
      <c r="M951" s="364">
        <v>0</v>
      </c>
      <c r="N951" s="364">
        <v>0</v>
      </c>
      <c r="O951" s="364">
        <v>0</v>
      </c>
      <c r="P951" s="364">
        <v>0</v>
      </c>
      <c r="Q951" s="1475">
        <f>L951*$H948</f>
        <v>0</v>
      </c>
      <c r="R951" s="1475">
        <f>M951*$H948</f>
        <v>0</v>
      </c>
      <c r="S951" s="1475">
        <f>N951*$H948</f>
        <v>0</v>
      </c>
      <c r="T951" s="1475">
        <f>O951*$H948</f>
        <v>0</v>
      </c>
      <c r="U951" s="1475">
        <f>P951*$H948</f>
        <v>0</v>
      </c>
      <c r="V951" s="1475">
        <f t="shared" si="504"/>
        <v>0</v>
      </c>
    </row>
    <row r="952" spans="1:22" s="39" customFormat="1" ht="24" customHeight="1" thickBot="1">
      <c r="A952" s="1860">
        <v>2</v>
      </c>
      <c r="B952" s="1860"/>
      <c r="C952" s="1860"/>
      <c r="D952" s="1860"/>
      <c r="E952" s="1839"/>
      <c r="F952" s="1841"/>
      <c r="G952" s="1686"/>
      <c r="H952" s="1669"/>
      <c r="I952" s="1617"/>
      <c r="J952" s="40" t="s">
        <v>84</v>
      </c>
      <c r="K952" s="42"/>
      <c r="L952" s="364">
        <f>L943-L944</f>
        <v>0</v>
      </c>
      <c r="M952" s="364">
        <f t="shared" ref="M952:P952" si="505">M943-M944</f>
        <v>0</v>
      </c>
      <c r="N952" s="364">
        <f t="shared" si="505"/>
        <v>0</v>
      </c>
      <c r="O952" s="364">
        <f t="shared" si="505"/>
        <v>0</v>
      </c>
      <c r="P952" s="364">
        <f t="shared" si="505"/>
        <v>0</v>
      </c>
      <c r="Q952" s="1475">
        <f t="shared" ref="Q952:U952" si="506">Q943-Q944</f>
        <v>0</v>
      </c>
      <c r="R952" s="1475">
        <f t="shared" si="506"/>
        <v>0</v>
      </c>
      <c r="S952" s="1475">
        <f t="shared" si="506"/>
        <v>0</v>
      </c>
      <c r="T952" s="1475">
        <f t="shared" si="506"/>
        <v>0</v>
      </c>
      <c r="U952" s="1475">
        <f t="shared" si="506"/>
        <v>0</v>
      </c>
      <c r="V952" s="1475">
        <f t="shared" si="504"/>
        <v>0</v>
      </c>
    </row>
    <row r="953" spans="1:22" s="264" customFormat="1" ht="24" customHeight="1">
      <c r="A953" s="1860">
        <v>2</v>
      </c>
      <c r="B953" s="1860">
        <v>3</v>
      </c>
      <c r="C953" s="1860">
        <v>2</v>
      </c>
      <c r="D953" s="1860">
        <v>3</v>
      </c>
      <c r="E953" s="1839" t="s">
        <v>49</v>
      </c>
      <c r="F953" s="1841" t="str">
        <f>CONCATENATE(A953,".",B953,".",C953,".",D953,)</f>
        <v>2.3.2.3</v>
      </c>
      <c r="G953" s="1664" t="s">
        <v>1114</v>
      </c>
      <c r="H953" s="1601" t="s">
        <v>144</v>
      </c>
      <c r="I953" s="1655" t="s">
        <v>191</v>
      </c>
      <c r="J953" s="36" t="s">
        <v>79</v>
      </c>
      <c r="K953" s="896"/>
      <c r="L953" s="383">
        <v>0</v>
      </c>
      <c r="M953" s="383">
        <v>1</v>
      </c>
      <c r="N953" s="383">
        <v>1</v>
      </c>
      <c r="O953" s="383">
        <v>2</v>
      </c>
      <c r="P953" s="383">
        <v>3</v>
      </c>
      <c r="Q953" s="1475">
        <f>L953*H958</f>
        <v>0</v>
      </c>
      <c r="R953" s="1475">
        <f>M953*H958</f>
        <v>1249200</v>
      </c>
      <c r="S953" s="1475">
        <f>N953*H958</f>
        <v>1249200</v>
      </c>
      <c r="T953" s="1475">
        <f>O953*H958</f>
        <v>2498400</v>
      </c>
      <c r="U953" s="1475">
        <f>P953*H958</f>
        <v>3747600</v>
      </c>
      <c r="V953" s="1475">
        <f t="shared" ref="V953:V959" si="507">SUM(Q953:U953)</f>
        <v>8744400</v>
      </c>
    </row>
    <row r="954" spans="1:22" s="99" customFormat="1" ht="24" customHeight="1">
      <c r="A954" s="1860">
        <v>2</v>
      </c>
      <c r="B954" s="1860"/>
      <c r="C954" s="1860"/>
      <c r="D954" s="1860"/>
      <c r="E954" s="1839"/>
      <c r="F954" s="1841"/>
      <c r="G954" s="1665"/>
      <c r="H954" s="1601"/>
      <c r="I954" s="1656"/>
      <c r="J954" s="40" t="s">
        <v>80</v>
      </c>
      <c r="K954" s="91"/>
      <c r="L954" s="364">
        <f t="shared" ref="L954:U954" si="508">SUM(L955:L961)</f>
        <v>0</v>
      </c>
      <c r="M954" s="364">
        <f t="shared" si="508"/>
        <v>1</v>
      </c>
      <c r="N954" s="364">
        <f t="shared" si="508"/>
        <v>1</v>
      </c>
      <c r="O954" s="364">
        <f t="shared" si="508"/>
        <v>1</v>
      </c>
      <c r="P954" s="364">
        <f t="shared" si="508"/>
        <v>2</v>
      </c>
      <c r="Q954" s="1475">
        <f t="shared" si="508"/>
        <v>0</v>
      </c>
      <c r="R954" s="1475">
        <f t="shared" si="508"/>
        <v>1249200</v>
      </c>
      <c r="S954" s="1475">
        <f t="shared" si="508"/>
        <v>1249200</v>
      </c>
      <c r="T954" s="1475">
        <f t="shared" si="508"/>
        <v>1249200</v>
      </c>
      <c r="U954" s="1475">
        <f t="shared" si="508"/>
        <v>2498400</v>
      </c>
      <c r="V954" s="1475">
        <f t="shared" si="507"/>
        <v>6246000</v>
      </c>
    </row>
    <row r="955" spans="1:22" s="99" customFormat="1" ht="24" customHeight="1">
      <c r="A955" s="1860">
        <v>2</v>
      </c>
      <c r="B955" s="1860"/>
      <c r="C955" s="1860"/>
      <c r="D955" s="1860"/>
      <c r="E955" s="1839"/>
      <c r="F955" s="1841"/>
      <c r="G955" s="1665"/>
      <c r="H955" s="1601"/>
      <c r="I955" s="1656"/>
      <c r="J955" s="40" t="s">
        <v>429</v>
      </c>
      <c r="K955" s="91"/>
      <c r="L955" s="364">
        <v>0</v>
      </c>
      <c r="M955" s="364">
        <v>0</v>
      </c>
      <c r="N955" s="364">
        <v>0</v>
      </c>
      <c r="O955" s="364">
        <v>1</v>
      </c>
      <c r="P955" s="364">
        <v>2</v>
      </c>
      <c r="Q955" s="1475">
        <f>L955*$H958</f>
        <v>0</v>
      </c>
      <c r="R955" s="1475">
        <f>M955*$H958</f>
        <v>0</v>
      </c>
      <c r="S955" s="1475">
        <f>N955*$H958</f>
        <v>0</v>
      </c>
      <c r="T955" s="1475">
        <f>O955*$H958</f>
        <v>1249200</v>
      </c>
      <c r="U955" s="1475">
        <f>P955*$H958</f>
        <v>2498400</v>
      </c>
      <c r="V955" s="1475">
        <f t="shared" si="507"/>
        <v>3747600</v>
      </c>
    </row>
    <row r="956" spans="1:22" s="99" customFormat="1" ht="24" customHeight="1">
      <c r="A956" s="1860">
        <v>2</v>
      </c>
      <c r="B956" s="1860"/>
      <c r="C956" s="1860"/>
      <c r="D956" s="1860"/>
      <c r="E956" s="1839"/>
      <c r="F956" s="1841"/>
      <c r="G956" s="1665"/>
      <c r="H956" s="1601"/>
      <c r="I956" s="1656"/>
      <c r="J956" s="40" t="s">
        <v>133</v>
      </c>
      <c r="K956" s="91"/>
      <c r="L956" s="364">
        <v>0</v>
      </c>
      <c r="M956" s="364">
        <v>0</v>
      </c>
      <c r="N956" s="364">
        <v>0</v>
      </c>
      <c r="O956" s="364">
        <v>0</v>
      </c>
      <c r="P956" s="364">
        <v>0</v>
      </c>
      <c r="Q956" s="1475">
        <f>L956*$H958</f>
        <v>0</v>
      </c>
      <c r="R956" s="1475">
        <f>M956*$H958</f>
        <v>0</v>
      </c>
      <c r="S956" s="1475">
        <f>N956*$H958</f>
        <v>0</v>
      </c>
      <c r="T956" s="1475">
        <f>O956*$H958</f>
        <v>0</v>
      </c>
      <c r="U956" s="1475">
        <f>P956*$H958</f>
        <v>0</v>
      </c>
      <c r="V956" s="1475">
        <f t="shared" si="507"/>
        <v>0</v>
      </c>
    </row>
    <row r="957" spans="1:22" s="99" customFormat="1" ht="24" customHeight="1">
      <c r="A957" s="1860">
        <v>2</v>
      </c>
      <c r="B957" s="1860"/>
      <c r="C957" s="1860"/>
      <c r="D957" s="1860"/>
      <c r="E957" s="1839"/>
      <c r="F957" s="1841"/>
      <c r="G957" s="1665"/>
      <c r="H957" s="1601"/>
      <c r="I957" s="1656"/>
      <c r="J957" s="40" t="s">
        <v>81</v>
      </c>
      <c r="K957" s="91"/>
      <c r="L957" s="364">
        <v>0</v>
      </c>
      <c r="M957" s="364">
        <v>0</v>
      </c>
      <c r="N957" s="364">
        <v>0</v>
      </c>
      <c r="O957" s="364">
        <v>0</v>
      </c>
      <c r="P957" s="364">
        <v>0</v>
      </c>
      <c r="Q957" s="1475">
        <f>L957*$H958</f>
        <v>0</v>
      </c>
      <c r="R957" s="1475">
        <f>M957*$H958</f>
        <v>0</v>
      </c>
      <c r="S957" s="1475">
        <f>N957*$H958</f>
        <v>0</v>
      </c>
      <c r="T957" s="1475">
        <f>O957*$H958</f>
        <v>0</v>
      </c>
      <c r="U957" s="1475">
        <f>P957*$H958</f>
        <v>0</v>
      </c>
      <c r="V957" s="1475">
        <f t="shared" si="507"/>
        <v>0</v>
      </c>
    </row>
    <row r="958" spans="1:22" s="99" customFormat="1" ht="24" customHeight="1">
      <c r="A958" s="1860">
        <v>2</v>
      </c>
      <c r="B958" s="1860"/>
      <c r="C958" s="1860"/>
      <c r="D958" s="1860"/>
      <c r="E958" s="1839"/>
      <c r="F958" s="1841"/>
      <c r="G958" s="1665"/>
      <c r="H958" s="1667">
        <f>'Budget assumption'!C459</f>
        <v>1249200</v>
      </c>
      <c r="I958" s="1656"/>
      <c r="J958" s="40" t="s">
        <v>134</v>
      </c>
      <c r="K958" s="91"/>
      <c r="L958" s="364">
        <f>L878*30%</f>
        <v>0</v>
      </c>
      <c r="M958" s="364">
        <f>M878*30%</f>
        <v>0</v>
      </c>
      <c r="N958" s="364">
        <f>N878*30%</f>
        <v>0</v>
      </c>
      <c r="O958" s="364">
        <f>O878*30%</f>
        <v>0</v>
      </c>
      <c r="P958" s="364">
        <f>P878*30%</f>
        <v>0</v>
      </c>
      <c r="Q958" s="1475">
        <f>L958*$H958</f>
        <v>0</v>
      </c>
      <c r="R958" s="1475">
        <f>M958*$H958</f>
        <v>0</v>
      </c>
      <c r="S958" s="1475">
        <f>N958*$H958</f>
        <v>0</v>
      </c>
      <c r="T958" s="1475">
        <f>O958*$H958</f>
        <v>0</v>
      </c>
      <c r="U958" s="1475">
        <f>P958*$H958</f>
        <v>0</v>
      </c>
      <c r="V958" s="1475">
        <f t="shared" si="507"/>
        <v>0</v>
      </c>
    </row>
    <row r="959" spans="1:22" s="99" customFormat="1" ht="24" customHeight="1">
      <c r="A959" s="1860">
        <v>2</v>
      </c>
      <c r="B959" s="1860"/>
      <c r="C959" s="1860"/>
      <c r="D959" s="1860"/>
      <c r="E959" s="1839"/>
      <c r="F959" s="1841"/>
      <c r="G959" s="1665"/>
      <c r="H959" s="1668">
        <f>810*0.05</f>
        <v>40.5</v>
      </c>
      <c r="I959" s="1656"/>
      <c r="J959" s="40" t="s">
        <v>82</v>
      </c>
      <c r="K959" s="91"/>
      <c r="L959" s="364">
        <v>0</v>
      </c>
      <c r="M959" s="364">
        <v>1</v>
      </c>
      <c r="N959" s="364">
        <v>1</v>
      </c>
      <c r="O959" s="364">
        <v>0</v>
      </c>
      <c r="P959" s="364">
        <v>0</v>
      </c>
      <c r="Q959" s="1475">
        <f>L959*$H958</f>
        <v>0</v>
      </c>
      <c r="R959" s="1475">
        <f>M959*H958</f>
        <v>1249200</v>
      </c>
      <c r="S959" s="1475">
        <f>N959*H958</f>
        <v>1249200</v>
      </c>
      <c r="T959" s="1475">
        <f>O959*$H958</f>
        <v>0</v>
      </c>
      <c r="U959" s="1475">
        <f>P959*$H958</f>
        <v>0</v>
      </c>
      <c r="V959" s="1475">
        <f t="shared" si="507"/>
        <v>2498400</v>
      </c>
    </row>
    <row r="960" spans="1:22" s="99" customFormat="1" ht="24" customHeight="1">
      <c r="A960" s="1860">
        <v>2</v>
      </c>
      <c r="B960" s="1860"/>
      <c r="C960" s="1860"/>
      <c r="D960" s="1860"/>
      <c r="E960" s="1839"/>
      <c r="F960" s="1841"/>
      <c r="G960" s="1665"/>
      <c r="H960" s="1668"/>
      <c r="I960" s="1656"/>
      <c r="J960" s="40" t="s">
        <v>90</v>
      </c>
      <c r="K960" s="91"/>
      <c r="L960" s="364">
        <v>0</v>
      </c>
      <c r="M960" s="364">
        <v>0</v>
      </c>
      <c r="N960" s="364">
        <v>0</v>
      </c>
      <c r="O960" s="364">
        <v>0</v>
      </c>
      <c r="P960" s="364">
        <v>0</v>
      </c>
      <c r="Q960" s="1475">
        <f>L960*$H958</f>
        <v>0</v>
      </c>
      <c r="R960" s="1475">
        <f>M960*$H958</f>
        <v>0</v>
      </c>
      <c r="S960" s="1475">
        <f>N960*$H958</f>
        <v>0</v>
      </c>
      <c r="T960" s="1475">
        <f>O960*$H958</f>
        <v>0</v>
      </c>
      <c r="U960" s="1475">
        <f>P960*$H958</f>
        <v>0</v>
      </c>
      <c r="V960" s="1475">
        <f t="shared" ref="V960:V962" si="509">SUM(Q960:U960)</f>
        <v>0</v>
      </c>
    </row>
    <row r="961" spans="1:22" s="99" customFormat="1" ht="24" customHeight="1">
      <c r="A961" s="1860">
        <v>2</v>
      </c>
      <c r="B961" s="1860"/>
      <c r="C961" s="1860"/>
      <c r="D961" s="1860"/>
      <c r="E961" s="1839"/>
      <c r="F961" s="1841"/>
      <c r="G961" s="1665"/>
      <c r="H961" s="1668"/>
      <c r="I961" s="1656"/>
      <c r="J961" s="40" t="s">
        <v>83</v>
      </c>
      <c r="K961" s="91"/>
      <c r="L961" s="364">
        <v>0</v>
      </c>
      <c r="M961" s="364">
        <v>0</v>
      </c>
      <c r="N961" s="364">
        <v>0</v>
      </c>
      <c r="O961" s="364">
        <v>0</v>
      </c>
      <c r="P961" s="364">
        <v>0</v>
      </c>
      <c r="Q961" s="1475">
        <f>L961*$H958</f>
        <v>0</v>
      </c>
      <c r="R961" s="1475">
        <f>M961*$H958</f>
        <v>0</v>
      </c>
      <c r="S961" s="1475">
        <f>N961*$H958</f>
        <v>0</v>
      </c>
      <c r="T961" s="1475">
        <f>O961*$H958</f>
        <v>0</v>
      </c>
      <c r="U961" s="1475">
        <f>P961*$H958</f>
        <v>0</v>
      </c>
      <c r="V961" s="1475">
        <f t="shared" si="509"/>
        <v>0</v>
      </c>
    </row>
    <row r="962" spans="1:22" s="99" customFormat="1" ht="24" customHeight="1" thickBot="1">
      <c r="A962" s="1860">
        <v>2</v>
      </c>
      <c r="B962" s="1860"/>
      <c r="C962" s="1860"/>
      <c r="D962" s="1860"/>
      <c r="E962" s="1839"/>
      <c r="F962" s="1841"/>
      <c r="G962" s="1686"/>
      <c r="H962" s="1669"/>
      <c r="I962" s="1657"/>
      <c r="J962" s="40" t="s">
        <v>84</v>
      </c>
      <c r="K962" s="91"/>
      <c r="L962" s="364">
        <f>L953-L954</f>
        <v>0</v>
      </c>
      <c r="M962" s="364">
        <f t="shared" ref="M962:U962" si="510">M953-M954</f>
        <v>0</v>
      </c>
      <c r="N962" s="364">
        <f t="shared" si="510"/>
        <v>0</v>
      </c>
      <c r="O962" s="364">
        <f t="shared" si="510"/>
        <v>1</v>
      </c>
      <c r="P962" s="364">
        <f t="shared" si="510"/>
        <v>1</v>
      </c>
      <c r="Q962" s="1475">
        <f t="shared" si="510"/>
        <v>0</v>
      </c>
      <c r="R962" s="1475">
        <f t="shared" si="510"/>
        <v>0</v>
      </c>
      <c r="S962" s="1475">
        <f t="shared" si="510"/>
        <v>0</v>
      </c>
      <c r="T962" s="1475">
        <f t="shared" si="510"/>
        <v>1249200</v>
      </c>
      <c r="U962" s="1475">
        <f t="shared" si="510"/>
        <v>1249200</v>
      </c>
      <c r="V962" s="1475">
        <f t="shared" si="509"/>
        <v>2498400</v>
      </c>
    </row>
    <row r="963" spans="1:22" s="264" customFormat="1" ht="24" customHeight="1">
      <c r="A963" s="1860">
        <v>2</v>
      </c>
      <c r="B963" s="1860">
        <v>3</v>
      </c>
      <c r="C963" s="1860">
        <v>2</v>
      </c>
      <c r="D963" s="1860">
        <v>4</v>
      </c>
      <c r="E963" s="1839" t="s">
        <v>49</v>
      </c>
      <c r="F963" s="1841" t="str">
        <f>CONCATENATE(A963,".",B963,".",C963,".",D963,)</f>
        <v>2.3.2.4</v>
      </c>
      <c r="G963" s="1664" t="s">
        <v>758</v>
      </c>
      <c r="H963" s="1601" t="s">
        <v>759</v>
      </c>
      <c r="I963" s="1655" t="s">
        <v>760</v>
      </c>
      <c r="J963" s="36" t="s">
        <v>79</v>
      </c>
      <c r="K963" s="896"/>
      <c r="L963" s="383">
        <v>1</v>
      </c>
      <c r="M963" s="383">
        <v>1.06</v>
      </c>
      <c r="N963" s="383">
        <v>1.1200000000000001</v>
      </c>
      <c r="O963" s="383">
        <v>1.18</v>
      </c>
      <c r="P963" s="383">
        <v>1.24</v>
      </c>
      <c r="Q963" s="1475">
        <f>L963*H968</f>
        <v>4070300</v>
      </c>
      <c r="R963" s="1475">
        <f>M963*H968</f>
        <v>4314518</v>
      </c>
      <c r="S963" s="1475">
        <f>N963*H968</f>
        <v>4558736</v>
      </c>
      <c r="T963" s="1475">
        <f>O963*H968</f>
        <v>4802954</v>
      </c>
      <c r="U963" s="1475">
        <f>P963*H968</f>
        <v>5047172</v>
      </c>
      <c r="V963" s="1475">
        <f t="shared" ref="V963:V972" si="511">SUM(Q963:U963)</f>
        <v>22793680</v>
      </c>
    </row>
    <row r="964" spans="1:22" s="99" customFormat="1" ht="24" customHeight="1">
      <c r="A964" s="1860">
        <v>2</v>
      </c>
      <c r="B964" s="1860"/>
      <c r="C964" s="1860"/>
      <c r="D964" s="1860"/>
      <c r="E964" s="1839"/>
      <c r="F964" s="1841"/>
      <c r="G964" s="1665"/>
      <c r="H964" s="1601"/>
      <c r="I964" s="1656"/>
      <c r="J964" s="40" t="s">
        <v>80</v>
      </c>
      <c r="K964" s="91"/>
      <c r="L964" s="364">
        <f t="shared" ref="L964:U964" si="512">SUM(L965:L971)</f>
        <v>1</v>
      </c>
      <c r="M964" s="364">
        <f t="shared" si="512"/>
        <v>1.06</v>
      </c>
      <c r="N964" s="364">
        <f t="shared" si="512"/>
        <v>1.1200000000000001</v>
      </c>
      <c r="O964" s="364">
        <f t="shared" si="512"/>
        <v>1.18</v>
      </c>
      <c r="P964" s="364">
        <f t="shared" si="512"/>
        <v>1.24</v>
      </c>
      <c r="Q964" s="1475">
        <f t="shared" si="512"/>
        <v>4070300</v>
      </c>
      <c r="R964" s="1475">
        <f t="shared" si="512"/>
        <v>4314518</v>
      </c>
      <c r="S964" s="1475">
        <f t="shared" si="512"/>
        <v>4558736</v>
      </c>
      <c r="T964" s="1475">
        <f t="shared" si="512"/>
        <v>4802954</v>
      </c>
      <c r="U964" s="1475">
        <f t="shared" si="512"/>
        <v>5047172</v>
      </c>
      <c r="V964" s="1475">
        <f t="shared" si="511"/>
        <v>22793680</v>
      </c>
    </row>
    <row r="965" spans="1:22" s="99" customFormat="1" ht="24" customHeight="1">
      <c r="A965" s="1860">
        <v>2</v>
      </c>
      <c r="B965" s="1860"/>
      <c r="C965" s="1860"/>
      <c r="D965" s="1860"/>
      <c r="E965" s="1839"/>
      <c r="F965" s="1841"/>
      <c r="G965" s="1665"/>
      <c r="H965" s="1601"/>
      <c r="I965" s="1656"/>
      <c r="J965" s="40" t="s">
        <v>429</v>
      </c>
      <c r="K965" s="91"/>
      <c r="L965" s="364">
        <v>1</v>
      </c>
      <c r="M965" s="364">
        <v>1.06</v>
      </c>
      <c r="N965" s="364">
        <v>1.1200000000000001</v>
      </c>
      <c r="O965" s="364">
        <v>1.18</v>
      </c>
      <c r="P965" s="364">
        <v>1.24</v>
      </c>
      <c r="Q965" s="1475">
        <f>L965*$H968</f>
        <v>4070300</v>
      </c>
      <c r="R965" s="1475">
        <f>M965*$H968</f>
        <v>4314518</v>
      </c>
      <c r="S965" s="1475">
        <f>N965*$H968</f>
        <v>4558736</v>
      </c>
      <c r="T965" s="1475">
        <f>O965*$H968</f>
        <v>4802954</v>
      </c>
      <c r="U965" s="1475">
        <f>P965*$H968</f>
        <v>5047172</v>
      </c>
      <c r="V965" s="1475">
        <f t="shared" si="511"/>
        <v>22793680</v>
      </c>
    </row>
    <row r="966" spans="1:22" s="99" customFormat="1" ht="24" customHeight="1">
      <c r="A966" s="1860">
        <v>2</v>
      </c>
      <c r="B966" s="1860"/>
      <c r="C966" s="1860"/>
      <c r="D966" s="1860"/>
      <c r="E966" s="1839"/>
      <c r="F966" s="1841"/>
      <c r="G966" s="1665"/>
      <c r="H966" s="1601"/>
      <c r="I966" s="1656"/>
      <c r="J966" s="40" t="s">
        <v>133</v>
      </c>
      <c r="K966" s="91"/>
      <c r="L966" s="364">
        <v>0</v>
      </c>
      <c r="M966" s="364">
        <v>0</v>
      </c>
      <c r="N966" s="364">
        <v>0</v>
      </c>
      <c r="O966" s="364">
        <v>0</v>
      </c>
      <c r="P966" s="364">
        <v>0</v>
      </c>
      <c r="Q966" s="1475">
        <f>L966*$H968</f>
        <v>0</v>
      </c>
      <c r="R966" s="1475">
        <f>M966*$H968</f>
        <v>0</v>
      </c>
      <c r="S966" s="1475">
        <f>N966*$H968</f>
        <v>0</v>
      </c>
      <c r="T966" s="1475">
        <f>O966*$H968</f>
        <v>0</v>
      </c>
      <c r="U966" s="1475">
        <f>P966*$H968</f>
        <v>0</v>
      </c>
      <c r="V966" s="1475">
        <f t="shared" si="511"/>
        <v>0</v>
      </c>
    </row>
    <row r="967" spans="1:22" s="99" customFormat="1" ht="24" customHeight="1">
      <c r="A967" s="1860">
        <v>2</v>
      </c>
      <c r="B967" s="1860"/>
      <c r="C967" s="1860"/>
      <c r="D967" s="1860"/>
      <c r="E967" s="1839"/>
      <c r="F967" s="1841"/>
      <c r="G967" s="1665"/>
      <c r="H967" s="1601"/>
      <c r="I967" s="1656"/>
      <c r="J967" s="40" t="s">
        <v>81</v>
      </c>
      <c r="K967" s="91"/>
      <c r="L967" s="364">
        <v>0</v>
      </c>
      <c r="M967" s="364">
        <v>0</v>
      </c>
      <c r="N967" s="364">
        <v>0</v>
      </c>
      <c r="O967" s="364">
        <v>0</v>
      </c>
      <c r="P967" s="364">
        <v>0</v>
      </c>
      <c r="Q967" s="1475">
        <f>L967*$H968</f>
        <v>0</v>
      </c>
      <c r="R967" s="1475">
        <f>M967*$H968</f>
        <v>0</v>
      </c>
      <c r="S967" s="1475">
        <f>N967*$H968</f>
        <v>0</v>
      </c>
      <c r="T967" s="1475">
        <f>O967*$H968</f>
        <v>0</v>
      </c>
      <c r="U967" s="1475">
        <f>P967*$H968</f>
        <v>0</v>
      </c>
      <c r="V967" s="1475">
        <f t="shared" si="511"/>
        <v>0</v>
      </c>
    </row>
    <row r="968" spans="1:22" s="99" customFormat="1" ht="24" customHeight="1">
      <c r="A968" s="1860">
        <v>2</v>
      </c>
      <c r="B968" s="1860"/>
      <c r="C968" s="1860"/>
      <c r="D968" s="1860"/>
      <c r="E968" s="1839"/>
      <c r="F968" s="1841"/>
      <c r="G968" s="1665"/>
      <c r="H968" s="1667">
        <v>4070300</v>
      </c>
      <c r="I968" s="1656"/>
      <c r="J968" s="40" t="s">
        <v>134</v>
      </c>
      <c r="K968" s="91"/>
      <c r="L968" s="364">
        <f>L888*30%</f>
        <v>0</v>
      </c>
      <c r="M968" s="364">
        <f>M888*30%</f>
        <v>0</v>
      </c>
      <c r="N968" s="364">
        <f>N888*30%</f>
        <v>0</v>
      </c>
      <c r="O968" s="364">
        <f>O888*30%</f>
        <v>0</v>
      </c>
      <c r="P968" s="364">
        <f>P888*30%</f>
        <v>0</v>
      </c>
      <c r="Q968" s="1475">
        <f>L968*$H968</f>
        <v>0</v>
      </c>
      <c r="R968" s="1475">
        <f>M968*$H968</f>
        <v>0</v>
      </c>
      <c r="S968" s="1475">
        <f>N968*$H968</f>
        <v>0</v>
      </c>
      <c r="T968" s="1475">
        <f>O968*$H968</f>
        <v>0</v>
      </c>
      <c r="U968" s="1475">
        <f>P968*$H968</f>
        <v>0</v>
      </c>
      <c r="V968" s="1475">
        <f t="shared" si="511"/>
        <v>0</v>
      </c>
    </row>
    <row r="969" spans="1:22" s="99" customFormat="1" ht="24" customHeight="1">
      <c r="A969" s="1860">
        <v>2</v>
      </c>
      <c r="B969" s="1860"/>
      <c r="C969" s="1860"/>
      <c r="D969" s="1860"/>
      <c r="E969" s="1839"/>
      <c r="F969" s="1841"/>
      <c r="G969" s="1665"/>
      <c r="H969" s="1668">
        <f>810*0.05</f>
        <v>40.5</v>
      </c>
      <c r="I969" s="1656"/>
      <c r="J969" s="40" t="s">
        <v>82</v>
      </c>
      <c r="K969" s="91"/>
      <c r="L969" s="364">
        <v>0</v>
      </c>
      <c r="M969" s="364">
        <v>0</v>
      </c>
      <c r="N969" s="364">
        <v>0</v>
      </c>
      <c r="O969" s="364">
        <v>0</v>
      </c>
      <c r="P969" s="364">
        <v>0</v>
      </c>
      <c r="Q969" s="1475">
        <f>L969*$H968</f>
        <v>0</v>
      </c>
      <c r="R969" s="1475">
        <v>0</v>
      </c>
      <c r="S969" s="1475">
        <v>0</v>
      </c>
      <c r="T969" s="1475">
        <f>O969*$H968</f>
        <v>0</v>
      </c>
      <c r="U969" s="1475">
        <f>P969*$H968</f>
        <v>0</v>
      </c>
      <c r="V969" s="1475">
        <f t="shared" si="511"/>
        <v>0</v>
      </c>
    </row>
    <row r="970" spans="1:22" s="99" customFormat="1" ht="24" customHeight="1">
      <c r="A970" s="1860">
        <v>2</v>
      </c>
      <c r="B970" s="1860"/>
      <c r="C970" s="1860"/>
      <c r="D970" s="1860"/>
      <c r="E970" s="1839"/>
      <c r="F970" s="1841"/>
      <c r="G970" s="1665"/>
      <c r="H970" s="1668"/>
      <c r="I970" s="1656"/>
      <c r="J970" s="40" t="s">
        <v>90</v>
      </c>
      <c r="K970" s="91"/>
      <c r="L970" s="364">
        <v>0</v>
      </c>
      <c r="M970" s="364">
        <v>0</v>
      </c>
      <c r="N970" s="364">
        <v>0</v>
      </c>
      <c r="O970" s="364">
        <v>0</v>
      </c>
      <c r="P970" s="364">
        <v>0</v>
      </c>
      <c r="Q970" s="1475">
        <f>L970*$H968</f>
        <v>0</v>
      </c>
      <c r="R970" s="1475">
        <f>M970*$H968</f>
        <v>0</v>
      </c>
      <c r="S970" s="1475">
        <f>N970*$H968</f>
        <v>0</v>
      </c>
      <c r="T970" s="1475">
        <f>O970*$H968</f>
        <v>0</v>
      </c>
      <c r="U970" s="1475">
        <f>P970*$H968</f>
        <v>0</v>
      </c>
      <c r="V970" s="1475">
        <f t="shared" si="511"/>
        <v>0</v>
      </c>
    </row>
    <row r="971" spans="1:22" s="99" customFormat="1" ht="24" customHeight="1">
      <c r="A971" s="1860">
        <v>2</v>
      </c>
      <c r="B971" s="1860"/>
      <c r="C971" s="1860"/>
      <c r="D971" s="1860"/>
      <c r="E971" s="1839"/>
      <c r="F971" s="1841"/>
      <c r="G971" s="1665"/>
      <c r="H971" s="1668"/>
      <c r="I971" s="1656"/>
      <c r="J971" s="40" t="s">
        <v>83</v>
      </c>
      <c r="K971" s="91"/>
      <c r="L971" s="364">
        <v>0</v>
      </c>
      <c r="M971" s="364">
        <v>0</v>
      </c>
      <c r="N971" s="364">
        <v>0</v>
      </c>
      <c r="O971" s="364">
        <v>0</v>
      </c>
      <c r="P971" s="364">
        <v>0</v>
      </c>
      <c r="Q971" s="1475">
        <f>L971*$H968</f>
        <v>0</v>
      </c>
      <c r="R971" s="1475">
        <f>M971*$H968</f>
        <v>0</v>
      </c>
      <c r="S971" s="1475">
        <f>N971*$H968</f>
        <v>0</v>
      </c>
      <c r="T971" s="1475">
        <f>O971*$H968</f>
        <v>0</v>
      </c>
      <c r="U971" s="1475">
        <f>P971*$H968</f>
        <v>0</v>
      </c>
      <c r="V971" s="1475">
        <f t="shared" si="511"/>
        <v>0</v>
      </c>
    </row>
    <row r="972" spans="1:22" s="99" customFormat="1" ht="24" customHeight="1" thickBot="1">
      <c r="A972" s="1860">
        <v>2</v>
      </c>
      <c r="B972" s="1860"/>
      <c r="C972" s="1860"/>
      <c r="D972" s="1860"/>
      <c r="E972" s="1839"/>
      <c r="F972" s="1841"/>
      <c r="G972" s="1686"/>
      <c r="H972" s="1669"/>
      <c r="I972" s="1657"/>
      <c r="J972" s="40" t="s">
        <v>84</v>
      </c>
      <c r="K972" s="91"/>
      <c r="L972" s="364">
        <f>L963-L964</f>
        <v>0</v>
      </c>
      <c r="M972" s="364">
        <f t="shared" ref="M972:U972" si="513">M963-M964</f>
        <v>0</v>
      </c>
      <c r="N972" s="364">
        <f t="shared" si="513"/>
        <v>0</v>
      </c>
      <c r="O972" s="364">
        <f t="shared" si="513"/>
        <v>0</v>
      </c>
      <c r="P972" s="364">
        <f t="shared" si="513"/>
        <v>0</v>
      </c>
      <c r="Q972" s="1475">
        <f t="shared" si="513"/>
        <v>0</v>
      </c>
      <c r="R972" s="1475">
        <f t="shared" si="513"/>
        <v>0</v>
      </c>
      <c r="S972" s="1475">
        <f t="shared" si="513"/>
        <v>0</v>
      </c>
      <c r="T972" s="1475">
        <f t="shared" si="513"/>
        <v>0</v>
      </c>
      <c r="U972" s="1475">
        <f t="shared" si="513"/>
        <v>0</v>
      </c>
      <c r="V972" s="1475">
        <f t="shared" si="511"/>
        <v>0</v>
      </c>
    </row>
    <row r="973" spans="1:22" s="264" customFormat="1" ht="24" customHeight="1">
      <c r="A973" s="1860">
        <v>2</v>
      </c>
      <c r="B973" s="1860">
        <v>3</v>
      </c>
      <c r="C973" s="1860">
        <v>2</v>
      </c>
      <c r="D973" s="1860">
        <v>5</v>
      </c>
      <c r="E973" s="1839" t="s">
        <v>49</v>
      </c>
      <c r="F973" s="1841" t="str">
        <f>CONCATENATE(A973,".",B973,".",C973,".",D973,)</f>
        <v>2.3.2.5</v>
      </c>
      <c r="G973" s="1664" t="s">
        <v>764</v>
      </c>
      <c r="H973" s="1601" t="s">
        <v>761</v>
      </c>
      <c r="I973" s="1655" t="s">
        <v>762</v>
      </c>
      <c r="J973" s="36" t="s">
        <v>79</v>
      </c>
      <c r="K973" s="896"/>
      <c r="L973" s="383">
        <f>L820*0.5</f>
        <v>4170</v>
      </c>
      <c r="M973" s="383">
        <f>M820*0.5</f>
        <v>4582.5</v>
      </c>
      <c r="N973" s="383">
        <f>N820*0.5</f>
        <v>4995</v>
      </c>
      <c r="O973" s="383">
        <f>O820*0.5</f>
        <v>5407.5</v>
      </c>
      <c r="P973" s="383">
        <f>P820*0.5</f>
        <v>5826.5</v>
      </c>
      <c r="Q973" s="1475">
        <f>L973*H978</f>
        <v>834000</v>
      </c>
      <c r="R973" s="1475">
        <f>M973*H978</f>
        <v>916500</v>
      </c>
      <c r="S973" s="1475">
        <f>N973*H978</f>
        <v>999000</v>
      </c>
      <c r="T973" s="1475">
        <f>O973*H978</f>
        <v>1081500</v>
      </c>
      <c r="U973" s="1475">
        <f>P973*H978</f>
        <v>1165300</v>
      </c>
      <c r="V973" s="1475">
        <f t="shared" ref="V973:V979" si="514">SUM(Q973:U973)</f>
        <v>4996300</v>
      </c>
    </row>
    <row r="974" spans="1:22" s="99" customFormat="1" ht="24" customHeight="1">
      <c r="A974" s="1860">
        <v>2</v>
      </c>
      <c r="B974" s="1860"/>
      <c r="C974" s="1860"/>
      <c r="D974" s="1860"/>
      <c r="E974" s="1839"/>
      <c r="F974" s="1841"/>
      <c r="G974" s="1665"/>
      <c r="H974" s="1601"/>
      <c r="I974" s="1656"/>
      <c r="J974" s="40" t="s">
        <v>80</v>
      </c>
      <c r="K974" s="91"/>
      <c r="L974" s="364">
        <f t="shared" ref="L974:U974" si="515">SUM(L975:L981)</f>
        <v>4170</v>
      </c>
      <c r="M974" s="364">
        <f t="shared" si="515"/>
        <v>4582.5</v>
      </c>
      <c r="N974" s="364">
        <f t="shared" si="515"/>
        <v>4995</v>
      </c>
      <c r="O974" s="364">
        <f t="shared" si="515"/>
        <v>0</v>
      </c>
      <c r="P974" s="364">
        <f t="shared" si="515"/>
        <v>0</v>
      </c>
      <c r="Q974" s="1475">
        <f t="shared" si="515"/>
        <v>834000</v>
      </c>
      <c r="R974" s="1475">
        <f t="shared" si="515"/>
        <v>916500</v>
      </c>
      <c r="S974" s="1475">
        <f t="shared" si="515"/>
        <v>999000</v>
      </c>
      <c r="T974" s="1475">
        <f t="shared" si="515"/>
        <v>0</v>
      </c>
      <c r="U974" s="1475">
        <f t="shared" si="515"/>
        <v>0</v>
      </c>
      <c r="V974" s="1475">
        <f t="shared" si="514"/>
        <v>2749500</v>
      </c>
    </row>
    <row r="975" spans="1:22" s="99" customFormat="1" ht="24" customHeight="1">
      <c r="A975" s="1860">
        <v>2</v>
      </c>
      <c r="B975" s="1860"/>
      <c r="C975" s="1860"/>
      <c r="D975" s="1860"/>
      <c r="E975" s="1839"/>
      <c r="F975" s="1841"/>
      <c r="G975" s="1665"/>
      <c r="H975" s="1601"/>
      <c r="I975" s="1656"/>
      <c r="J975" s="40" t="s">
        <v>429</v>
      </c>
      <c r="K975" s="91"/>
      <c r="L975" s="364">
        <v>0</v>
      </c>
      <c r="M975" s="364">
        <v>0</v>
      </c>
      <c r="N975" s="364">
        <v>0</v>
      </c>
      <c r="O975" s="364">
        <v>0</v>
      </c>
      <c r="P975" s="364">
        <v>0</v>
      </c>
      <c r="Q975" s="1475">
        <f>L975*$H978</f>
        <v>0</v>
      </c>
      <c r="R975" s="1475">
        <f>M975*$H978</f>
        <v>0</v>
      </c>
      <c r="S975" s="1475">
        <f>N975*$H978</f>
        <v>0</v>
      </c>
      <c r="T975" s="1475">
        <f>O975*$H978</f>
        <v>0</v>
      </c>
      <c r="U975" s="1475">
        <f>P975*$H978</f>
        <v>0</v>
      </c>
      <c r="V975" s="1475">
        <f t="shared" si="514"/>
        <v>0</v>
      </c>
    </row>
    <row r="976" spans="1:22" s="99" customFormat="1" ht="24" customHeight="1">
      <c r="A976" s="1860">
        <v>2</v>
      </c>
      <c r="B976" s="1860"/>
      <c r="C976" s="1860"/>
      <c r="D976" s="1860"/>
      <c r="E976" s="1839"/>
      <c r="F976" s="1841"/>
      <c r="G976" s="1665"/>
      <c r="H976" s="1601"/>
      <c r="I976" s="1656"/>
      <c r="J976" s="40" t="s">
        <v>133</v>
      </c>
      <c r="K976" s="91"/>
      <c r="L976" s="364">
        <v>0</v>
      </c>
      <c r="M976" s="364">
        <v>0</v>
      </c>
      <c r="N976" s="364">
        <v>0</v>
      </c>
      <c r="O976" s="364">
        <v>0</v>
      </c>
      <c r="P976" s="364">
        <v>0</v>
      </c>
      <c r="Q976" s="1475">
        <f>L976*$H978</f>
        <v>0</v>
      </c>
      <c r="R976" s="1475">
        <f>M976*$H978</f>
        <v>0</v>
      </c>
      <c r="S976" s="1475">
        <f>N976*$H978</f>
        <v>0</v>
      </c>
      <c r="T976" s="1475">
        <f>O976*$H978</f>
        <v>0</v>
      </c>
      <c r="U976" s="1475">
        <f>P976*$H978</f>
        <v>0</v>
      </c>
      <c r="V976" s="1475">
        <f t="shared" si="514"/>
        <v>0</v>
      </c>
    </row>
    <row r="977" spans="1:22" s="99" customFormat="1" ht="24" customHeight="1">
      <c r="A977" s="1860">
        <v>2</v>
      </c>
      <c r="B977" s="1860"/>
      <c r="C977" s="1860"/>
      <c r="D977" s="1860"/>
      <c r="E977" s="1839"/>
      <c r="F977" s="1841"/>
      <c r="G977" s="1665"/>
      <c r="H977" s="1601"/>
      <c r="I977" s="1656"/>
      <c r="J977" s="40" t="s">
        <v>81</v>
      </c>
      <c r="K977" s="91"/>
      <c r="L977" s="364">
        <v>0</v>
      </c>
      <c r="M977" s="364">
        <v>0</v>
      </c>
      <c r="N977" s="364">
        <v>0</v>
      </c>
      <c r="O977" s="364">
        <v>0</v>
      </c>
      <c r="P977" s="364">
        <v>0</v>
      </c>
      <c r="Q977" s="1475">
        <f>L977*$H978</f>
        <v>0</v>
      </c>
      <c r="R977" s="1475">
        <f>M977*$H978</f>
        <v>0</v>
      </c>
      <c r="S977" s="1475">
        <f>N977*$H978</f>
        <v>0</v>
      </c>
      <c r="T977" s="1475">
        <f>O977*$H978</f>
        <v>0</v>
      </c>
      <c r="U977" s="1475">
        <f>P977*$H978</f>
        <v>0</v>
      </c>
      <c r="V977" s="1475">
        <f t="shared" si="514"/>
        <v>0</v>
      </c>
    </row>
    <row r="978" spans="1:22" s="99" customFormat="1" ht="24" customHeight="1">
      <c r="A978" s="1860">
        <v>2</v>
      </c>
      <c r="B978" s="1860"/>
      <c r="C978" s="1860"/>
      <c r="D978" s="1860"/>
      <c r="E978" s="1839"/>
      <c r="F978" s="1841"/>
      <c r="G978" s="1665"/>
      <c r="H978" s="1667">
        <v>200</v>
      </c>
      <c r="I978" s="1656"/>
      <c r="J978" s="40" t="s">
        <v>134</v>
      </c>
      <c r="K978" s="91"/>
      <c r="L978" s="364">
        <v>0</v>
      </c>
      <c r="M978" s="364">
        <v>0</v>
      </c>
      <c r="N978" s="364">
        <v>0</v>
      </c>
      <c r="O978" s="364">
        <f>O958*30%</f>
        <v>0</v>
      </c>
      <c r="P978" s="364">
        <f>P958*30%</f>
        <v>0</v>
      </c>
      <c r="Q978" s="1475">
        <f>L978*$H978</f>
        <v>0</v>
      </c>
      <c r="R978" s="1475">
        <f>M978*$H978</f>
        <v>0</v>
      </c>
      <c r="S978" s="1475">
        <f>N978*$H978</f>
        <v>0</v>
      </c>
      <c r="T978" s="1475">
        <f>O978*$H978</f>
        <v>0</v>
      </c>
      <c r="U978" s="1475">
        <f>P978*$H978</f>
        <v>0</v>
      </c>
      <c r="V978" s="1475">
        <f t="shared" si="514"/>
        <v>0</v>
      </c>
    </row>
    <row r="979" spans="1:22" s="99" customFormat="1" ht="24" customHeight="1">
      <c r="A979" s="1860">
        <v>2</v>
      </c>
      <c r="B979" s="1860"/>
      <c r="C979" s="1860"/>
      <c r="D979" s="1860"/>
      <c r="E979" s="1839"/>
      <c r="F979" s="1841"/>
      <c r="G979" s="1665"/>
      <c r="H979" s="1668">
        <f>810*0.05</f>
        <v>40.5</v>
      </c>
      <c r="I979" s="1656"/>
      <c r="J979" s="40" t="s">
        <v>82</v>
      </c>
      <c r="K979" s="91"/>
      <c r="L979" s="364">
        <f>L973*0.7</f>
        <v>2919</v>
      </c>
      <c r="M979" s="364">
        <f t="shared" ref="M979:N979" si="516">M973*0.7</f>
        <v>3207.75</v>
      </c>
      <c r="N979" s="364">
        <f t="shared" si="516"/>
        <v>3496.5</v>
      </c>
      <c r="O979" s="364">
        <v>0</v>
      </c>
      <c r="P979" s="364">
        <v>0</v>
      </c>
      <c r="Q979" s="1475">
        <f>L979*$H978</f>
        <v>583800</v>
      </c>
      <c r="R979" s="1475">
        <f>M979*$H978</f>
        <v>641550</v>
      </c>
      <c r="S979" s="1475">
        <f>N979*$H978</f>
        <v>699300</v>
      </c>
      <c r="T979" s="1475">
        <f>O979*$H978</f>
        <v>0</v>
      </c>
      <c r="U979" s="1475">
        <f>P979*$H978</f>
        <v>0</v>
      </c>
      <c r="V979" s="1475">
        <f t="shared" si="514"/>
        <v>1924650</v>
      </c>
    </row>
    <row r="980" spans="1:22" s="99" customFormat="1" ht="24" customHeight="1">
      <c r="A980" s="1860">
        <v>2</v>
      </c>
      <c r="B980" s="1860"/>
      <c r="C980" s="1860"/>
      <c r="D980" s="1860"/>
      <c r="E980" s="1839"/>
      <c r="F980" s="1841"/>
      <c r="G980" s="1665"/>
      <c r="H980" s="1668"/>
      <c r="I980" s="1656"/>
      <c r="J980" s="40" t="s">
        <v>90</v>
      </c>
      <c r="K980" s="91"/>
      <c r="L980" s="364">
        <f>L973*0.3</f>
        <v>1251</v>
      </c>
      <c r="M980" s="364">
        <f t="shared" ref="M980:N980" si="517">M973*0.3</f>
        <v>1374.75</v>
      </c>
      <c r="N980" s="364">
        <f t="shared" si="517"/>
        <v>1498.5</v>
      </c>
      <c r="O980" s="364">
        <v>0</v>
      </c>
      <c r="P980" s="364">
        <v>0</v>
      </c>
      <c r="Q980" s="1475">
        <f>L980*$H978</f>
        <v>250200</v>
      </c>
      <c r="R980" s="1475">
        <f>M980*$H978</f>
        <v>274950</v>
      </c>
      <c r="S980" s="1475">
        <f>N980*$H978</f>
        <v>299700</v>
      </c>
      <c r="T980" s="1475">
        <f>O980*$H978</f>
        <v>0</v>
      </c>
      <c r="U980" s="1475">
        <f>P980*$H978</f>
        <v>0</v>
      </c>
      <c r="V980" s="1475">
        <f t="shared" ref="V980:V982" si="518">SUM(Q980:U980)</f>
        <v>824850</v>
      </c>
    </row>
    <row r="981" spans="1:22" s="99" customFormat="1" ht="24" customHeight="1">
      <c r="A981" s="1860">
        <v>2</v>
      </c>
      <c r="B981" s="1860"/>
      <c r="C981" s="1860"/>
      <c r="D981" s="1860"/>
      <c r="E981" s="1839"/>
      <c r="F981" s="1841"/>
      <c r="G981" s="1665"/>
      <c r="H981" s="1668"/>
      <c r="I981" s="1656"/>
      <c r="J981" s="40" t="s">
        <v>83</v>
      </c>
      <c r="K981" s="91"/>
      <c r="L981" s="364">
        <v>0</v>
      </c>
      <c r="M981" s="364">
        <v>0</v>
      </c>
      <c r="N981" s="364">
        <v>0</v>
      </c>
      <c r="O981" s="364">
        <v>0</v>
      </c>
      <c r="P981" s="364">
        <v>0</v>
      </c>
      <c r="Q981" s="1475">
        <f>L981*$H978</f>
        <v>0</v>
      </c>
      <c r="R981" s="1475">
        <f>M981*$H978</f>
        <v>0</v>
      </c>
      <c r="S981" s="1475">
        <f>N981*$H978</f>
        <v>0</v>
      </c>
      <c r="T981" s="1475">
        <f>O981*$H978</f>
        <v>0</v>
      </c>
      <c r="U981" s="1475">
        <f>P981*$H978</f>
        <v>0</v>
      </c>
      <c r="V981" s="1475">
        <f t="shared" si="518"/>
        <v>0</v>
      </c>
    </row>
    <row r="982" spans="1:22" s="99" customFormat="1" ht="24" customHeight="1" thickBot="1">
      <c r="A982" s="1860">
        <v>2</v>
      </c>
      <c r="B982" s="1860"/>
      <c r="C982" s="1860"/>
      <c r="D982" s="1860"/>
      <c r="E982" s="1839"/>
      <c r="F982" s="1841"/>
      <c r="G982" s="1686"/>
      <c r="H982" s="1669"/>
      <c r="I982" s="1657"/>
      <c r="J982" s="40" t="s">
        <v>84</v>
      </c>
      <c r="K982" s="91"/>
      <c r="L982" s="364">
        <f>L973-L974</f>
        <v>0</v>
      </c>
      <c r="M982" s="364">
        <f t="shared" ref="M982:U982" si="519">M973-M974</f>
        <v>0</v>
      </c>
      <c r="N982" s="364">
        <f t="shared" si="519"/>
        <v>0</v>
      </c>
      <c r="O982" s="364">
        <f t="shared" si="519"/>
        <v>5407.5</v>
      </c>
      <c r="P982" s="364">
        <f t="shared" si="519"/>
        <v>5826.5</v>
      </c>
      <c r="Q982" s="1475">
        <f t="shared" si="519"/>
        <v>0</v>
      </c>
      <c r="R982" s="1475">
        <f t="shared" si="519"/>
        <v>0</v>
      </c>
      <c r="S982" s="1475">
        <f t="shared" si="519"/>
        <v>0</v>
      </c>
      <c r="T982" s="1475">
        <f t="shared" si="519"/>
        <v>1081500</v>
      </c>
      <c r="U982" s="1475">
        <f t="shared" si="519"/>
        <v>1165300</v>
      </c>
      <c r="V982" s="1475">
        <f t="shared" si="518"/>
        <v>2246800</v>
      </c>
    </row>
    <row r="983" spans="1:22" s="39" customFormat="1" ht="24" customHeight="1" thickBot="1">
      <c r="A983" s="75">
        <v>2</v>
      </c>
      <c r="B983" s="75">
        <v>3</v>
      </c>
      <c r="C983" s="75">
        <v>3</v>
      </c>
      <c r="D983" s="75"/>
      <c r="E983" s="74" t="s">
        <v>135</v>
      </c>
      <c r="F983" s="974" t="str">
        <f>CONCATENATE(A983,".",B983,".",C983,)</f>
        <v>2.3.3</v>
      </c>
      <c r="G983" s="1564" t="s">
        <v>323</v>
      </c>
      <c r="H983" s="1565"/>
      <c r="I983" s="1565"/>
      <c r="J983" s="1566"/>
      <c r="K983" s="907"/>
      <c r="L983" s="920"/>
      <c r="M983" s="920"/>
      <c r="N983" s="920"/>
      <c r="O983" s="920"/>
      <c r="P983" s="920"/>
      <c r="Q983" s="1522">
        <f>Q985+Q995+Q1005+Q1015+Q1025+Q1035</f>
        <v>7864362.666666666</v>
      </c>
      <c r="R983" s="1522">
        <f t="shared" ref="R983:V983" si="520">R985+R995+R1005+R1015+R1025+R1035</f>
        <v>8639367.666666666</v>
      </c>
      <c r="S983" s="1522">
        <f t="shared" si="520"/>
        <v>9414372.666666666</v>
      </c>
      <c r="T983" s="1522">
        <f t="shared" si="520"/>
        <v>10189377.666666668</v>
      </c>
      <c r="U983" s="1522">
        <f t="shared" si="520"/>
        <v>10976594.866666665</v>
      </c>
      <c r="V983" s="1522">
        <f t="shared" si="520"/>
        <v>47084075.533333331</v>
      </c>
    </row>
    <row r="984" spans="1:22" s="45" customFormat="1" ht="24" customHeight="1">
      <c r="A984" s="1961">
        <v>2</v>
      </c>
      <c r="B984" s="1961">
        <v>3</v>
      </c>
      <c r="C984" s="1961">
        <v>3</v>
      </c>
      <c r="D984" s="1860">
        <v>1</v>
      </c>
      <c r="E984" s="1954" t="s">
        <v>136</v>
      </c>
      <c r="F984" s="1844" t="str">
        <f>CONCATENATE(A984,".",B984,".",C984,".",D984,)</f>
        <v>2.3.3.1</v>
      </c>
      <c r="G984" s="1818" t="s">
        <v>324</v>
      </c>
      <c r="H984" s="1817" t="s">
        <v>146</v>
      </c>
      <c r="I984" s="1658" t="s">
        <v>1017</v>
      </c>
      <c r="J984" s="36" t="s">
        <v>79</v>
      </c>
      <c r="K984" s="891"/>
      <c r="L984" s="891">
        <f>'Budget Assumption_Lab Comp2'!K331</f>
        <v>9632.7000000000007</v>
      </c>
      <c r="M984" s="891">
        <f>'Budget Assumption_Lab Comp2'!L331</f>
        <v>10585.575000000001</v>
      </c>
      <c r="N984" s="891">
        <f>'Budget Assumption_Lab Comp2'!M331</f>
        <v>11538.45</v>
      </c>
      <c r="O984" s="891">
        <f>'Budget Assumption_Lab Comp2'!N331</f>
        <v>12491.325000000003</v>
      </c>
      <c r="P984" s="891">
        <f>'Budget Assumption_Lab Comp2'!O331</f>
        <v>13459.215000000002</v>
      </c>
      <c r="Q984" s="1517">
        <f>L984*$H$989</f>
        <v>3043933.2</v>
      </c>
      <c r="R984" s="1517">
        <f t="shared" ref="R984:U984" si="521">M984*$H$989</f>
        <v>3345041.7</v>
      </c>
      <c r="S984" s="1517">
        <f t="shared" si="521"/>
        <v>3646150.2</v>
      </c>
      <c r="T984" s="1517">
        <f t="shared" si="521"/>
        <v>3947258.7000000007</v>
      </c>
      <c r="U984" s="1517">
        <f t="shared" si="521"/>
        <v>4253111.9400000004</v>
      </c>
      <c r="V984" s="1475">
        <f t="shared" ref="V984:V990" si="522">SUM(Q984:U984)</f>
        <v>18235495.740000002</v>
      </c>
    </row>
    <row r="985" spans="1:22" s="39" customFormat="1" ht="24" customHeight="1">
      <c r="A985" s="1961"/>
      <c r="B985" s="1961"/>
      <c r="C985" s="1961"/>
      <c r="D985" s="1860"/>
      <c r="E985" s="1954"/>
      <c r="F985" s="1844"/>
      <c r="G985" s="1819"/>
      <c r="H985" s="1817"/>
      <c r="I985" s="1659"/>
      <c r="J985" s="40" t="s">
        <v>80</v>
      </c>
      <c r="K985" s="91"/>
      <c r="L985" s="41">
        <f t="shared" ref="L985:U985" si="523">SUM(L986:L992)</f>
        <v>9632.6999999999989</v>
      </c>
      <c r="M985" s="41">
        <f t="shared" si="523"/>
        <v>10585.574999999999</v>
      </c>
      <c r="N985" s="41">
        <f t="shared" si="523"/>
        <v>11538.449999999999</v>
      </c>
      <c r="O985" s="41">
        <f t="shared" si="523"/>
        <v>12491.325000000003</v>
      </c>
      <c r="P985" s="41">
        <f t="shared" si="523"/>
        <v>13459.215</v>
      </c>
      <c r="Q985" s="1517">
        <f>SUM(Q986:Q992)</f>
        <v>3043933.1999999997</v>
      </c>
      <c r="R985" s="1517">
        <f t="shared" si="523"/>
        <v>3345041.6999999997</v>
      </c>
      <c r="S985" s="1517">
        <f t="shared" si="523"/>
        <v>3646150.2</v>
      </c>
      <c r="T985" s="1517">
        <f t="shared" si="523"/>
        <v>3947258.7</v>
      </c>
      <c r="U985" s="1517">
        <f t="shared" si="523"/>
        <v>4253111.9399999995</v>
      </c>
      <c r="V985" s="1475">
        <f t="shared" si="522"/>
        <v>18235495.740000002</v>
      </c>
    </row>
    <row r="986" spans="1:22" s="39" customFormat="1" ht="24" customHeight="1">
      <c r="A986" s="1961"/>
      <c r="B986" s="1961"/>
      <c r="C986" s="1961"/>
      <c r="D986" s="1860"/>
      <c r="E986" s="1954"/>
      <c r="F986" s="1844"/>
      <c r="G986" s="1819"/>
      <c r="H986" s="1817"/>
      <c r="I986" s="1659"/>
      <c r="J986" s="40" t="s">
        <v>429</v>
      </c>
      <c r="K986" s="42"/>
      <c r="L986" s="41">
        <f>'Budget Assumption_Lab Comp2'!K336</f>
        <v>6742.8899999999994</v>
      </c>
      <c r="M986" s="41">
        <f>'Budget Assumption_Lab Comp2'!L336</f>
        <v>7409.9024999999992</v>
      </c>
      <c r="N986" s="41">
        <f>'Budget Assumption_Lab Comp2'!M336</f>
        <v>8076.915</v>
      </c>
      <c r="O986" s="41">
        <f>'Budget Assumption_Lab Comp2'!N336</f>
        <v>8743.9275000000016</v>
      </c>
      <c r="P986" s="41">
        <f>'Budget Assumption_Lab Comp2'!O336</f>
        <v>9421.450499999999</v>
      </c>
      <c r="Q986" s="1517">
        <f>L986*$H$989</f>
        <v>2130753.2399999998</v>
      </c>
      <c r="R986" s="1517">
        <f t="shared" ref="R986:U986" si="524">M986*$H$989</f>
        <v>2341529.19</v>
      </c>
      <c r="S986" s="1517">
        <f t="shared" si="524"/>
        <v>2552305.14</v>
      </c>
      <c r="T986" s="1517">
        <f t="shared" si="524"/>
        <v>2763081.0900000003</v>
      </c>
      <c r="U986" s="1517">
        <f t="shared" si="524"/>
        <v>2977178.3579999995</v>
      </c>
      <c r="V986" s="1475">
        <f t="shared" si="522"/>
        <v>12764847.017999999</v>
      </c>
    </row>
    <row r="987" spans="1:22" s="39" customFormat="1" ht="24" customHeight="1">
      <c r="A987" s="1961"/>
      <c r="B987" s="1961"/>
      <c r="C987" s="1961"/>
      <c r="D987" s="1860"/>
      <c r="E987" s="1954"/>
      <c r="F987" s="1844"/>
      <c r="G987" s="1819"/>
      <c r="H987" s="1817"/>
      <c r="I987" s="1659"/>
      <c r="J987" s="40" t="s">
        <v>133</v>
      </c>
      <c r="K987" s="42"/>
      <c r="L987" s="41">
        <v>0</v>
      </c>
      <c r="M987" s="41">
        <f>'Budget Assumption_Lab Comp2'!L341*0.25</f>
        <v>793.91812500000003</v>
      </c>
      <c r="N987" s="41">
        <f>'Budget Assumption_Lab Comp2'!M341*0.5</f>
        <v>1730.7674999999999</v>
      </c>
      <c r="O987" s="41">
        <f>'Budget Assumption_Lab Comp2'!N341</f>
        <v>3747.3975000000005</v>
      </c>
      <c r="P987" s="41">
        <f>'Budget Assumption_Lab Comp2'!O341</f>
        <v>4037.7645000000002</v>
      </c>
      <c r="Q987" s="1517">
        <f t="shared" ref="Q987:Q992" si="525">L987*$H$989</f>
        <v>0</v>
      </c>
      <c r="R987" s="1517">
        <f t="shared" ref="R987:R992" si="526">M987*$H$989</f>
        <v>250878.1275</v>
      </c>
      <c r="S987" s="1517">
        <f t="shared" ref="S987:S992" si="527">N987*$H$989</f>
        <v>546922.53</v>
      </c>
      <c r="T987" s="1517">
        <f t="shared" ref="T987:T992" si="528">O987*$H$989</f>
        <v>1184177.6100000001</v>
      </c>
      <c r="U987" s="1517">
        <f t="shared" ref="U987:U992" si="529">P987*$H$989</f>
        <v>1275933.5820000002</v>
      </c>
      <c r="V987" s="1475">
        <f t="shared" si="522"/>
        <v>3257911.8495000005</v>
      </c>
    </row>
    <row r="988" spans="1:22" s="39" customFormat="1" ht="24" customHeight="1">
      <c r="A988" s="1961"/>
      <c r="B988" s="1961"/>
      <c r="C988" s="1961"/>
      <c r="D988" s="1860"/>
      <c r="E988" s="1954"/>
      <c r="F988" s="1844"/>
      <c r="G988" s="1819"/>
      <c r="H988" s="1817"/>
      <c r="I988" s="1659"/>
      <c r="J988" s="40" t="s">
        <v>81</v>
      </c>
      <c r="K988" s="42"/>
      <c r="L988" s="41">
        <v>0</v>
      </c>
      <c r="M988" s="41">
        <v>0</v>
      </c>
      <c r="N988" s="41">
        <v>0</v>
      </c>
      <c r="O988" s="41">
        <v>0</v>
      </c>
      <c r="P988" s="41">
        <v>0</v>
      </c>
      <c r="Q988" s="1517">
        <f t="shared" si="525"/>
        <v>0</v>
      </c>
      <c r="R988" s="1517">
        <f t="shared" si="526"/>
        <v>0</v>
      </c>
      <c r="S988" s="1517">
        <f t="shared" si="527"/>
        <v>0</v>
      </c>
      <c r="T988" s="1517">
        <f t="shared" si="528"/>
        <v>0</v>
      </c>
      <c r="U988" s="1517">
        <f t="shared" si="529"/>
        <v>0</v>
      </c>
      <c r="V988" s="1475">
        <f t="shared" si="522"/>
        <v>0</v>
      </c>
    </row>
    <row r="989" spans="1:22" s="39" customFormat="1" ht="24" customHeight="1">
      <c r="A989" s="1961"/>
      <c r="B989" s="1961"/>
      <c r="C989" s="1961"/>
      <c r="D989" s="1860"/>
      <c r="E989" s="1954"/>
      <c r="F989" s="1844"/>
      <c r="G989" s="1819"/>
      <c r="H989" s="1595">
        <f>'Budget Assumption_Lab Comp2'!Q331</f>
        <v>316</v>
      </c>
      <c r="I989" s="1659"/>
      <c r="J989" s="40" t="s">
        <v>134</v>
      </c>
      <c r="K989" s="42"/>
      <c r="L989" s="41">
        <v>0</v>
      </c>
      <c r="M989" s="41">
        <v>0</v>
      </c>
      <c r="N989" s="41">
        <v>0</v>
      </c>
      <c r="O989" s="41">
        <f>O958*30%</f>
        <v>0</v>
      </c>
      <c r="P989" s="41">
        <f>P958*30%</f>
        <v>0</v>
      </c>
      <c r="Q989" s="1517">
        <f t="shared" si="525"/>
        <v>0</v>
      </c>
      <c r="R989" s="1517">
        <f t="shared" si="526"/>
        <v>0</v>
      </c>
      <c r="S989" s="1517">
        <f t="shared" si="527"/>
        <v>0</v>
      </c>
      <c r="T989" s="1517">
        <f t="shared" si="528"/>
        <v>0</v>
      </c>
      <c r="U989" s="1517">
        <f t="shared" si="529"/>
        <v>0</v>
      </c>
      <c r="V989" s="1475">
        <f t="shared" si="522"/>
        <v>0</v>
      </c>
    </row>
    <row r="990" spans="1:22" s="39" customFormat="1" ht="24" customHeight="1">
      <c r="A990" s="1961"/>
      <c r="B990" s="1961"/>
      <c r="C990" s="1961"/>
      <c r="D990" s="1860"/>
      <c r="E990" s="1954"/>
      <c r="F990" s="1844"/>
      <c r="G990" s="1819"/>
      <c r="H990" s="1596">
        <f>810*0.05</f>
        <v>40.5</v>
      </c>
      <c r="I990" s="1659"/>
      <c r="J990" s="40" t="s">
        <v>82</v>
      </c>
      <c r="K990" s="42"/>
      <c r="L990" s="41">
        <v>0</v>
      </c>
      <c r="M990" s="41">
        <v>0</v>
      </c>
      <c r="N990" s="41">
        <v>0</v>
      </c>
      <c r="O990" s="41">
        <v>0</v>
      </c>
      <c r="P990" s="41">
        <v>0</v>
      </c>
      <c r="Q990" s="1517">
        <f t="shared" si="525"/>
        <v>0</v>
      </c>
      <c r="R990" s="1517">
        <f t="shared" si="526"/>
        <v>0</v>
      </c>
      <c r="S990" s="1517">
        <f t="shared" si="527"/>
        <v>0</v>
      </c>
      <c r="T990" s="1517">
        <f t="shared" si="528"/>
        <v>0</v>
      </c>
      <c r="U990" s="1517">
        <f t="shared" si="529"/>
        <v>0</v>
      </c>
      <c r="V990" s="1475">
        <f t="shared" si="522"/>
        <v>0</v>
      </c>
    </row>
    <row r="991" spans="1:22" s="39" customFormat="1" ht="24" customHeight="1">
      <c r="A991" s="1961"/>
      <c r="B991" s="1961"/>
      <c r="C991" s="1961"/>
      <c r="D991" s="1860"/>
      <c r="E991" s="1954"/>
      <c r="F991" s="1844"/>
      <c r="G991" s="1819"/>
      <c r="H991" s="1596"/>
      <c r="I991" s="1659"/>
      <c r="J991" s="40" t="s">
        <v>90</v>
      </c>
      <c r="K991" s="42"/>
      <c r="L991" s="41">
        <f>'Budget Assumption_Lab Comp2'!K341</f>
        <v>2889.81</v>
      </c>
      <c r="M991" s="41">
        <f>'Budget Assumption_Lab Comp2'!L341*0.75</f>
        <v>2381.754375</v>
      </c>
      <c r="N991" s="41">
        <f>'Budget Assumption_Lab Comp2'!M341*0.5</f>
        <v>1730.7674999999999</v>
      </c>
      <c r="O991" s="41">
        <v>0</v>
      </c>
      <c r="P991" s="41">
        <v>0</v>
      </c>
      <c r="Q991" s="1517">
        <f t="shared" si="525"/>
        <v>913179.96</v>
      </c>
      <c r="R991" s="1517">
        <f t="shared" si="526"/>
        <v>752634.38249999995</v>
      </c>
      <c r="S991" s="1517">
        <f t="shared" si="527"/>
        <v>546922.53</v>
      </c>
      <c r="T991" s="1517">
        <f t="shared" si="528"/>
        <v>0</v>
      </c>
      <c r="U991" s="1517">
        <f t="shared" si="529"/>
        <v>0</v>
      </c>
      <c r="V991" s="1475">
        <f t="shared" ref="V991:V1003" si="530">SUM(Q991:U991)</f>
        <v>2212736.8724999996</v>
      </c>
    </row>
    <row r="992" spans="1:22" s="39" customFormat="1" ht="24" customHeight="1">
      <c r="A992" s="1961"/>
      <c r="B992" s="1961"/>
      <c r="C992" s="1961"/>
      <c r="D992" s="1860"/>
      <c r="E992" s="1954"/>
      <c r="F992" s="1844"/>
      <c r="G992" s="1819"/>
      <c r="H992" s="1596"/>
      <c r="I992" s="1659"/>
      <c r="J992" s="40" t="s">
        <v>83</v>
      </c>
      <c r="K992" s="42"/>
      <c r="L992" s="41">
        <v>0</v>
      </c>
      <c r="M992" s="41">
        <v>0</v>
      </c>
      <c r="N992" s="41">
        <v>0</v>
      </c>
      <c r="O992" s="41">
        <v>0</v>
      </c>
      <c r="P992" s="41">
        <v>0</v>
      </c>
      <c r="Q992" s="1517">
        <f t="shared" si="525"/>
        <v>0</v>
      </c>
      <c r="R992" s="1517">
        <f t="shared" si="526"/>
        <v>0</v>
      </c>
      <c r="S992" s="1517">
        <f t="shared" si="527"/>
        <v>0</v>
      </c>
      <c r="T992" s="1517">
        <f t="shared" si="528"/>
        <v>0</v>
      </c>
      <c r="U992" s="1517">
        <f t="shared" si="529"/>
        <v>0</v>
      </c>
      <c r="V992" s="1475">
        <f t="shared" si="530"/>
        <v>0</v>
      </c>
    </row>
    <row r="993" spans="1:22" s="39" customFormat="1" ht="24" customHeight="1" thickBot="1">
      <c r="A993" s="1961"/>
      <c r="B993" s="1961"/>
      <c r="C993" s="1961"/>
      <c r="D993" s="1860"/>
      <c r="E993" s="1954"/>
      <c r="F993" s="1845"/>
      <c r="G993" s="1820"/>
      <c r="H993" s="1597"/>
      <c r="I993" s="1660"/>
      <c r="J993" s="80" t="s">
        <v>84</v>
      </c>
      <c r="K993" s="81"/>
      <c r="L993" s="814">
        <f>L984-L985</f>
        <v>0</v>
      </c>
      <c r="M993" s="814">
        <f t="shared" ref="M993:U993" si="531">M984-M985</f>
        <v>0</v>
      </c>
      <c r="N993" s="814">
        <f t="shared" si="531"/>
        <v>0</v>
      </c>
      <c r="O993" s="814">
        <f t="shared" si="531"/>
        <v>0</v>
      </c>
      <c r="P993" s="814">
        <f t="shared" si="531"/>
        <v>0</v>
      </c>
      <c r="Q993" s="1518">
        <f t="shared" si="531"/>
        <v>0</v>
      </c>
      <c r="R993" s="1518">
        <f t="shared" si="531"/>
        <v>0</v>
      </c>
      <c r="S993" s="1518">
        <f t="shared" si="531"/>
        <v>0</v>
      </c>
      <c r="T993" s="1518">
        <f t="shared" si="531"/>
        <v>0</v>
      </c>
      <c r="U993" s="1518">
        <f t="shared" si="531"/>
        <v>0</v>
      </c>
      <c r="V993" s="1487">
        <f t="shared" si="530"/>
        <v>0</v>
      </c>
    </row>
    <row r="994" spans="1:22" s="45" customFormat="1" ht="24" customHeight="1">
      <c r="A994" s="1860">
        <v>2</v>
      </c>
      <c r="B994" s="1860">
        <v>3</v>
      </c>
      <c r="C994" s="1860">
        <v>3</v>
      </c>
      <c r="D994" s="1860">
        <v>2</v>
      </c>
      <c r="E994" s="1839" t="s">
        <v>136</v>
      </c>
      <c r="F994" s="1843" t="str">
        <f>CONCATENATE(A994,".",B994,".",C994,".",D994,)</f>
        <v>2.3.3.2</v>
      </c>
      <c r="G994" s="1665" t="s">
        <v>325</v>
      </c>
      <c r="H994" s="1681" t="s">
        <v>146</v>
      </c>
      <c r="I994" s="1658" t="s">
        <v>1017</v>
      </c>
      <c r="J994" s="815" t="s">
        <v>79</v>
      </c>
      <c r="K994" s="897"/>
      <c r="L994" s="897">
        <f>'Budget Assumption_Lab Comp2'!K332</f>
        <v>9632.7000000000007</v>
      </c>
      <c r="M994" s="897">
        <f>'Budget Assumption_Lab Comp2'!L332</f>
        <v>10585.575000000001</v>
      </c>
      <c r="N994" s="897">
        <f>'Budget Assumption_Lab Comp2'!M332</f>
        <v>11538.45</v>
      </c>
      <c r="O994" s="897">
        <f>'Budget Assumption_Lab Comp2'!N332</f>
        <v>12491.325000000003</v>
      </c>
      <c r="P994" s="897">
        <f>'Budget Assumption_Lab Comp2'!O332</f>
        <v>13459.215000000002</v>
      </c>
      <c r="Q994" s="1523">
        <f>L994*H999</f>
        <v>2716421.4000000004</v>
      </c>
      <c r="R994" s="1523">
        <f>M994*H999</f>
        <v>2985132.1500000004</v>
      </c>
      <c r="S994" s="1523">
        <f>N994*H999</f>
        <v>3253842.9000000004</v>
      </c>
      <c r="T994" s="1523">
        <f>O994*H999</f>
        <v>3522553.6500000008</v>
      </c>
      <c r="U994" s="1523">
        <f>P994*H999</f>
        <v>3795498.6300000004</v>
      </c>
      <c r="V994" s="1489">
        <f t="shared" si="530"/>
        <v>16273448.730000002</v>
      </c>
    </row>
    <row r="995" spans="1:22" s="39" customFormat="1" ht="24" customHeight="1">
      <c r="A995" s="1860">
        <v>2</v>
      </c>
      <c r="B995" s="1860"/>
      <c r="C995" s="1860"/>
      <c r="D995" s="1860"/>
      <c r="E995" s="1839"/>
      <c r="F995" s="1844"/>
      <c r="G995" s="1665"/>
      <c r="H995" s="1817"/>
      <c r="I995" s="1659"/>
      <c r="J995" s="40" t="s">
        <v>80</v>
      </c>
      <c r="K995" s="91"/>
      <c r="L995" s="41">
        <f t="shared" ref="L995:P995" si="532">SUM(L996:L1002)</f>
        <v>9632.6999999999989</v>
      </c>
      <c r="M995" s="41">
        <f t="shared" si="532"/>
        <v>10585.574999999999</v>
      </c>
      <c r="N995" s="41">
        <f t="shared" si="532"/>
        <v>11538.449999999999</v>
      </c>
      <c r="O995" s="41">
        <f t="shared" si="532"/>
        <v>12491.325000000003</v>
      </c>
      <c r="P995" s="41">
        <f t="shared" si="532"/>
        <v>13459.215</v>
      </c>
      <c r="Q995" s="1517">
        <f t="shared" ref="Q995:U995" si="533">SUM(Q996:Q1002)</f>
        <v>2716421.4</v>
      </c>
      <c r="R995" s="1517">
        <f t="shared" si="533"/>
        <v>2985132.15</v>
      </c>
      <c r="S995" s="1517">
        <f t="shared" si="533"/>
        <v>3253842.9</v>
      </c>
      <c r="T995" s="1517">
        <f t="shared" si="533"/>
        <v>3522553.6500000008</v>
      </c>
      <c r="U995" s="1517">
        <f t="shared" si="533"/>
        <v>3795498.63</v>
      </c>
      <c r="V995" s="1475">
        <f t="shared" si="530"/>
        <v>16273448.73</v>
      </c>
    </row>
    <row r="996" spans="1:22" s="39" customFormat="1" ht="24" customHeight="1">
      <c r="A996" s="1860">
        <v>2</v>
      </c>
      <c r="B996" s="1860"/>
      <c r="C996" s="1860"/>
      <c r="D996" s="1860"/>
      <c r="E996" s="1839"/>
      <c r="F996" s="1844"/>
      <c r="G996" s="1665"/>
      <c r="H996" s="1817"/>
      <c r="I996" s="1659"/>
      <c r="J996" s="40" t="s">
        <v>429</v>
      </c>
      <c r="K996" s="42"/>
      <c r="L996" s="41">
        <f>'Budget Assumption_Lab Comp2'!K337</f>
        <v>6742.8899999999994</v>
      </c>
      <c r="M996" s="41">
        <f>'Budget Assumption_Lab Comp2'!L337</f>
        <v>7409.9024999999992</v>
      </c>
      <c r="N996" s="41">
        <f>'Budget Assumption_Lab Comp2'!M337</f>
        <v>8076.915</v>
      </c>
      <c r="O996" s="41">
        <f>'Budget Assumption_Lab Comp2'!N337</f>
        <v>8743.9275000000016</v>
      </c>
      <c r="P996" s="41">
        <f>'Budget Assumption_Lab Comp2'!O337</f>
        <v>9421.450499999999</v>
      </c>
      <c r="Q996" s="1517">
        <f>L996*$H999</f>
        <v>1901494.9799999997</v>
      </c>
      <c r="R996" s="1517">
        <f>M996*$H999</f>
        <v>2089592.5049999999</v>
      </c>
      <c r="S996" s="1517">
        <f>N996*$H999</f>
        <v>2277690.0299999998</v>
      </c>
      <c r="T996" s="1517">
        <f>O996*$H999</f>
        <v>2465787.5550000006</v>
      </c>
      <c r="U996" s="1517">
        <f>P996*$H999</f>
        <v>2656849.0409999997</v>
      </c>
      <c r="V996" s="1475">
        <f t="shared" si="530"/>
        <v>11391414.111</v>
      </c>
    </row>
    <row r="997" spans="1:22" s="39" customFormat="1" ht="24" customHeight="1">
      <c r="A997" s="1860">
        <v>2</v>
      </c>
      <c r="B997" s="1860"/>
      <c r="C997" s="1860"/>
      <c r="D997" s="1860"/>
      <c r="E997" s="1839"/>
      <c r="F997" s="1844"/>
      <c r="G997" s="1665"/>
      <c r="H997" s="1817"/>
      <c r="I997" s="1659"/>
      <c r="J997" s="40" t="s">
        <v>133</v>
      </c>
      <c r="K997" s="42"/>
      <c r="L997" s="41">
        <f>'Budget Assumption_Lab Comp2'!K342*0</f>
        <v>0</v>
      </c>
      <c r="M997" s="41">
        <f>'Budget Assumption_Lab Comp2'!L342*0.25</f>
        <v>793.91812500000003</v>
      </c>
      <c r="N997" s="41">
        <f>'Budget Assumption_Lab Comp2'!M342*0.5</f>
        <v>1730.7674999999999</v>
      </c>
      <c r="O997" s="41">
        <f>'Budget Assumption_Lab Comp2'!N342</f>
        <v>3747.3975000000005</v>
      </c>
      <c r="P997" s="41">
        <f>'Budget Assumption_Lab Comp2'!O342</f>
        <v>4037.7645000000002</v>
      </c>
      <c r="Q997" s="1517">
        <f>L997*$H999</f>
        <v>0</v>
      </c>
      <c r="R997" s="1517">
        <f>M997*$H999</f>
        <v>223884.91125</v>
      </c>
      <c r="S997" s="1517">
        <f>N997*$H999</f>
        <v>488076.435</v>
      </c>
      <c r="T997" s="1517">
        <f>O997*$H999</f>
        <v>1056766.0950000002</v>
      </c>
      <c r="U997" s="1517">
        <f>P997*$H999</f>
        <v>1138649.5890000002</v>
      </c>
      <c r="V997" s="1475">
        <f t="shared" si="530"/>
        <v>2907377.0302500003</v>
      </c>
    </row>
    <row r="998" spans="1:22" s="39" customFormat="1" ht="24" customHeight="1">
      <c r="A998" s="1860">
        <v>2</v>
      </c>
      <c r="B998" s="1860"/>
      <c r="C998" s="1860"/>
      <c r="D998" s="1860"/>
      <c r="E998" s="1839"/>
      <c r="F998" s="1844"/>
      <c r="G998" s="1665"/>
      <c r="H998" s="1817"/>
      <c r="I998" s="1659"/>
      <c r="J998" s="40" t="s">
        <v>81</v>
      </c>
      <c r="K998" s="42"/>
      <c r="L998" s="41">
        <v>0</v>
      </c>
      <c r="M998" s="41">
        <v>0</v>
      </c>
      <c r="N998" s="41">
        <v>0</v>
      </c>
      <c r="O998" s="41">
        <v>0</v>
      </c>
      <c r="P998" s="41">
        <v>0</v>
      </c>
      <c r="Q998" s="1517">
        <f>L998*$H999</f>
        <v>0</v>
      </c>
      <c r="R998" s="1517">
        <f>M998*$H999</f>
        <v>0</v>
      </c>
      <c r="S998" s="1517">
        <f>N998*$H999</f>
        <v>0</v>
      </c>
      <c r="T998" s="1517">
        <f>O998*$H999</f>
        <v>0</v>
      </c>
      <c r="U998" s="1517">
        <f>P998*$H999</f>
        <v>0</v>
      </c>
      <c r="V998" s="1475">
        <f t="shared" si="530"/>
        <v>0</v>
      </c>
    </row>
    <row r="999" spans="1:22" s="39" customFormat="1" ht="24" customHeight="1">
      <c r="A999" s="1860">
        <v>2</v>
      </c>
      <c r="B999" s="1860"/>
      <c r="C999" s="1860"/>
      <c r="D999" s="1860"/>
      <c r="E999" s="1839"/>
      <c r="F999" s="1844"/>
      <c r="G999" s="1665"/>
      <c r="H999" s="1595">
        <f>'Budget Assumption_Lab Comp2'!Q332</f>
        <v>282</v>
      </c>
      <c r="I999" s="1659"/>
      <c r="J999" s="40" t="s">
        <v>134</v>
      </c>
      <c r="K999" s="42"/>
      <c r="L999" s="41">
        <v>0</v>
      </c>
      <c r="M999" s="41">
        <v>0</v>
      </c>
      <c r="N999" s="41">
        <v>0</v>
      </c>
      <c r="O999" s="41">
        <f>O968*30%</f>
        <v>0</v>
      </c>
      <c r="P999" s="41">
        <f>P968*30%</f>
        <v>0</v>
      </c>
      <c r="Q999" s="1517">
        <f>L999*$H999</f>
        <v>0</v>
      </c>
      <c r="R999" s="1517">
        <f>M999*$H999</f>
        <v>0</v>
      </c>
      <c r="S999" s="1517">
        <f>N999*$H999</f>
        <v>0</v>
      </c>
      <c r="T999" s="1517">
        <f>O999*$H999</f>
        <v>0</v>
      </c>
      <c r="U999" s="1517">
        <f>P999*$H999</f>
        <v>0</v>
      </c>
      <c r="V999" s="1475">
        <f t="shared" si="530"/>
        <v>0</v>
      </c>
    </row>
    <row r="1000" spans="1:22" s="39" customFormat="1" ht="24" customHeight="1">
      <c r="A1000" s="1860">
        <v>2</v>
      </c>
      <c r="B1000" s="1860"/>
      <c r="C1000" s="1860"/>
      <c r="D1000" s="1860"/>
      <c r="E1000" s="1839"/>
      <c r="F1000" s="1844"/>
      <c r="G1000" s="1665"/>
      <c r="H1000" s="1596">
        <f>810*0.05</f>
        <v>40.5</v>
      </c>
      <c r="I1000" s="1659"/>
      <c r="J1000" s="40" t="s">
        <v>82</v>
      </c>
      <c r="K1000" s="42"/>
      <c r="L1000" s="41">
        <v>0</v>
      </c>
      <c r="M1000" s="41">
        <v>0</v>
      </c>
      <c r="N1000" s="41">
        <v>0</v>
      </c>
      <c r="O1000" s="41">
        <v>0</v>
      </c>
      <c r="P1000" s="41">
        <v>0</v>
      </c>
      <c r="Q1000" s="1517">
        <f>L1000*$H999</f>
        <v>0</v>
      </c>
      <c r="R1000" s="1517">
        <f>M1000*$H999</f>
        <v>0</v>
      </c>
      <c r="S1000" s="1517">
        <f>N1000*$H999</f>
        <v>0</v>
      </c>
      <c r="T1000" s="1517">
        <f>O1000*$H999</f>
        <v>0</v>
      </c>
      <c r="U1000" s="1517">
        <f>P1000*$H999</f>
        <v>0</v>
      </c>
      <c r="V1000" s="1475">
        <f t="shared" si="530"/>
        <v>0</v>
      </c>
    </row>
    <row r="1001" spans="1:22" s="39" customFormat="1" ht="24" customHeight="1">
      <c r="A1001" s="1860">
        <v>2</v>
      </c>
      <c r="B1001" s="1860"/>
      <c r="C1001" s="1860"/>
      <c r="D1001" s="1860"/>
      <c r="E1001" s="1839"/>
      <c r="F1001" s="1844"/>
      <c r="G1001" s="1665"/>
      <c r="H1001" s="1596"/>
      <c r="I1001" s="1659"/>
      <c r="J1001" s="40" t="s">
        <v>90</v>
      </c>
      <c r="K1001" s="42"/>
      <c r="L1001" s="41">
        <f>'Budget Assumption_Lab Comp2'!K342*1</f>
        <v>2889.81</v>
      </c>
      <c r="M1001" s="41">
        <f>'Budget Assumption_Lab Comp2'!L342*0.75</f>
        <v>2381.754375</v>
      </c>
      <c r="N1001" s="41">
        <f>'Budget Assumption_Lab Comp2'!M342*0.5</f>
        <v>1730.7674999999999</v>
      </c>
      <c r="O1001" s="41">
        <v>0</v>
      </c>
      <c r="P1001" s="41">
        <v>0</v>
      </c>
      <c r="Q1001" s="1517">
        <f>L1001*$H999</f>
        <v>814926.42</v>
      </c>
      <c r="R1001" s="1517">
        <f>M1001*$H999</f>
        <v>671654.73375000001</v>
      </c>
      <c r="S1001" s="1517">
        <f>N1001*$H999</f>
        <v>488076.435</v>
      </c>
      <c r="T1001" s="1517">
        <f>O1001*$H999</f>
        <v>0</v>
      </c>
      <c r="U1001" s="1517">
        <f>P1001*$H999</f>
        <v>0</v>
      </c>
      <c r="V1001" s="1475">
        <f t="shared" si="530"/>
        <v>1974657.5887500001</v>
      </c>
    </row>
    <row r="1002" spans="1:22" s="39" customFormat="1" ht="24" customHeight="1">
      <c r="A1002" s="1860">
        <v>2</v>
      </c>
      <c r="B1002" s="1860"/>
      <c r="C1002" s="1860"/>
      <c r="D1002" s="1860"/>
      <c r="E1002" s="1839"/>
      <c r="F1002" s="1844"/>
      <c r="G1002" s="1665"/>
      <c r="H1002" s="1596"/>
      <c r="I1002" s="1659"/>
      <c r="J1002" s="40" t="s">
        <v>83</v>
      </c>
      <c r="K1002" s="42"/>
      <c r="L1002" s="41">
        <v>0</v>
      </c>
      <c r="M1002" s="41">
        <v>0</v>
      </c>
      <c r="N1002" s="41">
        <v>0</v>
      </c>
      <c r="O1002" s="41">
        <v>0</v>
      </c>
      <c r="P1002" s="41">
        <v>0</v>
      </c>
      <c r="Q1002" s="1517">
        <f>L1002*$H999</f>
        <v>0</v>
      </c>
      <c r="R1002" s="1517">
        <f>M1002*$H999</f>
        <v>0</v>
      </c>
      <c r="S1002" s="1517">
        <f>N1002*$H999</f>
        <v>0</v>
      </c>
      <c r="T1002" s="1517">
        <f>O1002*$H999</f>
        <v>0</v>
      </c>
      <c r="U1002" s="1517">
        <f>P1002*$H999</f>
        <v>0</v>
      </c>
      <c r="V1002" s="1475">
        <f t="shared" si="530"/>
        <v>0</v>
      </c>
    </row>
    <row r="1003" spans="1:22" s="39" customFormat="1" ht="24" customHeight="1" thickBot="1">
      <c r="A1003" s="1860">
        <v>2</v>
      </c>
      <c r="B1003" s="1860"/>
      <c r="C1003" s="1860"/>
      <c r="D1003" s="1860"/>
      <c r="E1003" s="1839"/>
      <c r="F1003" s="1845"/>
      <c r="G1003" s="1678"/>
      <c r="H1003" s="1597"/>
      <c r="I1003" s="1660"/>
      <c r="J1003" s="80" t="s">
        <v>84</v>
      </c>
      <c r="K1003" s="81"/>
      <c r="L1003" s="814">
        <f t="shared" ref="L1003:U1003" si="534">L994-L995</f>
        <v>0</v>
      </c>
      <c r="M1003" s="814">
        <f t="shared" si="534"/>
        <v>0</v>
      </c>
      <c r="N1003" s="814">
        <f t="shared" si="534"/>
        <v>0</v>
      </c>
      <c r="O1003" s="814">
        <f t="shared" si="534"/>
        <v>0</v>
      </c>
      <c r="P1003" s="814">
        <f t="shared" si="534"/>
        <v>0</v>
      </c>
      <c r="Q1003" s="1518">
        <f t="shared" si="534"/>
        <v>0</v>
      </c>
      <c r="R1003" s="1518">
        <f t="shared" si="534"/>
        <v>0</v>
      </c>
      <c r="S1003" s="1518">
        <f t="shared" si="534"/>
        <v>0</v>
      </c>
      <c r="T1003" s="1518">
        <f t="shared" si="534"/>
        <v>0</v>
      </c>
      <c r="U1003" s="1518">
        <f t="shared" si="534"/>
        <v>0</v>
      </c>
      <c r="V1003" s="1487">
        <f t="shared" si="530"/>
        <v>0</v>
      </c>
    </row>
    <row r="1004" spans="1:22" s="45" customFormat="1" ht="24" customHeight="1">
      <c r="A1004" s="1860">
        <v>2</v>
      </c>
      <c r="B1004" s="1860">
        <v>3</v>
      </c>
      <c r="C1004" s="1860">
        <v>3</v>
      </c>
      <c r="D1004" s="1860">
        <v>3</v>
      </c>
      <c r="E1004" s="1839" t="s">
        <v>136</v>
      </c>
      <c r="F1004" s="1846" t="str">
        <f>CONCATENATE(A1004,".",B1004,".",C1004,".",D1004,)</f>
        <v>2.3.3.3</v>
      </c>
      <c r="G1004" s="1796" t="s">
        <v>1074</v>
      </c>
      <c r="H1004" s="1816" t="s">
        <v>146</v>
      </c>
      <c r="I1004" s="1658" t="s">
        <v>1017</v>
      </c>
      <c r="J1004" s="262" t="s">
        <v>79</v>
      </c>
      <c r="K1004" s="912"/>
      <c r="L1004" s="912">
        <f>'Budget Assumption_Lab Comp2'!K333</f>
        <v>100</v>
      </c>
      <c r="M1004" s="912">
        <f>'Budget Assumption_Lab Comp2'!L333</f>
        <v>100</v>
      </c>
      <c r="N1004" s="912">
        <f>'Budget Assumption_Lab Comp2'!M333</f>
        <v>100</v>
      </c>
      <c r="O1004" s="912">
        <f>'Budget Assumption_Lab Comp2'!N333</f>
        <v>100</v>
      </c>
      <c r="P1004" s="912">
        <f>'Budget Assumption_Lab Comp2'!O333</f>
        <v>100</v>
      </c>
      <c r="Q1004" s="1524">
        <f>L1004*H1009</f>
        <v>19000</v>
      </c>
      <c r="R1004" s="1524">
        <f>M1004*H1009</f>
        <v>19000</v>
      </c>
      <c r="S1004" s="1524">
        <f>N1004*H1009</f>
        <v>19000</v>
      </c>
      <c r="T1004" s="1524">
        <f>O1004*H1009</f>
        <v>19000</v>
      </c>
      <c r="U1004" s="1524">
        <f>P1004*H1009</f>
        <v>19000</v>
      </c>
      <c r="V1004" s="1484">
        <f t="shared" ref="V1004:V1043" si="535">SUM(Q1004:U1004)</f>
        <v>95000</v>
      </c>
    </row>
    <row r="1005" spans="1:22" s="39" customFormat="1" ht="24" customHeight="1">
      <c r="A1005" s="1860">
        <v>2</v>
      </c>
      <c r="B1005" s="1860"/>
      <c r="C1005" s="1860"/>
      <c r="D1005" s="1860"/>
      <c r="E1005" s="1839"/>
      <c r="F1005" s="1844"/>
      <c r="G1005" s="1797"/>
      <c r="H1005" s="1817"/>
      <c r="I1005" s="1659"/>
      <c r="J1005" s="40" t="s">
        <v>80</v>
      </c>
      <c r="K1005" s="91"/>
      <c r="L1005" s="41">
        <f t="shared" ref="L1005:U1005" si="536">SUM(L1006:L1012)</f>
        <v>100</v>
      </c>
      <c r="M1005" s="41">
        <f t="shared" si="536"/>
        <v>100</v>
      </c>
      <c r="N1005" s="41">
        <f t="shared" si="536"/>
        <v>100</v>
      </c>
      <c r="O1005" s="41">
        <f t="shared" si="536"/>
        <v>100</v>
      </c>
      <c r="P1005" s="41">
        <f t="shared" si="536"/>
        <v>100</v>
      </c>
      <c r="Q1005" s="1517">
        <f t="shared" si="536"/>
        <v>19000</v>
      </c>
      <c r="R1005" s="1517">
        <f t="shared" si="536"/>
        <v>19000</v>
      </c>
      <c r="S1005" s="1517">
        <f t="shared" si="536"/>
        <v>19000</v>
      </c>
      <c r="T1005" s="1517">
        <f t="shared" si="536"/>
        <v>19000</v>
      </c>
      <c r="U1005" s="1517">
        <f t="shared" si="536"/>
        <v>19000</v>
      </c>
      <c r="V1005" s="1475">
        <f t="shared" si="535"/>
        <v>95000</v>
      </c>
    </row>
    <row r="1006" spans="1:22" s="39" customFormat="1" ht="24" customHeight="1">
      <c r="A1006" s="1860">
        <v>2</v>
      </c>
      <c r="B1006" s="1860"/>
      <c r="C1006" s="1860"/>
      <c r="D1006" s="1860"/>
      <c r="E1006" s="1839"/>
      <c r="F1006" s="1844"/>
      <c r="G1006" s="1797"/>
      <c r="H1006" s="1817"/>
      <c r="I1006" s="1659"/>
      <c r="J1006" s="40" t="s">
        <v>429</v>
      </c>
      <c r="K1006" s="42"/>
      <c r="L1006" s="41">
        <f>'Budget Assumption_Lab Comp2'!K338</f>
        <v>100</v>
      </c>
      <c r="M1006" s="41">
        <f>'Budget Assumption_Lab Comp2'!L338</f>
        <v>100</v>
      </c>
      <c r="N1006" s="41">
        <f>'Budget Assumption_Lab Comp2'!M338</f>
        <v>100</v>
      </c>
      <c r="O1006" s="41">
        <f>'Budget Assumption_Lab Comp2'!N338</f>
        <v>100</v>
      </c>
      <c r="P1006" s="41">
        <f>'Budget Assumption_Lab Comp2'!O338</f>
        <v>100</v>
      </c>
      <c r="Q1006" s="1517">
        <f>L1006*$H1009</f>
        <v>19000</v>
      </c>
      <c r="R1006" s="1517">
        <f>M1006*$H1009</f>
        <v>19000</v>
      </c>
      <c r="S1006" s="1517">
        <f>N1006*$H1009</f>
        <v>19000</v>
      </c>
      <c r="T1006" s="1517">
        <f>O1006*$H1009</f>
        <v>19000</v>
      </c>
      <c r="U1006" s="1517">
        <f>P1006*$H1009</f>
        <v>19000</v>
      </c>
      <c r="V1006" s="1475">
        <f t="shared" si="535"/>
        <v>95000</v>
      </c>
    </row>
    <row r="1007" spans="1:22" s="39" customFormat="1" ht="24" customHeight="1">
      <c r="A1007" s="1860">
        <v>2</v>
      </c>
      <c r="B1007" s="1860"/>
      <c r="C1007" s="1860"/>
      <c r="D1007" s="1860"/>
      <c r="E1007" s="1839"/>
      <c r="F1007" s="1844"/>
      <c r="G1007" s="1797"/>
      <c r="H1007" s="1817"/>
      <c r="I1007" s="1659"/>
      <c r="J1007" s="40" t="s">
        <v>133</v>
      </c>
      <c r="K1007" s="42"/>
      <c r="L1007" s="41">
        <v>0</v>
      </c>
      <c r="M1007" s="41">
        <v>0</v>
      </c>
      <c r="N1007" s="41">
        <v>0</v>
      </c>
      <c r="O1007" s="41">
        <v>0</v>
      </c>
      <c r="P1007" s="41">
        <v>0</v>
      </c>
      <c r="Q1007" s="1517">
        <f>L1007*$H1009</f>
        <v>0</v>
      </c>
      <c r="R1007" s="1517">
        <f>M1007*$H1009</f>
        <v>0</v>
      </c>
      <c r="S1007" s="1517">
        <f>N1007*$H1009</f>
        <v>0</v>
      </c>
      <c r="T1007" s="1517">
        <f>O1007*$H1009</f>
        <v>0</v>
      </c>
      <c r="U1007" s="1517">
        <f>P1007*$H1009</f>
        <v>0</v>
      </c>
      <c r="V1007" s="1475">
        <f t="shared" si="535"/>
        <v>0</v>
      </c>
    </row>
    <row r="1008" spans="1:22" s="39" customFormat="1" ht="24" customHeight="1">
      <c r="A1008" s="1860">
        <v>2</v>
      </c>
      <c r="B1008" s="1860"/>
      <c r="C1008" s="1860"/>
      <c r="D1008" s="1860"/>
      <c r="E1008" s="1839"/>
      <c r="F1008" s="1844"/>
      <c r="G1008" s="1797"/>
      <c r="H1008" s="1817"/>
      <c r="I1008" s="1659"/>
      <c r="J1008" s="40" t="s">
        <v>81</v>
      </c>
      <c r="K1008" s="42"/>
      <c r="L1008" s="41">
        <v>0</v>
      </c>
      <c r="M1008" s="41">
        <v>0</v>
      </c>
      <c r="N1008" s="41">
        <v>0</v>
      </c>
      <c r="O1008" s="41">
        <v>0</v>
      </c>
      <c r="P1008" s="41">
        <v>0</v>
      </c>
      <c r="Q1008" s="1517">
        <f>L1008*$H1009</f>
        <v>0</v>
      </c>
      <c r="R1008" s="1517">
        <f>M1008*$H1009</f>
        <v>0</v>
      </c>
      <c r="S1008" s="1517">
        <f>N1008*$H1009</f>
        <v>0</v>
      </c>
      <c r="T1008" s="1517">
        <f>O1008*$H1009</f>
        <v>0</v>
      </c>
      <c r="U1008" s="1517">
        <f>P1008*$H1009</f>
        <v>0</v>
      </c>
      <c r="V1008" s="1475">
        <f t="shared" si="535"/>
        <v>0</v>
      </c>
    </row>
    <row r="1009" spans="1:22" s="39" customFormat="1" ht="24" customHeight="1">
      <c r="A1009" s="1860">
        <v>2</v>
      </c>
      <c r="B1009" s="1860"/>
      <c r="C1009" s="1860"/>
      <c r="D1009" s="1860"/>
      <c r="E1009" s="1839"/>
      <c r="F1009" s="1844"/>
      <c r="G1009" s="1797"/>
      <c r="H1009" s="1595">
        <f>'Budget Assumption_Lab Comp2'!Q333</f>
        <v>190</v>
      </c>
      <c r="I1009" s="1659"/>
      <c r="J1009" s="40" t="s">
        <v>134</v>
      </c>
      <c r="K1009" s="42"/>
      <c r="L1009" s="41">
        <v>0</v>
      </c>
      <c r="M1009" s="41">
        <v>0</v>
      </c>
      <c r="N1009" s="41">
        <v>0</v>
      </c>
      <c r="O1009" s="41">
        <v>0</v>
      </c>
      <c r="P1009" s="41">
        <v>0</v>
      </c>
      <c r="Q1009" s="1517">
        <f>L1009*$H1009</f>
        <v>0</v>
      </c>
      <c r="R1009" s="1517">
        <f>M1009*$H1009</f>
        <v>0</v>
      </c>
      <c r="S1009" s="1517">
        <f>N1009*$H1009</f>
        <v>0</v>
      </c>
      <c r="T1009" s="1517">
        <f>O1009*$H1009</f>
        <v>0</v>
      </c>
      <c r="U1009" s="1517">
        <f>P1009*$H1009</f>
        <v>0</v>
      </c>
      <c r="V1009" s="1475">
        <f t="shared" si="535"/>
        <v>0</v>
      </c>
    </row>
    <row r="1010" spans="1:22" s="39" customFormat="1" ht="24" customHeight="1">
      <c r="A1010" s="1860">
        <v>2</v>
      </c>
      <c r="B1010" s="1860"/>
      <c r="C1010" s="1860"/>
      <c r="D1010" s="1860"/>
      <c r="E1010" s="1839"/>
      <c r="F1010" s="1844"/>
      <c r="G1010" s="1797"/>
      <c r="H1010" s="1596">
        <f>810*0.05</f>
        <v>40.5</v>
      </c>
      <c r="I1010" s="1659"/>
      <c r="J1010" s="40" t="s">
        <v>82</v>
      </c>
      <c r="K1010" s="42"/>
      <c r="L1010" s="41">
        <v>0</v>
      </c>
      <c r="M1010" s="41">
        <v>0</v>
      </c>
      <c r="N1010" s="41">
        <v>0</v>
      </c>
      <c r="O1010" s="41">
        <v>0</v>
      </c>
      <c r="P1010" s="41">
        <v>0</v>
      </c>
      <c r="Q1010" s="1517">
        <f>L1010*$H1009</f>
        <v>0</v>
      </c>
      <c r="R1010" s="1517">
        <f>M1010*$H1009</f>
        <v>0</v>
      </c>
      <c r="S1010" s="1517">
        <f>N1010*$H1009</f>
        <v>0</v>
      </c>
      <c r="T1010" s="1517">
        <f>O1010*$H1009</f>
        <v>0</v>
      </c>
      <c r="U1010" s="1517">
        <f>P1010*$H1009</f>
        <v>0</v>
      </c>
      <c r="V1010" s="1475">
        <f t="shared" si="535"/>
        <v>0</v>
      </c>
    </row>
    <row r="1011" spans="1:22" s="39" customFormat="1" ht="24" customHeight="1">
      <c r="A1011" s="1860">
        <v>2</v>
      </c>
      <c r="B1011" s="1860"/>
      <c r="C1011" s="1860"/>
      <c r="D1011" s="1860"/>
      <c r="E1011" s="1839"/>
      <c r="F1011" s="1844"/>
      <c r="G1011" s="1797"/>
      <c r="H1011" s="1596"/>
      <c r="I1011" s="1659"/>
      <c r="J1011" s="40" t="s">
        <v>90</v>
      </c>
      <c r="K1011" s="42"/>
      <c r="L1011" s="41">
        <v>0</v>
      </c>
      <c r="M1011" s="41">
        <v>0</v>
      </c>
      <c r="N1011" s="41">
        <v>0</v>
      </c>
      <c r="O1011" s="41">
        <v>0</v>
      </c>
      <c r="P1011" s="41">
        <v>0</v>
      </c>
      <c r="Q1011" s="1517">
        <f>L1011*$H1009</f>
        <v>0</v>
      </c>
      <c r="R1011" s="1517">
        <f>M1011*$H1009</f>
        <v>0</v>
      </c>
      <c r="S1011" s="1517">
        <f>N1011*$H1009</f>
        <v>0</v>
      </c>
      <c r="T1011" s="1517">
        <f>O1011*$H1009</f>
        <v>0</v>
      </c>
      <c r="U1011" s="1517">
        <f>P1011*$H1009</f>
        <v>0</v>
      </c>
      <c r="V1011" s="1475">
        <f t="shared" si="535"/>
        <v>0</v>
      </c>
    </row>
    <row r="1012" spans="1:22" s="39" customFormat="1" ht="24" customHeight="1">
      <c r="A1012" s="1860">
        <v>2</v>
      </c>
      <c r="B1012" s="1860"/>
      <c r="C1012" s="1860"/>
      <c r="D1012" s="1860"/>
      <c r="E1012" s="1839"/>
      <c r="F1012" s="1844"/>
      <c r="G1012" s="1797"/>
      <c r="H1012" s="1596"/>
      <c r="I1012" s="1659"/>
      <c r="J1012" s="40" t="s">
        <v>83</v>
      </c>
      <c r="K1012" s="42"/>
      <c r="L1012" s="41">
        <v>0</v>
      </c>
      <c r="M1012" s="41">
        <v>0</v>
      </c>
      <c r="N1012" s="41">
        <v>0</v>
      </c>
      <c r="O1012" s="41">
        <v>0</v>
      </c>
      <c r="P1012" s="41">
        <v>0</v>
      </c>
      <c r="Q1012" s="1517">
        <f>L1012*$H1009</f>
        <v>0</v>
      </c>
      <c r="R1012" s="1517">
        <f>M1012*$H1009</f>
        <v>0</v>
      </c>
      <c r="S1012" s="1517">
        <f>N1012*$H1009</f>
        <v>0</v>
      </c>
      <c r="T1012" s="1517">
        <f>O1012*$H1009</f>
        <v>0</v>
      </c>
      <c r="U1012" s="1517">
        <f>P1012*$H1009</f>
        <v>0</v>
      </c>
      <c r="V1012" s="1475">
        <f t="shared" si="535"/>
        <v>0</v>
      </c>
    </row>
    <row r="1013" spans="1:22" s="39" customFormat="1" ht="24" customHeight="1" thickBot="1">
      <c r="A1013" s="1860">
        <v>2</v>
      </c>
      <c r="B1013" s="1860"/>
      <c r="C1013" s="1860"/>
      <c r="D1013" s="1860"/>
      <c r="E1013" s="1839"/>
      <c r="F1013" s="1845"/>
      <c r="G1013" s="1798"/>
      <c r="H1013" s="1597"/>
      <c r="I1013" s="1660"/>
      <c r="J1013" s="80" t="s">
        <v>84</v>
      </c>
      <c r="K1013" s="81"/>
      <c r="L1013" s="814">
        <f t="shared" ref="L1013:U1013" si="537">L1004-L1005</f>
        <v>0</v>
      </c>
      <c r="M1013" s="814">
        <f t="shared" si="537"/>
        <v>0</v>
      </c>
      <c r="N1013" s="814">
        <f t="shared" si="537"/>
        <v>0</v>
      </c>
      <c r="O1013" s="814">
        <f t="shared" si="537"/>
        <v>0</v>
      </c>
      <c r="P1013" s="814">
        <f t="shared" si="537"/>
        <v>0</v>
      </c>
      <c r="Q1013" s="1518">
        <f t="shared" si="537"/>
        <v>0</v>
      </c>
      <c r="R1013" s="1518">
        <f t="shared" si="537"/>
        <v>0</v>
      </c>
      <c r="S1013" s="1518">
        <f t="shared" si="537"/>
        <v>0</v>
      </c>
      <c r="T1013" s="1518">
        <f t="shared" si="537"/>
        <v>0</v>
      </c>
      <c r="U1013" s="1518">
        <f t="shared" si="537"/>
        <v>0</v>
      </c>
      <c r="V1013" s="1487">
        <f t="shared" si="535"/>
        <v>0</v>
      </c>
    </row>
    <row r="1014" spans="1:22" s="45" customFormat="1" ht="24" customHeight="1">
      <c r="A1014" s="1860">
        <v>2</v>
      </c>
      <c r="B1014" s="1860">
        <v>3</v>
      </c>
      <c r="C1014" s="1860">
        <v>3</v>
      </c>
      <c r="D1014" s="1860">
        <v>4</v>
      </c>
      <c r="E1014" s="1839" t="s">
        <v>136</v>
      </c>
      <c r="F1014" s="1846" t="str">
        <f>CONCATENATE(A1014,".",B1014,".",C1014,".",D1014,)</f>
        <v>2.3.3.4</v>
      </c>
      <c r="G1014" s="1796" t="s">
        <v>1026</v>
      </c>
      <c r="H1014" s="1816" t="s">
        <v>827</v>
      </c>
      <c r="I1014" s="1658" t="s">
        <v>1017</v>
      </c>
      <c r="J1014" s="262" t="s">
        <v>79</v>
      </c>
      <c r="K1014" s="912"/>
      <c r="L1014" s="912">
        <f>'Budget Assumption_Lab Comp2'!K334</f>
        <v>19365.400000000001</v>
      </c>
      <c r="M1014" s="912">
        <f>'Budget Assumption_Lab Comp2'!L334</f>
        <v>21271.15</v>
      </c>
      <c r="N1014" s="912">
        <f>'Budget Assumption_Lab Comp2'!M334</f>
        <v>23176.9</v>
      </c>
      <c r="O1014" s="912">
        <f>'Budget Assumption_Lab Comp2'!N334</f>
        <v>25082.650000000005</v>
      </c>
      <c r="P1014" s="912">
        <f>'Budget Assumption_Lab Comp2'!O334</f>
        <v>27018.430000000004</v>
      </c>
      <c r="Q1014" s="1484">
        <f>L1014*H1019</f>
        <v>677789</v>
      </c>
      <c r="R1014" s="1484">
        <f>M1014*H1019</f>
        <v>744490.25</v>
      </c>
      <c r="S1014" s="1484">
        <f>N1014*H1019</f>
        <v>811191.5</v>
      </c>
      <c r="T1014" s="1484">
        <f>O1014*H1019</f>
        <v>877892.75000000023</v>
      </c>
      <c r="U1014" s="1484">
        <f>P1014*H1019</f>
        <v>945645.05000000016</v>
      </c>
      <c r="V1014" s="1484">
        <f t="shared" ref="V1014:V1033" si="538">SUM(Q1014:U1014)</f>
        <v>4057008.5500000003</v>
      </c>
    </row>
    <row r="1015" spans="1:22" s="39" customFormat="1" ht="24" customHeight="1">
      <c r="A1015" s="1860">
        <v>2</v>
      </c>
      <c r="B1015" s="1860"/>
      <c r="C1015" s="1860"/>
      <c r="D1015" s="1860"/>
      <c r="E1015" s="1839"/>
      <c r="F1015" s="1844"/>
      <c r="G1015" s="1797"/>
      <c r="H1015" s="1817"/>
      <c r="I1015" s="1659"/>
      <c r="J1015" s="40" t="s">
        <v>80</v>
      </c>
      <c r="K1015" s="91"/>
      <c r="L1015" s="41">
        <f t="shared" ref="L1015:U1015" si="539">SUM(L1016:L1022)</f>
        <v>19365.399999999998</v>
      </c>
      <c r="M1015" s="41">
        <f t="shared" si="539"/>
        <v>21271.149999999998</v>
      </c>
      <c r="N1015" s="41">
        <f t="shared" si="539"/>
        <v>23176.9</v>
      </c>
      <c r="O1015" s="41">
        <f t="shared" si="539"/>
        <v>25082.650000000005</v>
      </c>
      <c r="P1015" s="41">
        <f t="shared" si="539"/>
        <v>27018.43</v>
      </c>
      <c r="Q1015" s="1475">
        <f t="shared" si="539"/>
        <v>677788.99999999988</v>
      </c>
      <c r="R1015" s="1475">
        <f t="shared" si="539"/>
        <v>744490.25</v>
      </c>
      <c r="S1015" s="1475">
        <f t="shared" si="539"/>
        <v>811191.5</v>
      </c>
      <c r="T1015" s="1475">
        <f t="shared" si="539"/>
        <v>877892.75000000023</v>
      </c>
      <c r="U1015" s="1475">
        <f t="shared" si="539"/>
        <v>945645.04999999993</v>
      </c>
      <c r="V1015" s="1475">
        <f t="shared" si="538"/>
        <v>4057008.55</v>
      </c>
    </row>
    <row r="1016" spans="1:22" s="39" customFormat="1" ht="24" customHeight="1">
      <c r="A1016" s="1860">
        <v>2</v>
      </c>
      <c r="B1016" s="1860"/>
      <c r="C1016" s="1860"/>
      <c r="D1016" s="1860"/>
      <c r="E1016" s="1839"/>
      <c r="F1016" s="1844"/>
      <c r="G1016" s="1797"/>
      <c r="H1016" s="1817"/>
      <c r="I1016" s="1659"/>
      <c r="J1016" s="40" t="s">
        <v>429</v>
      </c>
      <c r="K1016" s="42"/>
      <c r="L1016" s="41">
        <f>'Budget Assumption_Lab Comp2'!K339</f>
        <v>13585.779999999999</v>
      </c>
      <c r="M1016" s="41">
        <f>'Budget Assumption_Lab Comp2'!L339</f>
        <v>14919.804999999998</v>
      </c>
      <c r="N1016" s="41">
        <f>'Budget Assumption_Lab Comp2'!M339</f>
        <v>16253.83</v>
      </c>
      <c r="O1016" s="41">
        <f>'Budget Assumption_Lab Comp2'!N339</f>
        <v>17587.855000000003</v>
      </c>
      <c r="P1016" s="41">
        <f>'Budget Assumption_Lab Comp2'!O339</f>
        <v>18942.900999999998</v>
      </c>
      <c r="Q1016" s="1475">
        <f>L1016*$H1019</f>
        <v>475502.29999999993</v>
      </c>
      <c r="R1016" s="1475">
        <f>M1016*$H1019</f>
        <v>522193.17499999993</v>
      </c>
      <c r="S1016" s="1475">
        <f>N1016*$H1019</f>
        <v>568884.05000000005</v>
      </c>
      <c r="T1016" s="1475">
        <f>O1016*$H1019</f>
        <v>615574.92500000016</v>
      </c>
      <c r="U1016" s="1475">
        <f>P1016*$H1019</f>
        <v>663001.53499999992</v>
      </c>
      <c r="V1016" s="1475">
        <f t="shared" si="538"/>
        <v>2845155.9850000003</v>
      </c>
    </row>
    <row r="1017" spans="1:22" s="39" customFormat="1" ht="24" customHeight="1">
      <c r="A1017" s="1860">
        <v>2</v>
      </c>
      <c r="B1017" s="1860"/>
      <c r="C1017" s="1860"/>
      <c r="D1017" s="1860"/>
      <c r="E1017" s="1839"/>
      <c r="F1017" s="1844"/>
      <c r="G1017" s="1797"/>
      <c r="H1017" s="1817"/>
      <c r="I1017" s="1659"/>
      <c r="J1017" s="40" t="s">
        <v>133</v>
      </c>
      <c r="K1017" s="42"/>
      <c r="L1017" s="41">
        <f>'Budget Assumption_Lab Comp2'!K344</f>
        <v>5779.62</v>
      </c>
      <c r="M1017" s="41">
        <f>'Budget Assumption_Lab Comp2'!L344</f>
        <v>6351.3450000000003</v>
      </c>
      <c r="N1017" s="41">
        <f>'Budget Assumption_Lab Comp2'!M344</f>
        <v>6923.07</v>
      </c>
      <c r="O1017" s="41">
        <f>'Budget Assumption_Lab Comp2'!N344</f>
        <v>7494.795000000001</v>
      </c>
      <c r="P1017" s="41">
        <f>'Budget Assumption_Lab Comp2'!O344</f>
        <v>8075.5290000000005</v>
      </c>
      <c r="Q1017" s="1475">
        <f>L1017*$H1019</f>
        <v>202286.69999999998</v>
      </c>
      <c r="R1017" s="1475">
        <f>M1017*$H1019</f>
        <v>222297.07500000001</v>
      </c>
      <c r="S1017" s="1475">
        <f>N1017*$H1019</f>
        <v>242307.44999999998</v>
      </c>
      <c r="T1017" s="1475">
        <f>O1017*$H1019</f>
        <v>262317.82500000001</v>
      </c>
      <c r="U1017" s="1475">
        <f>P1017*$H1019</f>
        <v>282643.51500000001</v>
      </c>
      <c r="V1017" s="1475">
        <f t="shared" si="538"/>
        <v>1211852.5649999999</v>
      </c>
    </row>
    <row r="1018" spans="1:22" s="39" customFormat="1" ht="24" customHeight="1">
      <c r="A1018" s="1860">
        <v>2</v>
      </c>
      <c r="B1018" s="1860"/>
      <c r="C1018" s="1860"/>
      <c r="D1018" s="1860"/>
      <c r="E1018" s="1839"/>
      <c r="F1018" s="1844"/>
      <c r="G1018" s="1797"/>
      <c r="H1018" s="1817"/>
      <c r="I1018" s="1659"/>
      <c r="J1018" s="40" t="s">
        <v>81</v>
      </c>
      <c r="K1018" s="42"/>
      <c r="L1018" s="41">
        <v>0</v>
      </c>
      <c r="M1018" s="41">
        <v>0</v>
      </c>
      <c r="N1018" s="41">
        <v>0</v>
      </c>
      <c r="O1018" s="41">
        <v>0</v>
      </c>
      <c r="P1018" s="41">
        <v>0</v>
      </c>
      <c r="Q1018" s="1475">
        <f>L1018*$H1019</f>
        <v>0</v>
      </c>
      <c r="R1018" s="1475">
        <f>M1018*$H1019</f>
        <v>0</v>
      </c>
      <c r="S1018" s="1475">
        <f>N1018*$H1019</f>
        <v>0</v>
      </c>
      <c r="T1018" s="1475">
        <f>O1018*$H1019</f>
        <v>0</v>
      </c>
      <c r="U1018" s="1475">
        <f>P1018*$H1019</f>
        <v>0</v>
      </c>
      <c r="V1018" s="1475">
        <f t="shared" si="538"/>
        <v>0</v>
      </c>
    </row>
    <row r="1019" spans="1:22" s="39" customFormat="1" ht="24" customHeight="1">
      <c r="A1019" s="1860">
        <v>2</v>
      </c>
      <c r="B1019" s="1860"/>
      <c r="C1019" s="1860"/>
      <c r="D1019" s="1860"/>
      <c r="E1019" s="1839"/>
      <c r="F1019" s="1844"/>
      <c r="G1019" s="1797"/>
      <c r="H1019" s="1595">
        <v>35</v>
      </c>
      <c r="I1019" s="1659"/>
      <c r="J1019" s="40" t="s">
        <v>134</v>
      </c>
      <c r="K1019" s="42"/>
      <c r="L1019" s="41">
        <v>0</v>
      </c>
      <c r="M1019" s="41">
        <v>0</v>
      </c>
      <c r="N1019" s="41">
        <v>0</v>
      </c>
      <c r="O1019" s="41">
        <f>O978*30%</f>
        <v>0</v>
      </c>
      <c r="P1019" s="41">
        <f>P978*30%</f>
        <v>0</v>
      </c>
      <c r="Q1019" s="1475">
        <f>L1019*$H1019</f>
        <v>0</v>
      </c>
      <c r="R1019" s="1475">
        <f>M1019*$H1019</f>
        <v>0</v>
      </c>
      <c r="S1019" s="1475">
        <f>N1019*$H1019</f>
        <v>0</v>
      </c>
      <c r="T1019" s="1475">
        <f>O1019*$H1019</f>
        <v>0</v>
      </c>
      <c r="U1019" s="1475">
        <f>P1019*$H1019</f>
        <v>0</v>
      </c>
      <c r="V1019" s="1475">
        <f t="shared" si="538"/>
        <v>0</v>
      </c>
    </row>
    <row r="1020" spans="1:22" s="39" customFormat="1" ht="24" customHeight="1">
      <c r="A1020" s="1860">
        <v>2</v>
      </c>
      <c r="B1020" s="1860"/>
      <c r="C1020" s="1860"/>
      <c r="D1020" s="1860"/>
      <c r="E1020" s="1839"/>
      <c r="F1020" s="1844"/>
      <c r="G1020" s="1797"/>
      <c r="H1020" s="1596">
        <f>810*0.05</f>
        <v>40.5</v>
      </c>
      <c r="I1020" s="1659"/>
      <c r="J1020" s="40" t="s">
        <v>82</v>
      </c>
      <c r="K1020" s="42"/>
      <c r="L1020" s="41">
        <v>0</v>
      </c>
      <c r="M1020" s="41">
        <v>0</v>
      </c>
      <c r="N1020" s="41">
        <v>0</v>
      </c>
      <c r="O1020" s="41">
        <v>0</v>
      </c>
      <c r="P1020" s="41">
        <v>0</v>
      </c>
      <c r="Q1020" s="1475">
        <f>L1020*$H1019</f>
        <v>0</v>
      </c>
      <c r="R1020" s="1475">
        <f>M1020*$H1019</f>
        <v>0</v>
      </c>
      <c r="S1020" s="1475">
        <f>N1020*$H1019</f>
        <v>0</v>
      </c>
      <c r="T1020" s="1475">
        <f>O1020*$H1019</f>
        <v>0</v>
      </c>
      <c r="U1020" s="1475">
        <f>P1020*$H1019</f>
        <v>0</v>
      </c>
      <c r="V1020" s="1475">
        <f t="shared" si="538"/>
        <v>0</v>
      </c>
    </row>
    <row r="1021" spans="1:22" s="39" customFormat="1" ht="24" customHeight="1">
      <c r="A1021" s="1860">
        <v>2</v>
      </c>
      <c r="B1021" s="1860"/>
      <c r="C1021" s="1860"/>
      <c r="D1021" s="1860"/>
      <c r="E1021" s="1839"/>
      <c r="F1021" s="1844"/>
      <c r="G1021" s="1797"/>
      <c r="H1021" s="1596"/>
      <c r="I1021" s="1659"/>
      <c r="J1021" s="40" t="s">
        <v>90</v>
      </c>
      <c r="K1021" s="42"/>
      <c r="L1021" s="41">
        <v>0</v>
      </c>
      <c r="M1021" s="41">
        <v>0</v>
      </c>
      <c r="N1021" s="41">
        <v>0</v>
      </c>
      <c r="O1021" s="41">
        <v>0</v>
      </c>
      <c r="P1021" s="41">
        <v>0</v>
      </c>
      <c r="Q1021" s="1475">
        <f>L1021*$H1019</f>
        <v>0</v>
      </c>
      <c r="R1021" s="1475">
        <f>M1021*$H1019</f>
        <v>0</v>
      </c>
      <c r="S1021" s="1475">
        <f>N1021*$H1019</f>
        <v>0</v>
      </c>
      <c r="T1021" s="1475">
        <f>O1021*$H1019</f>
        <v>0</v>
      </c>
      <c r="U1021" s="1475">
        <f>P1021*$H1019</f>
        <v>0</v>
      </c>
      <c r="V1021" s="1475">
        <f t="shared" si="538"/>
        <v>0</v>
      </c>
    </row>
    <row r="1022" spans="1:22" s="39" customFormat="1" ht="24" customHeight="1">
      <c r="A1022" s="1860">
        <v>2</v>
      </c>
      <c r="B1022" s="1860"/>
      <c r="C1022" s="1860"/>
      <c r="D1022" s="1860"/>
      <c r="E1022" s="1839"/>
      <c r="F1022" s="1844"/>
      <c r="G1022" s="1797"/>
      <c r="H1022" s="1596"/>
      <c r="I1022" s="1659"/>
      <c r="J1022" s="40" t="s">
        <v>83</v>
      </c>
      <c r="K1022" s="42"/>
      <c r="L1022" s="41">
        <v>0</v>
      </c>
      <c r="M1022" s="41">
        <v>0</v>
      </c>
      <c r="N1022" s="41">
        <v>0</v>
      </c>
      <c r="O1022" s="41">
        <v>0</v>
      </c>
      <c r="P1022" s="41">
        <v>0</v>
      </c>
      <c r="Q1022" s="1475">
        <f>L1022*$H1019</f>
        <v>0</v>
      </c>
      <c r="R1022" s="1475">
        <f>M1022*$H1019</f>
        <v>0</v>
      </c>
      <c r="S1022" s="1475">
        <f>N1022*$H1019</f>
        <v>0</v>
      </c>
      <c r="T1022" s="1475">
        <f>O1022*$H1019</f>
        <v>0</v>
      </c>
      <c r="U1022" s="1475">
        <f>P1022*$H1019</f>
        <v>0</v>
      </c>
      <c r="V1022" s="1475">
        <f t="shared" si="538"/>
        <v>0</v>
      </c>
    </row>
    <row r="1023" spans="1:22" s="39" customFormat="1" ht="24" customHeight="1" thickBot="1">
      <c r="A1023" s="1860">
        <v>2</v>
      </c>
      <c r="B1023" s="1860"/>
      <c r="C1023" s="1860"/>
      <c r="D1023" s="1860"/>
      <c r="E1023" s="1839"/>
      <c r="F1023" s="1845"/>
      <c r="G1023" s="1798"/>
      <c r="H1023" s="1597"/>
      <c r="I1023" s="1660"/>
      <c r="J1023" s="80" t="s">
        <v>84</v>
      </c>
      <c r="K1023" s="81"/>
      <c r="L1023" s="814">
        <f t="shared" ref="L1023:M1023" si="540">L1014-L1015</f>
        <v>0</v>
      </c>
      <c r="M1023" s="814">
        <f t="shared" si="540"/>
        <v>0</v>
      </c>
      <c r="N1023" s="814">
        <f>N1014-N1015</f>
        <v>0</v>
      </c>
      <c r="O1023" s="814">
        <f t="shared" ref="O1023:P1023" si="541">O1014-O1015</f>
        <v>0</v>
      </c>
      <c r="P1023" s="814">
        <f t="shared" si="541"/>
        <v>0</v>
      </c>
      <c r="Q1023" s="1487">
        <f t="shared" ref="Q1023:U1023" si="542">Q1014-Q1015</f>
        <v>0</v>
      </c>
      <c r="R1023" s="1487">
        <f t="shared" si="542"/>
        <v>0</v>
      </c>
      <c r="S1023" s="1487">
        <f t="shared" si="542"/>
        <v>0</v>
      </c>
      <c r="T1023" s="1487">
        <f t="shared" si="542"/>
        <v>0</v>
      </c>
      <c r="U1023" s="1487">
        <f t="shared" si="542"/>
        <v>0</v>
      </c>
      <c r="V1023" s="1487">
        <f t="shared" si="538"/>
        <v>0</v>
      </c>
    </row>
    <row r="1024" spans="1:22" s="45" customFormat="1" ht="24" customHeight="1">
      <c r="A1024" s="1860">
        <v>2</v>
      </c>
      <c r="B1024" s="1860">
        <v>3</v>
      </c>
      <c r="C1024" s="1860">
        <v>3</v>
      </c>
      <c r="D1024" s="1860">
        <v>5</v>
      </c>
      <c r="E1024" s="1839" t="s">
        <v>136</v>
      </c>
      <c r="F1024" s="1846" t="str">
        <f>CONCATENATE(A1024,".",B1024,".",C1024,".",D1024,)</f>
        <v>2.3.3.5</v>
      </c>
      <c r="G1024" s="1796" t="s">
        <v>1026</v>
      </c>
      <c r="H1024" s="1816" t="s">
        <v>1027</v>
      </c>
      <c r="I1024" s="1658" t="s">
        <v>1017</v>
      </c>
      <c r="J1024" s="262" t="s">
        <v>79</v>
      </c>
      <c r="K1024" s="912"/>
      <c r="L1024" s="912">
        <f>'Budget Assumption_Lab Comp2'!K334</f>
        <v>19365.400000000001</v>
      </c>
      <c r="M1024" s="912">
        <f>'Budget Assumption_Lab Comp2'!L334</f>
        <v>21271.15</v>
      </c>
      <c r="N1024" s="912">
        <f>'Budget Assumption_Lab Comp2'!M334</f>
        <v>23176.9</v>
      </c>
      <c r="O1024" s="912">
        <f>'Budget Assumption_Lab Comp2'!N334</f>
        <v>25082.650000000005</v>
      </c>
      <c r="P1024" s="912">
        <f>'Budget Assumption_Lab Comp2'!O334</f>
        <v>27018.430000000004</v>
      </c>
      <c r="Q1024" s="1484">
        <f>L1024*H1029</f>
        <v>1407219.0666666669</v>
      </c>
      <c r="R1024" s="1484">
        <f>M1024*H1029</f>
        <v>1545703.5666666669</v>
      </c>
      <c r="S1024" s="1484">
        <f>N1024*H1029</f>
        <v>1684188.0666666669</v>
      </c>
      <c r="T1024" s="1484">
        <f>O1024*H1029</f>
        <v>1822672.5666666671</v>
      </c>
      <c r="U1024" s="1484">
        <f>P1024*H1029</f>
        <v>1963339.2466666671</v>
      </c>
      <c r="V1024" s="1484">
        <f t="shared" si="538"/>
        <v>8423122.5133333355</v>
      </c>
    </row>
    <row r="1025" spans="1:22" s="39" customFormat="1" ht="24" customHeight="1">
      <c r="A1025" s="1860">
        <v>2</v>
      </c>
      <c r="B1025" s="1860"/>
      <c r="C1025" s="1860"/>
      <c r="D1025" s="1860"/>
      <c r="E1025" s="1839"/>
      <c r="F1025" s="1844"/>
      <c r="G1025" s="1797"/>
      <c r="H1025" s="1817"/>
      <c r="I1025" s="1659"/>
      <c r="J1025" s="40" t="s">
        <v>80</v>
      </c>
      <c r="K1025" s="91"/>
      <c r="L1025" s="41">
        <f t="shared" ref="L1025:U1025" si="543">SUM(L1026:L1032)</f>
        <v>19365.399999999998</v>
      </c>
      <c r="M1025" s="41">
        <f t="shared" si="543"/>
        <v>21271.149999999998</v>
      </c>
      <c r="N1025" s="41">
        <f t="shared" si="543"/>
        <v>23176.9</v>
      </c>
      <c r="O1025" s="41">
        <f t="shared" si="543"/>
        <v>25082.650000000005</v>
      </c>
      <c r="P1025" s="41">
        <f t="shared" si="543"/>
        <v>27018.43</v>
      </c>
      <c r="Q1025" s="1475">
        <f t="shared" si="543"/>
        <v>1407219.0666666667</v>
      </c>
      <c r="R1025" s="1475">
        <f t="shared" si="543"/>
        <v>1545703.5666666667</v>
      </c>
      <c r="S1025" s="1475">
        <f t="shared" si="543"/>
        <v>1684188.0666666667</v>
      </c>
      <c r="T1025" s="1475">
        <f t="shared" si="543"/>
        <v>1822672.5666666673</v>
      </c>
      <c r="U1025" s="1475">
        <f t="shared" si="543"/>
        <v>1963339.2466666666</v>
      </c>
      <c r="V1025" s="1475">
        <f t="shared" si="538"/>
        <v>8423122.5133333337</v>
      </c>
    </row>
    <row r="1026" spans="1:22" s="39" customFormat="1" ht="24" customHeight="1">
      <c r="A1026" s="1860">
        <v>2</v>
      </c>
      <c r="B1026" s="1860"/>
      <c r="C1026" s="1860"/>
      <c r="D1026" s="1860"/>
      <c r="E1026" s="1839"/>
      <c r="F1026" s="1844"/>
      <c r="G1026" s="1797"/>
      <c r="H1026" s="1817"/>
      <c r="I1026" s="1659"/>
      <c r="J1026" s="40" t="s">
        <v>429</v>
      </c>
      <c r="K1026" s="42"/>
      <c r="L1026" s="41">
        <v>0</v>
      </c>
      <c r="M1026" s="41">
        <v>0</v>
      </c>
      <c r="N1026" s="41">
        <v>0</v>
      </c>
      <c r="O1026" s="41">
        <v>0</v>
      </c>
      <c r="P1026" s="41">
        <v>0</v>
      </c>
      <c r="Q1026" s="1475">
        <f>L1026*$H1029</f>
        <v>0</v>
      </c>
      <c r="R1026" s="1475">
        <f>M1026*$H1029</f>
        <v>0</v>
      </c>
      <c r="S1026" s="1475">
        <f>N1026*$H1029</f>
        <v>0</v>
      </c>
      <c r="T1026" s="1475">
        <f>O1026*$H1029</f>
        <v>0</v>
      </c>
      <c r="U1026" s="1475">
        <f>P1026*$H1029</f>
        <v>0</v>
      </c>
      <c r="V1026" s="1475">
        <f t="shared" si="538"/>
        <v>0</v>
      </c>
    </row>
    <row r="1027" spans="1:22" s="39" customFormat="1" ht="24" customHeight="1">
      <c r="A1027" s="1860">
        <v>2</v>
      </c>
      <c r="B1027" s="1860"/>
      <c r="C1027" s="1860"/>
      <c r="D1027" s="1860"/>
      <c r="E1027" s="1839"/>
      <c r="F1027" s="1844"/>
      <c r="G1027" s="1797"/>
      <c r="H1027" s="1817"/>
      <c r="I1027" s="1659"/>
      <c r="J1027" s="40" t="s">
        <v>133</v>
      </c>
      <c r="K1027" s="42"/>
      <c r="L1027" s="41">
        <f>'Budget Assumption_Lab Comp2'!K344</f>
        <v>5779.62</v>
      </c>
      <c r="M1027" s="41">
        <f>'Budget Assumption_Lab Comp2'!L344</f>
        <v>6351.3450000000003</v>
      </c>
      <c r="N1027" s="41">
        <f>'Budget Assumption_Lab Comp2'!M344</f>
        <v>6923.07</v>
      </c>
      <c r="O1027" s="41">
        <f>'Budget Assumption_Lab Comp2'!N344</f>
        <v>7494.795000000001</v>
      </c>
      <c r="P1027" s="41">
        <f>'Budget Assumption_Lab Comp2'!O344</f>
        <v>8075.5290000000005</v>
      </c>
      <c r="Q1027" s="1475">
        <f>L1027*$H1029</f>
        <v>419985.72000000003</v>
      </c>
      <c r="R1027" s="1475">
        <f>M1027*$H1029</f>
        <v>461531.07000000007</v>
      </c>
      <c r="S1027" s="1475">
        <f>N1027*$H1029</f>
        <v>503076.42</v>
      </c>
      <c r="T1027" s="1475">
        <f>O1027*$H1029</f>
        <v>544621.77000000014</v>
      </c>
      <c r="U1027" s="1475">
        <f>P1027*$H1029</f>
        <v>586821.77400000009</v>
      </c>
      <c r="V1027" s="1475">
        <f t="shared" si="538"/>
        <v>2516036.7540000002</v>
      </c>
    </row>
    <row r="1028" spans="1:22" s="39" customFormat="1" ht="24" customHeight="1">
      <c r="A1028" s="1860">
        <v>2</v>
      </c>
      <c r="B1028" s="1860"/>
      <c r="C1028" s="1860"/>
      <c r="D1028" s="1860"/>
      <c r="E1028" s="1839"/>
      <c r="F1028" s="1844"/>
      <c r="G1028" s="1797"/>
      <c r="H1028" s="1817"/>
      <c r="I1028" s="1659"/>
      <c r="J1028" s="40" t="s">
        <v>81</v>
      </c>
      <c r="K1028" s="42"/>
      <c r="L1028" s="41">
        <v>0</v>
      </c>
      <c r="M1028" s="41">
        <v>0</v>
      </c>
      <c r="N1028" s="41">
        <v>0</v>
      </c>
      <c r="O1028" s="41">
        <v>0</v>
      </c>
      <c r="P1028" s="41">
        <v>0</v>
      </c>
      <c r="Q1028" s="1475">
        <f>L1028*$H1029</f>
        <v>0</v>
      </c>
      <c r="R1028" s="1475">
        <f>M1028*$H1029</f>
        <v>0</v>
      </c>
      <c r="S1028" s="1475">
        <f>N1028*$H1029</f>
        <v>0</v>
      </c>
      <c r="T1028" s="1475">
        <f>O1028*$H1029</f>
        <v>0</v>
      </c>
      <c r="U1028" s="1475">
        <f>P1028*$H1029</f>
        <v>0</v>
      </c>
      <c r="V1028" s="1475">
        <f t="shared" si="538"/>
        <v>0</v>
      </c>
    </row>
    <row r="1029" spans="1:22" s="39" customFormat="1" ht="24" customHeight="1">
      <c r="A1029" s="1860">
        <v>2</v>
      </c>
      <c r="B1029" s="1860"/>
      <c r="C1029" s="1860"/>
      <c r="D1029" s="1860"/>
      <c r="E1029" s="1839"/>
      <c r="F1029" s="1844"/>
      <c r="G1029" s="1797"/>
      <c r="H1029" s="1595">
        <f>'Budget Assumption_Lab Comp2'!R334</f>
        <v>72.666666666666671</v>
      </c>
      <c r="I1029" s="1659"/>
      <c r="J1029" s="40" t="s">
        <v>134</v>
      </c>
      <c r="K1029" s="42"/>
      <c r="L1029" s="41">
        <f>'Budget Assumption_Lab Comp2'!K339</f>
        <v>13585.779999999999</v>
      </c>
      <c r="M1029" s="41">
        <f>'Budget Assumption_Lab Comp2'!L339</f>
        <v>14919.804999999998</v>
      </c>
      <c r="N1029" s="41">
        <f>'Budget Assumption_Lab Comp2'!M339</f>
        <v>16253.83</v>
      </c>
      <c r="O1029" s="41">
        <f>'Budget Assumption_Lab Comp2'!N339</f>
        <v>17587.855000000003</v>
      </c>
      <c r="P1029" s="41">
        <f>'Budget Assumption_Lab Comp2'!O339</f>
        <v>18942.900999999998</v>
      </c>
      <c r="Q1029" s="1475">
        <f>L1029*$H1029</f>
        <v>987233.34666666668</v>
      </c>
      <c r="R1029" s="1475">
        <f>M1029*$H1029</f>
        <v>1084172.4966666666</v>
      </c>
      <c r="S1029" s="1475">
        <f>N1029*$H1029</f>
        <v>1181111.6466666667</v>
      </c>
      <c r="T1029" s="1475">
        <f>O1029*$H1029</f>
        <v>1278050.7966666671</v>
      </c>
      <c r="U1029" s="1475">
        <f>P1029*$H1029</f>
        <v>1376517.4726666666</v>
      </c>
      <c r="V1029" s="1475">
        <f t="shared" si="538"/>
        <v>5907085.7593333339</v>
      </c>
    </row>
    <row r="1030" spans="1:22" s="39" customFormat="1" ht="24" customHeight="1">
      <c r="A1030" s="1860">
        <v>2</v>
      </c>
      <c r="B1030" s="1860"/>
      <c r="C1030" s="1860"/>
      <c r="D1030" s="1860"/>
      <c r="E1030" s="1839"/>
      <c r="F1030" s="1844"/>
      <c r="G1030" s="1797"/>
      <c r="H1030" s="1596">
        <f>810*0.05</f>
        <v>40.5</v>
      </c>
      <c r="I1030" s="1659"/>
      <c r="J1030" s="40" t="s">
        <v>82</v>
      </c>
      <c r="K1030" s="42"/>
      <c r="L1030" s="41">
        <v>0</v>
      </c>
      <c r="M1030" s="41">
        <v>0</v>
      </c>
      <c r="N1030" s="41">
        <v>0</v>
      </c>
      <c r="O1030" s="41">
        <v>0</v>
      </c>
      <c r="P1030" s="41">
        <v>0</v>
      </c>
      <c r="Q1030" s="1475">
        <f>L1030*$H1029</f>
        <v>0</v>
      </c>
      <c r="R1030" s="1475">
        <f>M1030*$H1029</f>
        <v>0</v>
      </c>
      <c r="S1030" s="1475">
        <f>N1030*$H1029</f>
        <v>0</v>
      </c>
      <c r="T1030" s="1475">
        <f>O1030*$H1029</f>
        <v>0</v>
      </c>
      <c r="U1030" s="1475">
        <f>P1030*$H1029</f>
        <v>0</v>
      </c>
      <c r="V1030" s="1475">
        <f t="shared" si="538"/>
        <v>0</v>
      </c>
    </row>
    <row r="1031" spans="1:22" s="39" customFormat="1" ht="24" customHeight="1">
      <c r="A1031" s="1860">
        <v>2</v>
      </c>
      <c r="B1031" s="1860"/>
      <c r="C1031" s="1860"/>
      <c r="D1031" s="1860"/>
      <c r="E1031" s="1839"/>
      <c r="F1031" s="1844"/>
      <c r="G1031" s="1797"/>
      <c r="H1031" s="1596"/>
      <c r="I1031" s="1659"/>
      <c r="J1031" s="40" t="s">
        <v>90</v>
      </c>
      <c r="K1031" s="42"/>
      <c r="L1031" s="41">
        <v>0</v>
      </c>
      <c r="M1031" s="41">
        <v>0</v>
      </c>
      <c r="N1031" s="41">
        <v>0</v>
      </c>
      <c r="O1031" s="41">
        <v>0</v>
      </c>
      <c r="P1031" s="41">
        <v>0</v>
      </c>
      <c r="Q1031" s="1475">
        <f>L1031*$H1029</f>
        <v>0</v>
      </c>
      <c r="R1031" s="1475">
        <f>M1031*$H1029</f>
        <v>0</v>
      </c>
      <c r="S1031" s="1475">
        <f>N1031*$H1029</f>
        <v>0</v>
      </c>
      <c r="T1031" s="1475">
        <f>O1031*$H1029</f>
        <v>0</v>
      </c>
      <c r="U1031" s="1475">
        <f>P1031*$H1029</f>
        <v>0</v>
      </c>
      <c r="V1031" s="1475">
        <f t="shared" si="538"/>
        <v>0</v>
      </c>
    </row>
    <row r="1032" spans="1:22" s="39" customFormat="1" ht="24" customHeight="1">
      <c r="A1032" s="1860">
        <v>2</v>
      </c>
      <c r="B1032" s="1860"/>
      <c r="C1032" s="1860"/>
      <c r="D1032" s="1860"/>
      <c r="E1032" s="1839"/>
      <c r="F1032" s="1844"/>
      <c r="G1032" s="1797"/>
      <c r="H1032" s="1596"/>
      <c r="I1032" s="1659"/>
      <c r="J1032" s="40" t="s">
        <v>83</v>
      </c>
      <c r="K1032" s="42"/>
      <c r="L1032" s="41">
        <v>0</v>
      </c>
      <c r="M1032" s="41">
        <v>0</v>
      </c>
      <c r="N1032" s="41">
        <v>0</v>
      </c>
      <c r="O1032" s="41">
        <v>0</v>
      </c>
      <c r="P1032" s="41">
        <v>0</v>
      </c>
      <c r="Q1032" s="1475">
        <f>L1032*$H1029</f>
        <v>0</v>
      </c>
      <c r="R1032" s="1475">
        <f>M1032*$H1029</f>
        <v>0</v>
      </c>
      <c r="S1032" s="1475">
        <f>N1032*$H1029</f>
        <v>0</v>
      </c>
      <c r="T1032" s="1475">
        <f>O1032*$H1029</f>
        <v>0</v>
      </c>
      <c r="U1032" s="1475">
        <f>P1032*$H1029</f>
        <v>0</v>
      </c>
      <c r="V1032" s="1475">
        <f t="shared" si="538"/>
        <v>0</v>
      </c>
    </row>
    <row r="1033" spans="1:22" s="39" customFormat="1" ht="24" customHeight="1" thickBot="1">
      <c r="A1033" s="1860">
        <v>2</v>
      </c>
      <c r="B1033" s="1860"/>
      <c r="C1033" s="1860"/>
      <c r="D1033" s="1860"/>
      <c r="E1033" s="1839"/>
      <c r="F1033" s="1845"/>
      <c r="G1033" s="1798"/>
      <c r="H1033" s="1597"/>
      <c r="I1033" s="1660"/>
      <c r="J1033" s="80" t="s">
        <v>84</v>
      </c>
      <c r="K1033" s="81"/>
      <c r="L1033" s="814">
        <f t="shared" ref="L1033:U1033" si="544">L1024-L1025</f>
        <v>0</v>
      </c>
      <c r="M1033" s="814">
        <f t="shared" si="544"/>
        <v>0</v>
      </c>
      <c r="N1033" s="814">
        <f t="shared" si="544"/>
        <v>0</v>
      </c>
      <c r="O1033" s="814">
        <f t="shared" si="544"/>
        <v>0</v>
      </c>
      <c r="P1033" s="814">
        <f t="shared" si="544"/>
        <v>0</v>
      </c>
      <c r="Q1033" s="1487">
        <f t="shared" si="544"/>
        <v>0</v>
      </c>
      <c r="R1033" s="1487">
        <f t="shared" si="544"/>
        <v>0</v>
      </c>
      <c r="S1033" s="1487">
        <f t="shared" si="544"/>
        <v>0</v>
      </c>
      <c r="T1033" s="1487">
        <f t="shared" si="544"/>
        <v>0</v>
      </c>
      <c r="U1033" s="1487">
        <f t="shared" si="544"/>
        <v>0</v>
      </c>
      <c r="V1033" s="1487">
        <f t="shared" si="538"/>
        <v>0</v>
      </c>
    </row>
    <row r="1034" spans="1:22" s="45" customFormat="1" ht="24" customHeight="1">
      <c r="A1034" s="1957">
        <v>2</v>
      </c>
      <c r="B1034" s="1957">
        <v>3</v>
      </c>
      <c r="C1034" s="1957">
        <v>3</v>
      </c>
      <c r="D1034" s="1957">
        <v>6</v>
      </c>
      <c r="E1034" s="1957" t="s">
        <v>136</v>
      </c>
      <c r="F1034" s="1846" t="str">
        <f>CONCATENATE(A1034,".",B1034,".",C1034,".",D1034,)</f>
        <v>2.3.3.6</v>
      </c>
      <c r="G1034" s="1805" t="s">
        <v>1075</v>
      </c>
      <c r="H1034" s="1679" t="s">
        <v>1016</v>
      </c>
      <c r="I1034" s="1658" t="s">
        <v>1017</v>
      </c>
      <c r="J1034" s="262" t="s">
        <v>79</v>
      </c>
      <c r="K1034" s="912"/>
      <c r="L1034" s="912">
        <v>0</v>
      </c>
      <c r="M1034" s="912">
        <v>1</v>
      </c>
      <c r="N1034" s="912">
        <v>0</v>
      </c>
      <c r="O1034" s="912">
        <v>0</v>
      </c>
      <c r="P1034" s="912">
        <v>0</v>
      </c>
      <c r="Q1034" s="1525">
        <f>L1034*H1039</f>
        <v>0</v>
      </c>
      <c r="R1034" s="1525">
        <f>M1034*H1039</f>
        <v>7552975</v>
      </c>
      <c r="S1034" s="1525">
        <f>N1034*H1039</f>
        <v>0</v>
      </c>
      <c r="T1034" s="1525">
        <f>O1034*H1039</f>
        <v>0</v>
      </c>
      <c r="U1034" s="1525">
        <f>P1034*H1039</f>
        <v>0</v>
      </c>
      <c r="V1034" s="1525">
        <f t="shared" si="535"/>
        <v>7552975</v>
      </c>
    </row>
    <row r="1035" spans="1:22" s="39" customFormat="1" ht="24" customHeight="1">
      <c r="A1035" s="1957">
        <v>2</v>
      </c>
      <c r="B1035" s="1957"/>
      <c r="C1035" s="1957"/>
      <c r="D1035" s="1957"/>
      <c r="E1035" s="1957"/>
      <c r="F1035" s="1844"/>
      <c r="G1035" s="1806"/>
      <c r="H1035" s="1601"/>
      <c r="I1035" s="1659"/>
      <c r="J1035" s="36" t="s">
        <v>80</v>
      </c>
      <c r="K1035" s="975"/>
      <c r="L1035" s="37">
        <f t="shared" ref="L1035:U1035" si="545">SUM(L1036:L1042)</f>
        <v>0</v>
      </c>
      <c r="M1035" s="37">
        <f t="shared" si="545"/>
        <v>0</v>
      </c>
      <c r="N1035" s="37">
        <f t="shared" si="545"/>
        <v>0</v>
      </c>
      <c r="O1035" s="37">
        <f t="shared" si="545"/>
        <v>0</v>
      </c>
      <c r="P1035" s="37">
        <f t="shared" si="545"/>
        <v>0</v>
      </c>
      <c r="Q1035" s="1479">
        <f t="shared" si="545"/>
        <v>0</v>
      </c>
      <c r="R1035" s="1479">
        <f t="shared" si="545"/>
        <v>0</v>
      </c>
      <c r="S1035" s="1479">
        <f t="shared" si="545"/>
        <v>0</v>
      </c>
      <c r="T1035" s="1479">
        <f t="shared" si="545"/>
        <v>0</v>
      </c>
      <c r="U1035" s="1479">
        <f t="shared" si="545"/>
        <v>0</v>
      </c>
      <c r="V1035" s="1479">
        <f t="shared" si="535"/>
        <v>0</v>
      </c>
    </row>
    <row r="1036" spans="1:22" s="39" customFormat="1" ht="24" customHeight="1">
      <c r="A1036" s="1957">
        <v>2</v>
      </c>
      <c r="B1036" s="1957"/>
      <c r="C1036" s="1957"/>
      <c r="D1036" s="1957"/>
      <c r="E1036" s="1957"/>
      <c r="F1036" s="1844"/>
      <c r="G1036" s="1806"/>
      <c r="H1036" s="1601"/>
      <c r="I1036" s="1659"/>
      <c r="J1036" s="36" t="s">
        <v>429</v>
      </c>
      <c r="K1036" s="817"/>
      <c r="L1036" s="37">
        <v>0</v>
      </c>
      <c r="M1036" s="37">
        <v>0</v>
      </c>
      <c r="N1036" s="37">
        <v>0</v>
      </c>
      <c r="O1036" s="37">
        <v>0</v>
      </c>
      <c r="P1036" s="37">
        <v>0</v>
      </c>
      <c r="Q1036" s="1479">
        <f>L1036*$H1039</f>
        <v>0</v>
      </c>
      <c r="R1036" s="1479">
        <f>M1036*$H1039</f>
        <v>0</v>
      </c>
      <c r="S1036" s="1479">
        <f>N1036*$H1039</f>
        <v>0</v>
      </c>
      <c r="T1036" s="1479">
        <f>O1036*$H1039</f>
        <v>0</v>
      </c>
      <c r="U1036" s="1479">
        <f>P1036*$H1039</f>
        <v>0</v>
      </c>
      <c r="V1036" s="1479">
        <f t="shared" si="535"/>
        <v>0</v>
      </c>
    </row>
    <row r="1037" spans="1:22" s="39" customFormat="1" ht="24" customHeight="1">
      <c r="A1037" s="1957">
        <v>2</v>
      </c>
      <c r="B1037" s="1957"/>
      <c r="C1037" s="1957"/>
      <c r="D1037" s="1957"/>
      <c r="E1037" s="1957"/>
      <c r="F1037" s="1844"/>
      <c r="G1037" s="1806"/>
      <c r="H1037" s="1601"/>
      <c r="I1037" s="1659"/>
      <c r="J1037" s="36" t="s">
        <v>133</v>
      </c>
      <c r="K1037" s="817"/>
      <c r="L1037" s="37">
        <v>0</v>
      </c>
      <c r="M1037" s="37">
        <v>0</v>
      </c>
      <c r="N1037" s="37">
        <v>0</v>
      </c>
      <c r="O1037" s="37">
        <v>0</v>
      </c>
      <c r="P1037" s="37">
        <v>0</v>
      </c>
      <c r="Q1037" s="1479">
        <f>L1037*$H1039</f>
        <v>0</v>
      </c>
      <c r="R1037" s="1479">
        <f>M1037*$H1039</f>
        <v>0</v>
      </c>
      <c r="S1037" s="1479">
        <f>N1037*$H1039</f>
        <v>0</v>
      </c>
      <c r="T1037" s="1479">
        <f>O1037*$H1039</f>
        <v>0</v>
      </c>
      <c r="U1037" s="1479">
        <f>P1037*$H1039</f>
        <v>0</v>
      </c>
      <c r="V1037" s="1479">
        <f t="shared" si="535"/>
        <v>0</v>
      </c>
    </row>
    <row r="1038" spans="1:22" s="39" customFormat="1" ht="24" customHeight="1">
      <c r="A1038" s="1957">
        <v>2</v>
      </c>
      <c r="B1038" s="1957"/>
      <c r="C1038" s="1957"/>
      <c r="D1038" s="1957"/>
      <c r="E1038" s="1957"/>
      <c r="F1038" s="1844"/>
      <c r="G1038" s="1806"/>
      <c r="H1038" s="1601"/>
      <c r="I1038" s="1659"/>
      <c r="J1038" s="36" t="s">
        <v>81</v>
      </c>
      <c r="K1038" s="817"/>
      <c r="L1038" s="37">
        <v>0</v>
      </c>
      <c r="M1038" s="37">
        <v>0</v>
      </c>
      <c r="N1038" s="37">
        <v>0</v>
      </c>
      <c r="O1038" s="37">
        <v>0</v>
      </c>
      <c r="P1038" s="37">
        <v>0</v>
      </c>
      <c r="Q1038" s="1479">
        <f>L1038*$H1039</f>
        <v>0</v>
      </c>
      <c r="R1038" s="1479">
        <f>M1038*$H1039</f>
        <v>0</v>
      </c>
      <c r="S1038" s="1479">
        <f>N1038*$H1039</f>
        <v>0</v>
      </c>
      <c r="T1038" s="1479">
        <f>O1038*$H1039</f>
        <v>0</v>
      </c>
      <c r="U1038" s="1479">
        <f>P1038*$H1039</f>
        <v>0</v>
      </c>
      <c r="V1038" s="1479">
        <f t="shared" si="535"/>
        <v>0</v>
      </c>
    </row>
    <row r="1039" spans="1:22" s="39" customFormat="1" ht="24" customHeight="1">
      <c r="A1039" s="1957">
        <v>2</v>
      </c>
      <c r="B1039" s="1957"/>
      <c r="C1039" s="1957"/>
      <c r="D1039" s="1957"/>
      <c r="E1039" s="1957"/>
      <c r="F1039" s="1844"/>
      <c r="G1039" s="1806"/>
      <c r="H1039" s="1814">
        <f>'Budget Assumption_Lab Comp2'!C385</f>
        <v>7552975</v>
      </c>
      <c r="I1039" s="1659"/>
      <c r="J1039" s="36" t="s">
        <v>134</v>
      </c>
      <c r="K1039" s="817"/>
      <c r="L1039" s="37">
        <v>0</v>
      </c>
      <c r="M1039" s="37">
        <v>0</v>
      </c>
      <c r="N1039" s="37">
        <v>0</v>
      </c>
      <c r="O1039" s="37">
        <f>O1010*30%</f>
        <v>0</v>
      </c>
      <c r="P1039" s="37">
        <f>P1010*30%</f>
        <v>0</v>
      </c>
      <c r="Q1039" s="1479">
        <f>L1039*$H1039</f>
        <v>0</v>
      </c>
      <c r="R1039" s="1479">
        <f>M1039*$H1039</f>
        <v>0</v>
      </c>
      <c r="S1039" s="1479">
        <f>N1039*$H1039</f>
        <v>0</v>
      </c>
      <c r="T1039" s="1479">
        <f>O1039*$H1039</f>
        <v>0</v>
      </c>
      <c r="U1039" s="1479">
        <f>P1039*$H1039</f>
        <v>0</v>
      </c>
      <c r="V1039" s="1479">
        <f t="shared" si="535"/>
        <v>0</v>
      </c>
    </row>
    <row r="1040" spans="1:22" s="39" customFormat="1" ht="24" customHeight="1">
      <c r="A1040" s="1957">
        <v>2</v>
      </c>
      <c r="B1040" s="1957"/>
      <c r="C1040" s="1957"/>
      <c r="D1040" s="1957"/>
      <c r="E1040" s="1957"/>
      <c r="F1040" s="1844"/>
      <c r="G1040" s="1806"/>
      <c r="H1040" s="1814">
        <f>810*0.05</f>
        <v>40.5</v>
      </c>
      <c r="I1040" s="1659"/>
      <c r="J1040" s="36" t="s">
        <v>82</v>
      </c>
      <c r="K1040" s="817"/>
      <c r="L1040" s="37">
        <v>0</v>
      </c>
      <c r="M1040" s="37">
        <v>0</v>
      </c>
      <c r="N1040" s="37">
        <v>0</v>
      </c>
      <c r="O1040" s="37">
        <v>0</v>
      </c>
      <c r="P1040" s="37">
        <v>0</v>
      </c>
      <c r="Q1040" s="1479">
        <f>L1040*$H1039</f>
        <v>0</v>
      </c>
      <c r="R1040" s="1479">
        <f>M1040*$H1039</f>
        <v>0</v>
      </c>
      <c r="S1040" s="1479">
        <f>N1040*$H1039</f>
        <v>0</v>
      </c>
      <c r="T1040" s="1479">
        <f>O1040*$H1039</f>
        <v>0</v>
      </c>
      <c r="U1040" s="1479">
        <f>P1040*$H1039</f>
        <v>0</v>
      </c>
      <c r="V1040" s="1479">
        <f t="shared" si="535"/>
        <v>0</v>
      </c>
    </row>
    <row r="1041" spans="1:22" s="39" customFormat="1" ht="24" customHeight="1">
      <c r="A1041" s="1957">
        <v>2</v>
      </c>
      <c r="B1041" s="1957"/>
      <c r="C1041" s="1957"/>
      <c r="D1041" s="1957"/>
      <c r="E1041" s="1957"/>
      <c r="F1041" s="1844"/>
      <c r="G1041" s="1806"/>
      <c r="H1041" s="1814"/>
      <c r="I1041" s="1659"/>
      <c r="J1041" s="36" t="s">
        <v>90</v>
      </c>
      <c r="K1041" s="817"/>
      <c r="L1041" s="37">
        <v>0</v>
      </c>
      <c r="M1041" s="37">
        <v>0</v>
      </c>
      <c r="N1041" s="37">
        <v>0</v>
      </c>
      <c r="O1041" s="37">
        <v>0</v>
      </c>
      <c r="P1041" s="37">
        <v>0</v>
      </c>
      <c r="Q1041" s="1479">
        <f>L1041*$H1039</f>
        <v>0</v>
      </c>
      <c r="R1041" s="1479">
        <f>M1041*$H1039</f>
        <v>0</v>
      </c>
      <c r="S1041" s="1479">
        <f>N1041*$H1039</f>
        <v>0</v>
      </c>
      <c r="T1041" s="1479">
        <f>O1041*$H1039</f>
        <v>0</v>
      </c>
      <c r="U1041" s="1479">
        <f>P1041*$H1039</f>
        <v>0</v>
      </c>
      <c r="V1041" s="1479">
        <f t="shared" si="535"/>
        <v>0</v>
      </c>
    </row>
    <row r="1042" spans="1:22" s="39" customFormat="1" ht="24" customHeight="1">
      <c r="A1042" s="1957">
        <v>2</v>
      </c>
      <c r="B1042" s="1957"/>
      <c r="C1042" s="1957"/>
      <c r="D1042" s="1957"/>
      <c r="E1042" s="1957"/>
      <c r="F1042" s="1844"/>
      <c r="G1042" s="1806"/>
      <c r="H1042" s="1814"/>
      <c r="I1042" s="1659"/>
      <c r="J1042" s="36" t="s">
        <v>83</v>
      </c>
      <c r="K1042" s="817"/>
      <c r="L1042" s="37">
        <v>0</v>
      </c>
      <c r="M1042" s="37">
        <v>0</v>
      </c>
      <c r="N1042" s="37">
        <v>0</v>
      </c>
      <c r="O1042" s="37">
        <v>0</v>
      </c>
      <c r="P1042" s="37">
        <v>0</v>
      </c>
      <c r="Q1042" s="1479">
        <f>L1042*$H1039</f>
        <v>0</v>
      </c>
      <c r="R1042" s="1479">
        <f>M1042*$H1039</f>
        <v>0</v>
      </c>
      <c r="S1042" s="1479">
        <f>N1042*$H1039</f>
        <v>0</v>
      </c>
      <c r="T1042" s="1479">
        <f>O1042*$H1039</f>
        <v>0</v>
      </c>
      <c r="U1042" s="1479">
        <f>P1042*$H1039</f>
        <v>0</v>
      </c>
      <c r="V1042" s="1479">
        <f t="shared" si="535"/>
        <v>0</v>
      </c>
    </row>
    <row r="1043" spans="1:22" s="39" customFormat="1" ht="24" customHeight="1" thickBot="1">
      <c r="A1043" s="1957">
        <v>2</v>
      </c>
      <c r="B1043" s="1957"/>
      <c r="C1043" s="1957"/>
      <c r="D1043" s="1957"/>
      <c r="E1043" s="1957"/>
      <c r="F1043" s="1845"/>
      <c r="G1043" s="1807"/>
      <c r="H1043" s="1815"/>
      <c r="I1043" s="1660"/>
      <c r="J1043" s="80" t="s">
        <v>84</v>
      </c>
      <c r="K1043" s="81"/>
      <c r="L1043" s="814">
        <f t="shared" ref="L1043:U1043" si="546">L1034-L1035</f>
        <v>0</v>
      </c>
      <c r="M1043" s="814">
        <f t="shared" si="546"/>
        <v>1</v>
      </c>
      <c r="N1043" s="814">
        <f t="shared" si="546"/>
        <v>0</v>
      </c>
      <c r="O1043" s="814">
        <f t="shared" si="546"/>
        <v>0</v>
      </c>
      <c r="P1043" s="814">
        <f t="shared" si="546"/>
        <v>0</v>
      </c>
      <c r="Q1043" s="1487">
        <f t="shared" si="546"/>
        <v>0</v>
      </c>
      <c r="R1043" s="1487">
        <f t="shared" si="546"/>
        <v>7552975</v>
      </c>
      <c r="S1043" s="1487">
        <f t="shared" si="546"/>
        <v>0</v>
      </c>
      <c r="T1043" s="1487">
        <f t="shared" si="546"/>
        <v>0</v>
      </c>
      <c r="U1043" s="1487">
        <f t="shared" si="546"/>
        <v>0</v>
      </c>
      <c r="V1043" s="1487">
        <f t="shared" si="535"/>
        <v>7552975</v>
      </c>
    </row>
    <row r="1044" spans="1:22" s="39" customFormat="1" ht="24" customHeight="1">
      <c r="A1044" s="75">
        <v>2</v>
      </c>
      <c r="B1044" s="75">
        <v>3</v>
      </c>
      <c r="C1044" s="75">
        <v>4</v>
      </c>
      <c r="D1044" s="75"/>
      <c r="E1044" s="74" t="s">
        <v>13</v>
      </c>
      <c r="F1044" s="1466" t="str">
        <f>CONCATENATE(A1044,".",B1044,".",C1044,)</f>
        <v>2.3.4</v>
      </c>
      <c r="G1044" s="1567" t="s">
        <v>197</v>
      </c>
      <c r="H1044" s="1568"/>
      <c r="I1044" s="1568"/>
      <c r="J1044" s="1569"/>
      <c r="K1044" s="976"/>
      <c r="L1044" s="922"/>
      <c r="M1044" s="922"/>
      <c r="N1044" s="922"/>
      <c r="O1044" s="922"/>
      <c r="P1044" s="922"/>
      <c r="Q1044" s="1521">
        <f>Q1046+Q1056+Q1066+Q1076+Q1086+Q1096+Q1106+Q1116+Q1126+Q1136</f>
        <v>24556648.276725028</v>
      </c>
      <c r="R1044" s="1521">
        <f t="shared" ref="R1044:U1044" si="547">R1046+R1056+R1066+R1076+R1086+R1096+R1106+R1116+R1126+R1136</f>
        <v>22450588.048725028</v>
      </c>
      <c r="S1044" s="1521">
        <f t="shared" si="547"/>
        <v>20230633.820725024</v>
      </c>
      <c r="T1044" s="1521">
        <f t="shared" si="547"/>
        <v>18067626.592725027</v>
      </c>
      <c r="U1044" s="1521">
        <f t="shared" si="547"/>
        <v>15906475.764725029</v>
      </c>
      <c r="V1044" s="1521">
        <f t="shared" ref="V1044:V1085" si="548">SUM(Q1044:U1044)</f>
        <v>101211972.50362514</v>
      </c>
    </row>
    <row r="1045" spans="1:22" s="45" customFormat="1" ht="24" customHeight="1">
      <c r="A1045" s="1860">
        <v>2</v>
      </c>
      <c r="B1045" s="1860">
        <v>3</v>
      </c>
      <c r="C1045" s="1860">
        <v>4</v>
      </c>
      <c r="D1045" s="1860">
        <v>1</v>
      </c>
      <c r="E1045" s="1839" t="s">
        <v>49</v>
      </c>
      <c r="F1045" s="1844" t="str">
        <f>CONCATENATE(A1045,".",B1045,".",C1045,".",D1045,)</f>
        <v>2.3.4.1</v>
      </c>
      <c r="G1045" s="1664" t="s">
        <v>29</v>
      </c>
      <c r="H1045" s="1601" t="s">
        <v>368</v>
      </c>
      <c r="I1045" s="1614" t="s">
        <v>363</v>
      </c>
      <c r="J1045" s="36" t="s">
        <v>79</v>
      </c>
      <c r="K1045" s="896"/>
      <c r="L1045" s="383">
        <v>600</v>
      </c>
      <c r="M1045" s="383">
        <v>600</v>
      </c>
      <c r="N1045" s="383">
        <v>600</v>
      </c>
      <c r="O1045" s="383">
        <v>600</v>
      </c>
      <c r="P1045" s="383">
        <v>600</v>
      </c>
      <c r="Q1045" s="1475">
        <f>L1045*H1050</f>
        <v>64800</v>
      </c>
      <c r="R1045" s="1475">
        <f>M1045*H1050</f>
        <v>64800</v>
      </c>
      <c r="S1045" s="1475">
        <f>N1045*H1050</f>
        <v>64800</v>
      </c>
      <c r="T1045" s="1475">
        <f>O1045*H1050</f>
        <v>64800</v>
      </c>
      <c r="U1045" s="1475">
        <f>P1045*H1050</f>
        <v>64800</v>
      </c>
      <c r="V1045" s="1475">
        <f t="shared" si="548"/>
        <v>324000</v>
      </c>
    </row>
    <row r="1046" spans="1:22" s="39" customFormat="1" ht="24" customHeight="1">
      <c r="A1046" s="1860">
        <v>2</v>
      </c>
      <c r="B1046" s="1860"/>
      <c r="C1046" s="1860"/>
      <c r="D1046" s="1860"/>
      <c r="E1046" s="1839"/>
      <c r="F1046" s="1844"/>
      <c r="G1046" s="1665"/>
      <c r="H1046" s="1601"/>
      <c r="I1046" s="1615"/>
      <c r="J1046" s="40" t="s">
        <v>80</v>
      </c>
      <c r="K1046" s="91"/>
      <c r="L1046" s="364">
        <f t="shared" ref="L1046:U1046" si="549">SUM(L1047:L1053)</f>
        <v>600</v>
      </c>
      <c r="M1046" s="364">
        <f t="shared" si="549"/>
        <v>600</v>
      </c>
      <c r="N1046" s="364">
        <f t="shared" si="549"/>
        <v>600</v>
      </c>
      <c r="O1046" s="364">
        <f t="shared" si="549"/>
        <v>600</v>
      </c>
      <c r="P1046" s="364">
        <f t="shared" si="549"/>
        <v>600</v>
      </c>
      <c r="Q1046" s="1475">
        <f t="shared" si="549"/>
        <v>64800</v>
      </c>
      <c r="R1046" s="1475">
        <f t="shared" si="549"/>
        <v>64800</v>
      </c>
      <c r="S1046" s="1475">
        <f t="shared" si="549"/>
        <v>64800</v>
      </c>
      <c r="T1046" s="1475">
        <f t="shared" si="549"/>
        <v>64800</v>
      </c>
      <c r="U1046" s="1475">
        <f t="shared" si="549"/>
        <v>64800</v>
      </c>
      <c r="V1046" s="1475">
        <f t="shared" si="548"/>
        <v>324000</v>
      </c>
    </row>
    <row r="1047" spans="1:22" s="39" customFormat="1" ht="24" customHeight="1">
      <c r="A1047" s="1860">
        <v>2</v>
      </c>
      <c r="B1047" s="1860"/>
      <c r="C1047" s="1860"/>
      <c r="D1047" s="1860"/>
      <c r="E1047" s="1839"/>
      <c r="F1047" s="1844"/>
      <c r="G1047" s="1665"/>
      <c r="H1047" s="1601"/>
      <c r="I1047" s="1615"/>
      <c r="J1047" s="40" t="s">
        <v>429</v>
      </c>
      <c r="K1047" s="91"/>
      <c r="L1047" s="364">
        <f>L1045*0.7</f>
        <v>420</v>
      </c>
      <c r="M1047" s="364">
        <f t="shared" ref="M1047:P1047" si="550">M1045*0.7</f>
        <v>420</v>
      </c>
      <c r="N1047" s="364">
        <f t="shared" si="550"/>
        <v>420</v>
      </c>
      <c r="O1047" s="364">
        <f t="shared" si="550"/>
        <v>420</v>
      </c>
      <c r="P1047" s="364">
        <f t="shared" si="550"/>
        <v>420</v>
      </c>
      <c r="Q1047" s="1475">
        <f>L1047*$H1050</f>
        <v>45360</v>
      </c>
      <c r="R1047" s="1475">
        <f>M1047*$H1050</f>
        <v>45360</v>
      </c>
      <c r="S1047" s="1475">
        <f>N1047*$H1050</f>
        <v>45360</v>
      </c>
      <c r="T1047" s="1475">
        <f>O1047*$H1050</f>
        <v>45360</v>
      </c>
      <c r="U1047" s="1475">
        <f>P1047*$H1050</f>
        <v>45360</v>
      </c>
      <c r="V1047" s="1475">
        <f t="shared" si="548"/>
        <v>226800</v>
      </c>
    </row>
    <row r="1048" spans="1:22" s="39" customFormat="1" ht="24" customHeight="1">
      <c r="A1048" s="1860">
        <v>2</v>
      </c>
      <c r="B1048" s="1860"/>
      <c r="C1048" s="1860"/>
      <c r="D1048" s="1860"/>
      <c r="E1048" s="1839"/>
      <c r="F1048" s="1844"/>
      <c r="G1048" s="1665"/>
      <c r="H1048" s="1601"/>
      <c r="I1048" s="1615"/>
      <c r="J1048" s="40" t="s">
        <v>133</v>
      </c>
      <c r="K1048" s="91"/>
      <c r="L1048" s="364">
        <f>L1045*0.3</f>
        <v>180</v>
      </c>
      <c r="M1048" s="364">
        <f t="shared" ref="M1048:P1048" si="551">M1045*0.3</f>
        <v>180</v>
      </c>
      <c r="N1048" s="364">
        <f t="shared" si="551"/>
        <v>180</v>
      </c>
      <c r="O1048" s="364">
        <f t="shared" si="551"/>
        <v>180</v>
      </c>
      <c r="P1048" s="364">
        <f t="shared" si="551"/>
        <v>180</v>
      </c>
      <c r="Q1048" s="1475">
        <f>L1048*$H1050</f>
        <v>19440</v>
      </c>
      <c r="R1048" s="1475">
        <f>M1048*$H1050</f>
        <v>19440</v>
      </c>
      <c r="S1048" s="1475">
        <f>N1048*$H1050</f>
        <v>19440</v>
      </c>
      <c r="T1048" s="1475">
        <f>O1048*$H1050</f>
        <v>19440</v>
      </c>
      <c r="U1048" s="1475">
        <f>P1048*$H1050</f>
        <v>19440</v>
      </c>
      <c r="V1048" s="1475">
        <f t="shared" si="548"/>
        <v>97200</v>
      </c>
    </row>
    <row r="1049" spans="1:22" s="39" customFormat="1" ht="24" customHeight="1">
      <c r="A1049" s="1860">
        <v>2</v>
      </c>
      <c r="B1049" s="1860"/>
      <c r="C1049" s="1860"/>
      <c r="D1049" s="1860"/>
      <c r="E1049" s="1839"/>
      <c r="F1049" s="1844"/>
      <c r="G1049" s="1665"/>
      <c r="H1049" s="1601"/>
      <c r="I1049" s="1615"/>
      <c r="J1049" s="40" t="s">
        <v>81</v>
      </c>
      <c r="K1049" s="91"/>
      <c r="L1049" s="364">
        <v>0</v>
      </c>
      <c r="M1049" s="364">
        <v>0</v>
      </c>
      <c r="N1049" s="364">
        <v>0</v>
      </c>
      <c r="O1049" s="364">
        <v>0</v>
      </c>
      <c r="P1049" s="364">
        <v>0</v>
      </c>
      <c r="Q1049" s="1475">
        <f>L1049*$H1050</f>
        <v>0</v>
      </c>
      <c r="R1049" s="1475">
        <f>M1049*$H1050</f>
        <v>0</v>
      </c>
      <c r="S1049" s="1475">
        <f>N1049*$H1050</f>
        <v>0</v>
      </c>
      <c r="T1049" s="1475">
        <f>O1049*$H1050</f>
        <v>0</v>
      </c>
      <c r="U1049" s="1475">
        <f>P1049*$H1050</f>
        <v>0</v>
      </c>
      <c r="V1049" s="1475">
        <f t="shared" si="548"/>
        <v>0</v>
      </c>
    </row>
    <row r="1050" spans="1:22" s="39" customFormat="1" ht="24" customHeight="1">
      <c r="A1050" s="1860">
        <v>2</v>
      </c>
      <c r="B1050" s="1860"/>
      <c r="C1050" s="1860"/>
      <c r="D1050" s="1860"/>
      <c r="E1050" s="1839"/>
      <c r="F1050" s="1844"/>
      <c r="G1050" s="1665"/>
      <c r="H1050" s="1595">
        <f>'Budget assumption'!C269</f>
        <v>108</v>
      </c>
      <c r="I1050" s="1615"/>
      <c r="J1050" s="40" t="s">
        <v>134</v>
      </c>
      <c r="K1050" s="91"/>
      <c r="L1050" s="364">
        <v>0</v>
      </c>
      <c r="M1050" s="364">
        <v>0</v>
      </c>
      <c r="N1050" s="364">
        <v>0</v>
      </c>
      <c r="O1050" s="364">
        <v>0</v>
      </c>
      <c r="P1050" s="364">
        <v>0</v>
      </c>
      <c r="Q1050" s="1475">
        <f>L1050*$H1050</f>
        <v>0</v>
      </c>
      <c r="R1050" s="1475">
        <f>M1050*$H1050</f>
        <v>0</v>
      </c>
      <c r="S1050" s="1475">
        <f>N1050*$H1050</f>
        <v>0</v>
      </c>
      <c r="T1050" s="1475">
        <f>O1050*$H1050</f>
        <v>0</v>
      </c>
      <c r="U1050" s="1475">
        <f>P1050*$H1050</f>
        <v>0</v>
      </c>
      <c r="V1050" s="1475">
        <f t="shared" si="548"/>
        <v>0</v>
      </c>
    </row>
    <row r="1051" spans="1:22" s="39" customFormat="1" ht="24" customHeight="1">
      <c r="A1051" s="1860">
        <v>2</v>
      </c>
      <c r="B1051" s="1860"/>
      <c r="C1051" s="1860"/>
      <c r="D1051" s="1860"/>
      <c r="E1051" s="1839"/>
      <c r="F1051" s="1844"/>
      <c r="G1051" s="1665"/>
      <c r="H1051" s="1596">
        <f>810*0.05</f>
        <v>40.5</v>
      </c>
      <c r="I1051" s="1615"/>
      <c r="J1051" s="40" t="s">
        <v>82</v>
      </c>
      <c r="K1051" s="91"/>
      <c r="L1051" s="364">
        <v>0</v>
      </c>
      <c r="M1051" s="364">
        <v>0</v>
      </c>
      <c r="N1051" s="364">
        <v>0</v>
      </c>
      <c r="O1051" s="364">
        <v>0</v>
      </c>
      <c r="P1051" s="364">
        <v>0</v>
      </c>
      <c r="Q1051" s="1475">
        <f>L1051*$H1050</f>
        <v>0</v>
      </c>
      <c r="R1051" s="1475">
        <f>M1051*$H1050</f>
        <v>0</v>
      </c>
      <c r="S1051" s="1475">
        <f>N1051*$H1050</f>
        <v>0</v>
      </c>
      <c r="T1051" s="1475">
        <f>O1051*$H1050</f>
        <v>0</v>
      </c>
      <c r="U1051" s="1475">
        <f>P1051*$H1050</f>
        <v>0</v>
      </c>
      <c r="V1051" s="1475">
        <f t="shared" si="548"/>
        <v>0</v>
      </c>
    </row>
    <row r="1052" spans="1:22" s="39" customFormat="1" ht="24" customHeight="1">
      <c r="A1052" s="1860">
        <v>2</v>
      </c>
      <c r="B1052" s="1860"/>
      <c r="C1052" s="1860"/>
      <c r="D1052" s="1860"/>
      <c r="E1052" s="1839"/>
      <c r="F1052" s="1844"/>
      <c r="G1052" s="1665"/>
      <c r="H1052" s="1596"/>
      <c r="I1052" s="1615"/>
      <c r="J1052" s="40" t="s">
        <v>90</v>
      </c>
      <c r="K1052" s="91"/>
      <c r="L1052" s="364">
        <v>0</v>
      </c>
      <c r="M1052" s="364">
        <v>0</v>
      </c>
      <c r="N1052" s="364">
        <v>0</v>
      </c>
      <c r="O1052" s="364">
        <v>0</v>
      </c>
      <c r="P1052" s="364">
        <v>0</v>
      </c>
      <c r="Q1052" s="1475">
        <f>L1052*$H1050</f>
        <v>0</v>
      </c>
      <c r="R1052" s="1475">
        <f>M1052*$H1050</f>
        <v>0</v>
      </c>
      <c r="S1052" s="1475">
        <f>N1052*$H1050</f>
        <v>0</v>
      </c>
      <c r="T1052" s="1475">
        <f>O1052*$H1050</f>
        <v>0</v>
      </c>
      <c r="U1052" s="1475">
        <f>P1052*$H1050</f>
        <v>0</v>
      </c>
      <c r="V1052" s="1475">
        <f t="shared" si="548"/>
        <v>0</v>
      </c>
    </row>
    <row r="1053" spans="1:22" s="39" customFormat="1" ht="24" customHeight="1">
      <c r="A1053" s="1860">
        <v>2</v>
      </c>
      <c r="B1053" s="1860"/>
      <c r="C1053" s="1860"/>
      <c r="D1053" s="1860"/>
      <c r="E1053" s="1839"/>
      <c r="F1053" s="1844"/>
      <c r="G1053" s="1665"/>
      <c r="H1053" s="1596"/>
      <c r="I1053" s="1615"/>
      <c r="J1053" s="40" t="s">
        <v>83</v>
      </c>
      <c r="K1053" s="91"/>
      <c r="L1053" s="364">
        <v>0</v>
      </c>
      <c r="M1053" s="364">
        <v>0</v>
      </c>
      <c r="N1053" s="364">
        <v>0</v>
      </c>
      <c r="O1053" s="364">
        <v>0</v>
      </c>
      <c r="P1053" s="364">
        <v>0</v>
      </c>
      <c r="Q1053" s="1475">
        <f>L1053*$H1050</f>
        <v>0</v>
      </c>
      <c r="R1053" s="1475">
        <f>M1053*$H1050</f>
        <v>0</v>
      </c>
      <c r="S1053" s="1475">
        <f>N1053*$H1050</f>
        <v>0</v>
      </c>
      <c r="T1053" s="1475">
        <f>O1053*$H1050</f>
        <v>0</v>
      </c>
      <c r="U1053" s="1475">
        <f>P1053*$H1050</f>
        <v>0</v>
      </c>
      <c r="V1053" s="1475">
        <f t="shared" si="548"/>
        <v>0</v>
      </c>
    </row>
    <row r="1054" spans="1:22" s="39" customFormat="1" ht="24" customHeight="1" thickBot="1">
      <c r="A1054" s="1860">
        <v>2</v>
      </c>
      <c r="B1054" s="1860"/>
      <c r="C1054" s="1860"/>
      <c r="D1054" s="1860"/>
      <c r="E1054" s="1839"/>
      <c r="F1054" s="1844"/>
      <c r="G1054" s="1666"/>
      <c r="H1054" s="1618"/>
      <c r="I1054" s="1617"/>
      <c r="J1054" s="40" t="s">
        <v>84</v>
      </c>
      <c r="K1054" s="91"/>
      <c r="L1054" s="364">
        <f>L1045-L1046</f>
        <v>0</v>
      </c>
      <c r="M1054" s="364">
        <f t="shared" ref="M1054:U1054" si="552">M1045-M1046</f>
        <v>0</v>
      </c>
      <c r="N1054" s="364">
        <f t="shared" si="552"/>
        <v>0</v>
      </c>
      <c r="O1054" s="364">
        <f t="shared" si="552"/>
        <v>0</v>
      </c>
      <c r="P1054" s="364">
        <f t="shared" si="552"/>
        <v>0</v>
      </c>
      <c r="Q1054" s="1475">
        <f t="shared" si="552"/>
        <v>0</v>
      </c>
      <c r="R1054" s="1475">
        <f t="shared" si="552"/>
        <v>0</v>
      </c>
      <c r="S1054" s="1475">
        <f t="shared" si="552"/>
        <v>0</v>
      </c>
      <c r="T1054" s="1475">
        <f t="shared" si="552"/>
        <v>0</v>
      </c>
      <c r="U1054" s="1475">
        <f t="shared" si="552"/>
        <v>0</v>
      </c>
      <c r="V1054" s="1475">
        <f t="shared" si="548"/>
        <v>0</v>
      </c>
    </row>
    <row r="1055" spans="1:22" s="45" customFormat="1" ht="24" customHeight="1">
      <c r="A1055" s="1958">
        <v>2</v>
      </c>
      <c r="B1055" s="1873">
        <v>3</v>
      </c>
      <c r="C1055" s="1873">
        <v>4</v>
      </c>
      <c r="D1055" s="1873">
        <v>2</v>
      </c>
      <c r="E1055" s="1861" t="s">
        <v>1417</v>
      </c>
      <c r="F1055" s="1951" t="str">
        <f>CONCATENATE(A1055,".",B1055,".",C1055,".",D1055,)</f>
        <v>2.3.4.2</v>
      </c>
      <c r="G1055" s="1799" t="s">
        <v>326</v>
      </c>
      <c r="H1055" s="1684" t="s">
        <v>146</v>
      </c>
      <c r="I1055" s="1661" t="s">
        <v>1028</v>
      </c>
      <c r="J1055" s="262" t="s">
        <v>79</v>
      </c>
      <c r="K1055" s="912"/>
      <c r="L1055" s="912">
        <f>'Budget Assumption_Lab Comp2'!K412</f>
        <v>200</v>
      </c>
      <c r="M1055" s="912">
        <f>'Budget Assumption_Lab Comp2'!L412</f>
        <v>200</v>
      </c>
      <c r="N1055" s="912">
        <f>'Budget Assumption_Lab Comp2'!M412</f>
        <v>200</v>
      </c>
      <c r="O1055" s="912">
        <f>'Budget Assumption_Lab Comp2'!N412</f>
        <v>200</v>
      </c>
      <c r="P1055" s="912">
        <f>'Budget Assumption_Lab Comp2'!O412</f>
        <v>200</v>
      </c>
      <c r="Q1055" s="1484">
        <f>L1055*H1060</f>
        <v>20000</v>
      </c>
      <c r="R1055" s="1484">
        <f>M1055*H1060</f>
        <v>20000</v>
      </c>
      <c r="S1055" s="1484">
        <f>N1055*H1060</f>
        <v>20000</v>
      </c>
      <c r="T1055" s="1484">
        <f>O1055*H1060</f>
        <v>20000</v>
      </c>
      <c r="U1055" s="1484">
        <f>P1055*H1060</f>
        <v>20000</v>
      </c>
      <c r="V1055" s="1526">
        <f t="shared" ref="V1055:V1064" si="553">SUM(Q1055:U1055)</f>
        <v>100000</v>
      </c>
    </row>
    <row r="1056" spans="1:22" s="39" customFormat="1" ht="24" customHeight="1">
      <c r="A1056" s="1959">
        <v>2</v>
      </c>
      <c r="B1056" s="1860"/>
      <c r="C1056" s="1860"/>
      <c r="D1056" s="1860"/>
      <c r="E1056" s="1839"/>
      <c r="F1056" s="1952"/>
      <c r="G1056" s="1800"/>
      <c r="H1056" s="1685"/>
      <c r="I1056" s="1662"/>
      <c r="J1056" s="40" t="s">
        <v>80</v>
      </c>
      <c r="K1056" s="91"/>
      <c r="L1056" s="41">
        <f t="shared" ref="L1056:P1056" si="554">SUM(L1057:L1063)</f>
        <v>200</v>
      </c>
      <c r="M1056" s="41">
        <f t="shared" si="554"/>
        <v>200</v>
      </c>
      <c r="N1056" s="41">
        <f t="shared" si="554"/>
        <v>200</v>
      </c>
      <c r="O1056" s="41">
        <f t="shared" si="554"/>
        <v>200</v>
      </c>
      <c r="P1056" s="41">
        <f t="shared" si="554"/>
        <v>200</v>
      </c>
      <c r="Q1056" s="1475">
        <f t="shared" ref="Q1056:U1056" si="555">SUM(Q1057:Q1063)</f>
        <v>20000</v>
      </c>
      <c r="R1056" s="1475">
        <f t="shared" si="555"/>
        <v>20000</v>
      </c>
      <c r="S1056" s="1475">
        <f t="shared" si="555"/>
        <v>20000</v>
      </c>
      <c r="T1056" s="1475">
        <f t="shared" si="555"/>
        <v>20000</v>
      </c>
      <c r="U1056" s="1475">
        <f t="shared" si="555"/>
        <v>20000</v>
      </c>
      <c r="V1056" s="1527">
        <f t="shared" si="553"/>
        <v>100000</v>
      </c>
    </row>
    <row r="1057" spans="1:22" s="39" customFormat="1" ht="24" customHeight="1">
      <c r="A1057" s="1959">
        <v>2</v>
      </c>
      <c r="B1057" s="1860"/>
      <c r="C1057" s="1860"/>
      <c r="D1057" s="1860"/>
      <c r="E1057" s="1839"/>
      <c r="F1057" s="1952"/>
      <c r="G1057" s="1800"/>
      <c r="H1057" s="1685"/>
      <c r="I1057" s="1662"/>
      <c r="J1057" s="40" t="s">
        <v>429</v>
      </c>
      <c r="K1057" s="42"/>
      <c r="L1057" s="41">
        <f>'Budget Assumption_Lab Comp2'!K412</f>
        <v>200</v>
      </c>
      <c r="M1057" s="41">
        <f>'Budget Assumption_Lab Comp2'!L412</f>
        <v>200</v>
      </c>
      <c r="N1057" s="41">
        <f>'Budget Assumption_Lab Comp2'!M412</f>
        <v>200</v>
      </c>
      <c r="O1057" s="41">
        <f>'Budget Assumption_Lab Comp2'!N412</f>
        <v>200</v>
      </c>
      <c r="P1057" s="41">
        <f>'Budget Assumption_Lab Comp2'!O412</f>
        <v>200</v>
      </c>
      <c r="Q1057" s="1475">
        <f>L1057*$H1060</f>
        <v>20000</v>
      </c>
      <c r="R1057" s="1475">
        <f>M1057*$H1060</f>
        <v>20000</v>
      </c>
      <c r="S1057" s="1475">
        <f>N1057*$H1060</f>
        <v>20000</v>
      </c>
      <c r="T1057" s="1475">
        <f>O1057*$H1060</f>
        <v>20000</v>
      </c>
      <c r="U1057" s="1475">
        <f>P1057*$H1060</f>
        <v>20000</v>
      </c>
      <c r="V1057" s="1527">
        <f t="shared" si="553"/>
        <v>100000</v>
      </c>
    </row>
    <row r="1058" spans="1:22" s="39" customFormat="1" ht="24" customHeight="1">
      <c r="A1058" s="1959">
        <v>2</v>
      </c>
      <c r="B1058" s="1860"/>
      <c r="C1058" s="1860"/>
      <c r="D1058" s="1860"/>
      <c r="E1058" s="1839"/>
      <c r="F1058" s="1952"/>
      <c r="G1058" s="1800"/>
      <c r="H1058" s="1685"/>
      <c r="I1058" s="1662"/>
      <c r="J1058" s="40" t="s">
        <v>133</v>
      </c>
      <c r="K1058" s="42"/>
      <c r="L1058" s="41">
        <v>0</v>
      </c>
      <c r="M1058" s="41">
        <v>0</v>
      </c>
      <c r="N1058" s="41">
        <v>0</v>
      </c>
      <c r="O1058" s="41">
        <v>0</v>
      </c>
      <c r="P1058" s="41">
        <v>0</v>
      </c>
      <c r="Q1058" s="1475">
        <f>L1058*$H1060</f>
        <v>0</v>
      </c>
      <c r="R1058" s="1475">
        <f>M1058*$H1060</f>
        <v>0</v>
      </c>
      <c r="S1058" s="1475">
        <f>N1058*$H1060</f>
        <v>0</v>
      </c>
      <c r="T1058" s="1475">
        <f>O1058*$H1060</f>
        <v>0</v>
      </c>
      <c r="U1058" s="1475">
        <f>P1058*$H1060</f>
        <v>0</v>
      </c>
      <c r="V1058" s="1527">
        <f t="shared" si="553"/>
        <v>0</v>
      </c>
    </row>
    <row r="1059" spans="1:22" s="39" customFormat="1" ht="24" customHeight="1">
      <c r="A1059" s="1959">
        <v>2</v>
      </c>
      <c r="B1059" s="1860"/>
      <c r="C1059" s="1860"/>
      <c r="D1059" s="1860"/>
      <c r="E1059" s="1839"/>
      <c r="F1059" s="1952"/>
      <c r="G1059" s="1800"/>
      <c r="H1059" s="1685"/>
      <c r="I1059" s="1662"/>
      <c r="J1059" s="40" t="s">
        <v>81</v>
      </c>
      <c r="K1059" s="42"/>
      <c r="L1059" s="41">
        <v>0</v>
      </c>
      <c r="M1059" s="41">
        <v>0</v>
      </c>
      <c r="N1059" s="41">
        <v>0</v>
      </c>
      <c r="O1059" s="41">
        <v>0</v>
      </c>
      <c r="P1059" s="41">
        <v>0</v>
      </c>
      <c r="Q1059" s="1475">
        <f>L1059*$H1060</f>
        <v>0</v>
      </c>
      <c r="R1059" s="1475">
        <f>M1059*$H1060</f>
        <v>0</v>
      </c>
      <c r="S1059" s="1475">
        <f>N1059*$H1060</f>
        <v>0</v>
      </c>
      <c r="T1059" s="1475">
        <f>O1059*$H1060</f>
        <v>0</v>
      </c>
      <c r="U1059" s="1475">
        <f>P1059*$H1060</f>
        <v>0</v>
      </c>
      <c r="V1059" s="1527">
        <f t="shared" si="553"/>
        <v>0</v>
      </c>
    </row>
    <row r="1060" spans="1:22" s="39" customFormat="1" ht="24" customHeight="1">
      <c r="A1060" s="1959">
        <v>2</v>
      </c>
      <c r="B1060" s="1860"/>
      <c r="C1060" s="1860"/>
      <c r="D1060" s="1860"/>
      <c r="E1060" s="1839"/>
      <c r="F1060" s="1952"/>
      <c r="G1060" s="1800"/>
      <c r="H1060" s="1756">
        <f>'Budget Assumption_Lab Comp2'!Q412</f>
        <v>100</v>
      </c>
      <c r="I1060" s="1662"/>
      <c r="J1060" s="40" t="s">
        <v>134</v>
      </c>
      <c r="K1060" s="42"/>
      <c r="L1060" s="41">
        <v>0</v>
      </c>
      <c r="M1060" s="41">
        <v>0</v>
      </c>
      <c r="N1060" s="41">
        <v>0</v>
      </c>
      <c r="O1060" s="41">
        <v>0</v>
      </c>
      <c r="P1060" s="41">
        <v>0</v>
      </c>
      <c r="Q1060" s="1475">
        <f>L1060*$H1060</f>
        <v>0</v>
      </c>
      <c r="R1060" s="1475">
        <f>M1060*$H1060</f>
        <v>0</v>
      </c>
      <c r="S1060" s="1475">
        <f>N1060*$H1060</f>
        <v>0</v>
      </c>
      <c r="T1060" s="1475">
        <f>O1060*$H1060</f>
        <v>0</v>
      </c>
      <c r="U1060" s="1475">
        <f>P1060*$H1060</f>
        <v>0</v>
      </c>
      <c r="V1060" s="1527">
        <f t="shared" si="553"/>
        <v>0</v>
      </c>
    </row>
    <row r="1061" spans="1:22" s="39" customFormat="1" ht="24" customHeight="1">
      <c r="A1061" s="1959">
        <v>2</v>
      </c>
      <c r="B1061" s="1860"/>
      <c r="C1061" s="1860"/>
      <c r="D1061" s="1860"/>
      <c r="E1061" s="1839"/>
      <c r="F1061" s="1952"/>
      <c r="G1061" s="1800"/>
      <c r="H1061" s="1757">
        <f>810*0.05</f>
        <v>40.5</v>
      </c>
      <c r="I1061" s="1662"/>
      <c r="J1061" s="40" t="s">
        <v>82</v>
      </c>
      <c r="K1061" s="42"/>
      <c r="L1061" s="41">
        <v>0</v>
      </c>
      <c r="M1061" s="41">
        <v>0</v>
      </c>
      <c r="N1061" s="41">
        <v>0</v>
      </c>
      <c r="O1061" s="41">
        <v>0</v>
      </c>
      <c r="P1061" s="41">
        <v>0</v>
      </c>
      <c r="Q1061" s="1475">
        <f>L1061*$H1060</f>
        <v>0</v>
      </c>
      <c r="R1061" s="1475">
        <f>M1061*$H1060</f>
        <v>0</v>
      </c>
      <c r="S1061" s="1475">
        <f>N1061*$H1060</f>
        <v>0</v>
      </c>
      <c r="T1061" s="1475">
        <f>O1061*$H1060</f>
        <v>0</v>
      </c>
      <c r="U1061" s="1475">
        <f>P1061*$H1060</f>
        <v>0</v>
      </c>
      <c r="V1061" s="1527">
        <f t="shared" si="553"/>
        <v>0</v>
      </c>
    </row>
    <row r="1062" spans="1:22" s="39" customFormat="1" ht="24" customHeight="1">
      <c r="A1062" s="1959">
        <v>2</v>
      </c>
      <c r="B1062" s="1860"/>
      <c r="C1062" s="1860"/>
      <c r="D1062" s="1860"/>
      <c r="E1062" s="1839"/>
      <c r="F1062" s="1952"/>
      <c r="G1062" s="1800"/>
      <c r="H1062" s="1757"/>
      <c r="I1062" s="1662"/>
      <c r="J1062" s="40" t="s">
        <v>90</v>
      </c>
      <c r="K1062" s="42"/>
      <c r="L1062" s="41">
        <v>0</v>
      </c>
      <c r="M1062" s="41">
        <v>0</v>
      </c>
      <c r="N1062" s="41">
        <v>0</v>
      </c>
      <c r="O1062" s="41">
        <v>0</v>
      </c>
      <c r="P1062" s="41">
        <v>0</v>
      </c>
      <c r="Q1062" s="1475">
        <f>L1062*$H1060</f>
        <v>0</v>
      </c>
      <c r="R1062" s="1475">
        <f>M1062*$H1060</f>
        <v>0</v>
      </c>
      <c r="S1062" s="1475">
        <f>N1062*$H1060</f>
        <v>0</v>
      </c>
      <c r="T1062" s="1475">
        <f>O1062*$H1060</f>
        <v>0</v>
      </c>
      <c r="U1062" s="1475">
        <f>P1062*$H1060</f>
        <v>0</v>
      </c>
      <c r="V1062" s="1527">
        <f t="shared" si="553"/>
        <v>0</v>
      </c>
    </row>
    <row r="1063" spans="1:22" s="39" customFormat="1" ht="24" customHeight="1">
      <c r="A1063" s="1959">
        <v>2</v>
      </c>
      <c r="B1063" s="1860"/>
      <c r="C1063" s="1860"/>
      <c r="D1063" s="1860"/>
      <c r="E1063" s="1839"/>
      <c r="F1063" s="1952"/>
      <c r="G1063" s="1800"/>
      <c r="H1063" s="1757"/>
      <c r="I1063" s="1662"/>
      <c r="J1063" s="40" t="s">
        <v>83</v>
      </c>
      <c r="K1063" s="42"/>
      <c r="L1063" s="41">
        <v>0</v>
      </c>
      <c r="M1063" s="41">
        <v>0</v>
      </c>
      <c r="N1063" s="41">
        <v>0</v>
      </c>
      <c r="O1063" s="41">
        <v>0</v>
      </c>
      <c r="P1063" s="41">
        <v>0</v>
      </c>
      <c r="Q1063" s="1475">
        <f>L1063*$H1060</f>
        <v>0</v>
      </c>
      <c r="R1063" s="1475">
        <f>M1063*$H1060</f>
        <v>0</v>
      </c>
      <c r="S1063" s="1475">
        <f>N1063*$H1060</f>
        <v>0</v>
      </c>
      <c r="T1063" s="1475">
        <f>O1063*$H1060</f>
        <v>0</v>
      </c>
      <c r="U1063" s="1475">
        <f>P1063*$H1060</f>
        <v>0</v>
      </c>
      <c r="V1063" s="1527">
        <f t="shared" si="553"/>
        <v>0</v>
      </c>
    </row>
    <row r="1064" spans="1:22" s="39" customFormat="1" ht="24" customHeight="1" thickBot="1">
      <c r="A1064" s="1960">
        <v>2</v>
      </c>
      <c r="B1064" s="1874"/>
      <c r="C1064" s="1874"/>
      <c r="D1064" s="1874"/>
      <c r="E1064" s="1862"/>
      <c r="F1064" s="1953"/>
      <c r="G1064" s="1801"/>
      <c r="H1064" s="1852"/>
      <c r="I1064" s="1663"/>
      <c r="J1064" s="80" t="s">
        <v>84</v>
      </c>
      <c r="K1064" s="81"/>
      <c r="L1064" s="814">
        <f>L1055-L1056</f>
        <v>0</v>
      </c>
      <c r="M1064" s="814">
        <f t="shared" ref="M1064:P1064" si="556">M1055-M1056</f>
        <v>0</v>
      </c>
      <c r="N1064" s="814">
        <f t="shared" si="556"/>
        <v>0</v>
      </c>
      <c r="O1064" s="814">
        <f t="shared" si="556"/>
        <v>0</v>
      </c>
      <c r="P1064" s="814">
        <f t="shared" si="556"/>
        <v>0</v>
      </c>
      <c r="Q1064" s="1487">
        <f t="shared" ref="Q1064:U1064" si="557">Q1055-Q1056</f>
        <v>0</v>
      </c>
      <c r="R1064" s="1487">
        <f t="shared" si="557"/>
        <v>0</v>
      </c>
      <c r="S1064" s="1487">
        <f t="shared" si="557"/>
        <v>0</v>
      </c>
      <c r="T1064" s="1487">
        <f t="shared" si="557"/>
        <v>0</v>
      </c>
      <c r="U1064" s="1487">
        <f t="shared" si="557"/>
        <v>0</v>
      </c>
      <c r="V1064" s="1528">
        <f t="shared" si="553"/>
        <v>0</v>
      </c>
    </row>
    <row r="1065" spans="1:22" s="45" customFormat="1" ht="24" customHeight="1">
      <c r="A1065" s="1860">
        <v>2</v>
      </c>
      <c r="B1065" s="1860">
        <v>3</v>
      </c>
      <c r="C1065" s="1860">
        <v>4</v>
      </c>
      <c r="D1065" s="1860">
        <v>3</v>
      </c>
      <c r="E1065" s="1839" t="s">
        <v>49</v>
      </c>
      <c r="F1065" s="1854" t="str">
        <f>CONCATENATE(A1065,".",B1065,".",C1065,".",D1065,)</f>
        <v>2.3.4.3</v>
      </c>
      <c r="G1065" s="1665" t="s">
        <v>30</v>
      </c>
      <c r="H1065" s="1628" t="s">
        <v>368</v>
      </c>
      <c r="I1065" s="1627" t="s">
        <v>373</v>
      </c>
      <c r="J1065" s="815" t="s">
        <v>79</v>
      </c>
      <c r="K1065" s="898"/>
      <c r="L1065" s="923">
        <v>1030</v>
      </c>
      <c r="M1065" s="923">
        <v>1030</v>
      </c>
      <c r="N1065" s="923">
        <v>1030</v>
      </c>
      <c r="O1065" s="923">
        <v>1030</v>
      </c>
      <c r="P1065" s="923">
        <v>1030</v>
      </c>
      <c r="Q1065" s="1489">
        <f>L1065*H1070</f>
        <v>425933.99672502832</v>
      </c>
      <c r="R1065" s="1489">
        <f>M1065*H1070</f>
        <v>425933.99672502832</v>
      </c>
      <c r="S1065" s="1489">
        <f>N1065*H1070</f>
        <v>425933.99672502832</v>
      </c>
      <c r="T1065" s="1489">
        <f>O1065*H1070</f>
        <v>425933.99672502832</v>
      </c>
      <c r="U1065" s="1489">
        <f>P1065*H1070</f>
        <v>425933.99672502832</v>
      </c>
      <c r="V1065" s="1489">
        <f t="shared" si="548"/>
        <v>2129669.9836251414</v>
      </c>
    </row>
    <row r="1066" spans="1:22" s="39" customFormat="1" ht="24" customHeight="1">
      <c r="A1066" s="1860">
        <v>2</v>
      </c>
      <c r="B1066" s="1860"/>
      <c r="C1066" s="1860"/>
      <c r="D1066" s="1860"/>
      <c r="E1066" s="1839"/>
      <c r="F1066" s="1841"/>
      <c r="G1066" s="1665"/>
      <c r="H1066" s="1601"/>
      <c r="I1066" s="1627"/>
      <c r="J1066" s="40" t="s">
        <v>80</v>
      </c>
      <c r="K1066" s="91"/>
      <c r="L1066" s="364">
        <f t="shared" ref="L1066:U1066" si="558">SUM(L1067:L1073)</f>
        <v>1030</v>
      </c>
      <c r="M1066" s="364">
        <f t="shared" si="558"/>
        <v>1030</v>
      </c>
      <c r="N1066" s="364">
        <f t="shared" si="558"/>
        <v>1030</v>
      </c>
      <c r="O1066" s="364">
        <f t="shared" si="558"/>
        <v>1030</v>
      </c>
      <c r="P1066" s="364">
        <f t="shared" si="558"/>
        <v>1030</v>
      </c>
      <c r="Q1066" s="1475">
        <f t="shared" si="558"/>
        <v>425933.99672502832</v>
      </c>
      <c r="R1066" s="1475">
        <f t="shared" si="558"/>
        <v>425933.99672502832</v>
      </c>
      <c r="S1066" s="1475">
        <f t="shared" si="558"/>
        <v>425933.99672502832</v>
      </c>
      <c r="T1066" s="1475">
        <f t="shared" si="558"/>
        <v>425933.99672502832</v>
      </c>
      <c r="U1066" s="1475">
        <f t="shared" si="558"/>
        <v>425933.99672502832</v>
      </c>
      <c r="V1066" s="1475">
        <f t="shared" si="548"/>
        <v>2129669.9836251414</v>
      </c>
    </row>
    <row r="1067" spans="1:22" s="39" customFormat="1" ht="24" customHeight="1">
      <c r="A1067" s="1860">
        <v>2</v>
      </c>
      <c r="B1067" s="1860"/>
      <c r="C1067" s="1860"/>
      <c r="D1067" s="1860"/>
      <c r="E1067" s="1839"/>
      <c r="F1067" s="1841"/>
      <c r="G1067" s="1665"/>
      <c r="H1067" s="1601"/>
      <c r="I1067" s="1627"/>
      <c r="J1067" s="40" t="s">
        <v>429</v>
      </c>
      <c r="K1067" s="91"/>
      <c r="L1067" s="364">
        <f>L1065*0.7</f>
        <v>721</v>
      </c>
      <c r="M1067" s="364">
        <f t="shared" ref="M1067:P1067" si="559">M1065*0.7</f>
        <v>721</v>
      </c>
      <c r="N1067" s="364">
        <f t="shared" si="559"/>
        <v>721</v>
      </c>
      <c r="O1067" s="364">
        <f t="shared" si="559"/>
        <v>721</v>
      </c>
      <c r="P1067" s="364">
        <f t="shared" si="559"/>
        <v>721</v>
      </c>
      <c r="Q1067" s="1475">
        <f>L1067*$H1070</f>
        <v>298153.79770751984</v>
      </c>
      <c r="R1067" s="1475">
        <f>M1067*$H1070</f>
        <v>298153.79770751984</v>
      </c>
      <c r="S1067" s="1475">
        <f>N1067*$H1070</f>
        <v>298153.79770751984</v>
      </c>
      <c r="T1067" s="1475">
        <f>O1067*$H1070</f>
        <v>298153.79770751984</v>
      </c>
      <c r="U1067" s="1475">
        <f>P1067*$H1070</f>
        <v>298153.79770751984</v>
      </c>
      <c r="V1067" s="1475">
        <f t="shared" si="548"/>
        <v>1490768.9885375993</v>
      </c>
    </row>
    <row r="1068" spans="1:22" s="39" customFormat="1" ht="24" customHeight="1">
      <c r="A1068" s="1860">
        <v>2</v>
      </c>
      <c r="B1068" s="1860"/>
      <c r="C1068" s="1860"/>
      <c r="D1068" s="1860"/>
      <c r="E1068" s="1839"/>
      <c r="F1068" s="1841"/>
      <c r="G1068" s="1665"/>
      <c r="H1068" s="1601"/>
      <c r="I1068" s="1627"/>
      <c r="J1068" s="40" t="s">
        <v>133</v>
      </c>
      <c r="K1068" s="91"/>
      <c r="L1068" s="364">
        <f>L1065*0.3</f>
        <v>309</v>
      </c>
      <c r="M1068" s="364">
        <f t="shared" ref="M1068:P1068" si="560">M1065*0.3</f>
        <v>309</v>
      </c>
      <c r="N1068" s="364">
        <f t="shared" si="560"/>
        <v>309</v>
      </c>
      <c r="O1068" s="364">
        <f t="shared" si="560"/>
        <v>309</v>
      </c>
      <c r="P1068" s="364">
        <f t="shared" si="560"/>
        <v>309</v>
      </c>
      <c r="Q1068" s="1475">
        <f>L1068*$H1070</f>
        <v>127780.19901750849</v>
      </c>
      <c r="R1068" s="1475">
        <f>M1068*$H1070</f>
        <v>127780.19901750849</v>
      </c>
      <c r="S1068" s="1475">
        <f>N1068*$H1070</f>
        <v>127780.19901750849</v>
      </c>
      <c r="T1068" s="1475">
        <f>O1068*$H1070</f>
        <v>127780.19901750849</v>
      </c>
      <c r="U1068" s="1475">
        <f>P1068*$H1070</f>
        <v>127780.19901750849</v>
      </c>
      <c r="V1068" s="1475">
        <f t="shared" si="548"/>
        <v>638900.99508754245</v>
      </c>
    </row>
    <row r="1069" spans="1:22" s="39" customFormat="1" ht="24" customHeight="1">
      <c r="A1069" s="1860">
        <v>2</v>
      </c>
      <c r="B1069" s="1860"/>
      <c r="C1069" s="1860"/>
      <c r="D1069" s="1860"/>
      <c r="E1069" s="1839"/>
      <c r="F1069" s="1841"/>
      <c r="G1069" s="1665"/>
      <c r="H1069" s="1601"/>
      <c r="I1069" s="1627"/>
      <c r="J1069" s="40" t="s">
        <v>81</v>
      </c>
      <c r="K1069" s="91"/>
      <c r="L1069" s="364">
        <v>0</v>
      </c>
      <c r="M1069" s="364">
        <v>0</v>
      </c>
      <c r="N1069" s="364">
        <v>0</v>
      </c>
      <c r="O1069" s="364">
        <v>0</v>
      </c>
      <c r="P1069" s="364">
        <v>0</v>
      </c>
      <c r="Q1069" s="1475">
        <f>L1069*$H1070</f>
        <v>0</v>
      </c>
      <c r="R1069" s="1475">
        <f>M1069*$H1070</f>
        <v>0</v>
      </c>
      <c r="S1069" s="1475">
        <f>N1069*$H1070</f>
        <v>0</v>
      </c>
      <c r="T1069" s="1475">
        <f>O1069*$H1070</f>
        <v>0</v>
      </c>
      <c r="U1069" s="1475">
        <f>P1069*$H1070</f>
        <v>0</v>
      </c>
      <c r="V1069" s="1475">
        <f t="shared" si="548"/>
        <v>0</v>
      </c>
    </row>
    <row r="1070" spans="1:22" s="39" customFormat="1" ht="24" customHeight="1">
      <c r="A1070" s="1860">
        <v>2</v>
      </c>
      <c r="B1070" s="1860"/>
      <c r="C1070" s="1860"/>
      <c r="D1070" s="1860"/>
      <c r="E1070" s="1839"/>
      <c r="F1070" s="1841"/>
      <c r="G1070" s="1665"/>
      <c r="H1070" s="1595">
        <f>'Budget assumption'!E275</f>
        <v>413.52815216022168</v>
      </c>
      <c r="I1070" s="1627"/>
      <c r="J1070" s="40" t="s">
        <v>134</v>
      </c>
      <c r="K1070" s="91"/>
      <c r="L1070" s="364">
        <v>0</v>
      </c>
      <c r="M1070" s="364">
        <v>0</v>
      </c>
      <c r="N1070" s="364">
        <v>0</v>
      </c>
      <c r="O1070" s="364">
        <f>O1051*30%</f>
        <v>0</v>
      </c>
      <c r="P1070" s="364">
        <f>P1051*30%</f>
        <v>0</v>
      </c>
      <c r="Q1070" s="1475">
        <f>L1070*$H1070</f>
        <v>0</v>
      </c>
      <c r="R1070" s="1475">
        <f>M1070*$H1070</f>
        <v>0</v>
      </c>
      <c r="S1070" s="1475">
        <f>N1070*$H1070</f>
        <v>0</v>
      </c>
      <c r="T1070" s="1475">
        <f>O1070*$H1070</f>
        <v>0</v>
      </c>
      <c r="U1070" s="1475">
        <f>P1070*$H1070</f>
        <v>0</v>
      </c>
      <c r="V1070" s="1475">
        <f t="shared" si="548"/>
        <v>0</v>
      </c>
    </row>
    <row r="1071" spans="1:22" s="39" customFormat="1" ht="24" customHeight="1">
      <c r="A1071" s="1860">
        <v>2</v>
      </c>
      <c r="B1071" s="1860"/>
      <c r="C1071" s="1860"/>
      <c r="D1071" s="1860"/>
      <c r="E1071" s="1839"/>
      <c r="F1071" s="1841"/>
      <c r="G1071" s="1665"/>
      <c r="H1071" s="1596">
        <f>810*0.05</f>
        <v>40.5</v>
      </c>
      <c r="I1071" s="1627"/>
      <c r="J1071" s="40" t="s">
        <v>82</v>
      </c>
      <c r="K1071" s="91"/>
      <c r="L1071" s="364">
        <v>0</v>
      </c>
      <c r="M1071" s="364">
        <v>0</v>
      </c>
      <c r="N1071" s="364">
        <v>0</v>
      </c>
      <c r="O1071" s="364">
        <v>0</v>
      </c>
      <c r="P1071" s="364">
        <v>0</v>
      </c>
      <c r="Q1071" s="1475">
        <f>L1071*$H1070</f>
        <v>0</v>
      </c>
      <c r="R1071" s="1475">
        <f>M1071*$H1070</f>
        <v>0</v>
      </c>
      <c r="S1071" s="1475">
        <f>N1071*$H1070</f>
        <v>0</v>
      </c>
      <c r="T1071" s="1475">
        <f>O1071*$H1070</f>
        <v>0</v>
      </c>
      <c r="U1071" s="1475">
        <f>P1071*$H1070</f>
        <v>0</v>
      </c>
      <c r="V1071" s="1475">
        <f t="shared" si="548"/>
        <v>0</v>
      </c>
    </row>
    <row r="1072" spans="1:22" s="39" customFormat="1" ht="24" customHeight="1">
      <c r="A1072" s="1860">
        <v>2</v>
      </c>
      <c r="B1072" s="1860"/>
      <c r="C1072" s="1860"/>
      <c r="D1072" s="1860"/>
      <c r="E1072" s="1839"/>
      <c r="F1072" s="1841"/>
      <c r="G1072" s="1665"/>
      <c r="H1072" s="1596"/>
      <c r="I1072" s="1627"/>
      <c r="J1072" s="40" t="s">
        <v>90</v>
      </c>
      <c r="K1072" s="91"/>
      <c r="L1072" s="364">
        <v>0</v>
      </c>
      <c r="M1072" s="364">
        <v>0</v>
      </c>
      <c r="N1072" s="364">
        <v>0</v>
      </c>
      <c r="O1072" s="364">
        <f>O1053*30%</f>
        <v>0</v>
      </c>
      <c r="P1072" s="364">
        <f>P1053*30%</f>
        <v>0</v>
      </c>
      <c r="Q1072" s="1475">
        <f>L1072*$H1070</f>
        <v>0</v>
      </c>
      <c r="R1072" s="1475">
        <f>M1072*$H1070</f>
        <v>0</v>
      </c>
      <c r="S1072" s="1475">
        <f>N1072*$H1070</f>
        <v>0</v>
      </c>
      <c r="T1072" s="1475">
        <f>O1072*$H1070</f>
        <v>0</v>
      </c>
      <c r="U1072" s="1475">
        <f>P1072*$H1070</f>
        <v>0</v>
      </c>
      <c r="V1072" s="1475">
        <f t="shared" si="548"/>
        <v>0</v>
      </c>
    </row>
    <row r="1073" spans="1:22" s="39" customFormat="1" ht="24" customHeight="1">
      <c r="A1073" s="1860">
        <v>2</v>
      </c>
      <c r="B1073" s="1860"/>
      <c r="C1073" s="1860"/>
      <c r="D1073" s="1860"/>
      <c r="E1073" s="1839"/>
      <c r="F1073" s="1841"/>
      <c r="G1073" s="1665"/>
      <c r="H1073" s="1596"/>
      <c r="I1073" s="1627"/>
      <c r="J1073" s="40" t="s">
        <v>83</v>
      </c>
      <c r="K1073" s="91"/>
      <c r="L1073" s="364">
        <v>0</v>
      </c>
      <c r="M1073" s="364">
        <v>0</v>
      </c>
      <c r="N1073" s="364">
        <v>0</v>
      </c>
      <c r="O1073" s="364">
        <v>0</v>
      </c>
      <c r="P1073" s="364">
        <v>0</v>
      </c>
      <c r="Q1073" s="1475">
        <f>L1073*$H1070</f>
        <v>0</v>
      </c>
      <c r="R1073" s="1475">
        <f>M1073*$H1070</f>
        <v>0</v>
      </c>
      <c r="S1073" s="1475">
        <f>N1073*$H1070</f>
        <v>0</v>
      </c>
      <c r="T1073" s="1475">
        <f>O1073*$H1070</f>
        <v>0</v>
      </c>
      <c r="U1073" s="1475">
        <f>P1073*$H1070</f>
        <v>0</v>
      </c>
      <c r="V1073" s="1475">
        <f t="shared" si="548"/>
        <v>0</v>
      </c>
    </row>
    <row r="1074" spans="1:22" s="39" customFormat="1" ht="24" customHeight="1" thickBot="1">
      <c r="A1074" s="1860">
        <v>2</v>
      </c>
      <c r="B1074" s="1860"/>
      <c r="C1074" s="1860"/>
      <c r="D1074" s="1860"/>
      <c r="E1074" s="1839"/>
      <c r="F1074" s="1863"/>
      <c r="G1074" s="1665"/>
      <c r="H1074" s="1596"/>
      <c r="I1074" s="1627"/>
      <c r="J1074" s="40" t="s">
        <v>84</v>
      </c>
      <c r="K1074" s="91"/>
      <c r="L1074" s="364">
        <f>L1065-L1066</f>
        <v>0</v>
      </c>
      <c r="M1074" s="364">
        <f t="shared" ref="M1074:U1074" si="561">M1065-M1066</f>
        <v>0</v>
      </c>
      <c r="N1074" s="364">
        <f t="shared" si="561"/>
        <v>0</v>
      </c>
      <c r="O1074" s="364">
        <f t="shared" si="561"/>
        <v>0</v>
      </c>
      <c r="P1074" s="364">
        <f t="shared" si="561"/>
        <v>0</v>
      </c>
      <c r="Q1074" s="1475">
        <f t="shared" si="561"/>
        <v>0</v>
      </c>
      <c r="R1074" s="1475">
        <f t="shared" si="561"/>
        <v>0</v>
      </c>
      <c r="S1074" s="1475">
        <f t="shared" si="561"/>
        <v>0</v>
      </c>
      <c r="T1074" s="1475">
        <f t="shared" si="561"/>
        <v>0</v>
      </c>
      <c r="U1074" s="1475">
        <f t="shared" si="561"/>
        <v>0</v>
      </c>
      <c r="V1074" s="1475">
        <f t="shared" si="548"/>
        <v>0</v>
      </c>
    </row>
    <row r="1075" spans="1:22" s="45" customFormat="1" ht="24" customHeight="1">
      <c r="A1075" s="1958">
        <v>2</v>
      </c>
      <c r="B1075" s="1873">
        <v>3</v>
      </c>
      <c r="C1075" s="1873">
        <v>4</v>
      </c>
      <c r="D1075" s="1873">
        <v>4</v>
      </c>
      <c r="E1075" s="1861" t="s">
        <v>49</v>
      </c>
      <c r="F1075" s="1840" t="str">
        <f>CONCATENATE(A1075,".",B1075,".",C1075,".",D1075,)</f>
        <v>2.3.4.4</v>
      </c>
      <c r="G1075" s="1677" t="s">
        <v>377</v>
      </c>
      <c r="H1075" s="1679" t="s">
        <v>368</v>
      </c>
      <c r="I1075" s="1650" t="s">
        <v>378</v>
      </c>
      <c r="J1075" s="262" t="s">
        <v>79</v>
      </c>
      <c r="K1075" s="908"/>
      <c r="L1075" s="914">
        <v>20</v>
      </c>
      <c r="M1075" s="914">
        <v>20</v>
      </c>
      <c r="N1075" s="914">
        <v>20</v>
      </c>
      <c r="O1075" s="914">
        <v>20</v>
      </c>
      <c r="P1075" s="914">
        <v>20</v>
      </c>
      <c r="Q1075" s="1484">
        <f>L1075*H1080</f>
        <v>16789.999999999996</v>
      </c>
      <c r="R1075" s="1484">
        <f>M1075*H1080</f>
        <v>16789.999999999996</v>
      </c>
      <c r="S1075" s="1484">
        <f>N1075*H1080</f>
        <v>16789.999999999996</v>
      </c>
      <c r="T1075" s="1484">
        <f>O1075*H1080</f>
        <v>16789.999999999996</v>
      </c>
      <c r="U1075" s="1484">
        <f>P1075*H1080</f>
        <v>16789.999999999996</v>
      </c>
      <c r="V1075" s="1526">
        <f t="shared" si="548"/>
        <v>83949.999999999985</v>
      </c>
    </row>
    <row r="1076" spans="1:22" s="39" customFormat="1" ht="24" customHeight="1">
      <c r="A1076" s="1959">
        <v>2</v>
      </c>
      <c r="B1076" s="1860"/>
      <c r="C1076" s="1860"/>
      <c r="D1076" s="1860"/>
      <c r="E1076" s="1839"/>
      <c r="F1076" s="1841"/>
      <c r="G1076" s="1665"/>
      <c r="H1076" s="1601"/>
      <c r="I1076" s="1627"/>
      <c r="J1076" s="40" t="s">
        <v>80</v>
      </c>
      <c r="K1076" s="91"/>
      <c r="L1076" s="364">
        <f t="shared" ref="L1076:U1076" si="562">SUM(L1077:L1083)</f>
        <v>20</v>
      </c>
      <c r="M1076" s="364">
        <f t="shared" si="562"/>
        <v>20</v>
      </c>
      <c r="N1076" s="364">
        <f t="shared" si="562"/>
        <v>20</v>
      </c>
      <c r="O1076" s="364">
        <f t="shared" si="562"/>
        <v>20</v>
      </c>
      <c r="P1076" s="364">
        <f t="shared" si="562"/>
        <v>20</v>
      </c>
      <c r="Q1076" s="1475">
        <f t="shared" si="562"/>
        <v>16789.999999999996</v>
      </c>
      <c r="R1076" s="1475">
        <f t="shared" si="562"/>
        <v>16789.999999999996</v>
      </c>
      <c r="S1076" s="1475">
        <f t="shared" si="562"/>
        <v>16789.999999999996</v>
      </c>
      <c r="T1076" s="1475">
        <f t="shared" si="562"/>
        <v>16789.999999999996</v>
      </c>
      <c r="U1076" s="1475">
        <f t="shared" si="562"/>
        <v>16789.999999999996</v>
      </c>
      <c r="V1076" s="1527">
        <f t="shared" si="548"/>
        <v>83949.999999999985</v>
      </c>
    </row>
    <row r="1077" spans="1:22" s="39" customFormat="1" ht="24" customHeight="1">
      <c r="A1077" s="1959">
        <v>2</v>
      </c>
      <c r="B1077" s="1860"/>
      <c r="C1077" s="1860"/>
      <c r="D1077" s="1860"/>
      <c r="E1077" s="1839"/>
      <c r="F1077" s="1841"/>
      <c r="G1077" s="1665"/>
      <c r="H1077" s="1601"/>
      <c r="I1077" s="1627"/>
      <c r="J1077" s="40" t="s">
        <v>429</v>
      </c>
      <c r="K1077" s="91"/>
      <c r="L1077" s="364">
        <f>L1075*0.7</f>
        <v>14</v>
      </c>
      <c r="M1077" s="364">
        <f t="shared" ref="M1077:P1077" si="563">M1075*0.7</f>
        <v>14</v>
      </c>
      <c r="N1077" s="364">
        <f t="shared" si="563"/>
        <v>14</v>
      </c>
      <c r="O1077" s="364">
        <f t="shared" si="563"/>
        <v>14</v>
      </c>
      <c r="P1077" s="364">
        <f t="shared" si="563"/>
        <v>14</v>
      </c>
      <c r="Q1077" s="1475">
        <f>L1077*$H1080</f>
        <v>11752.999999999998</v>
      </c>
      <c r="R1077" s="1475">
        <f>M1077*$H1080</f>
        <v>11752.999999999998</v>
      </c>
      <c r="S1077" s="1475">
        <f>N1077*$H1080</f>
        <v>11752.999999999998</v>
      </c>
      <c r="T1077" s="1475">
        <f>O1077*$H1080</f>
        <v>11752.999999999998</v>
      </c>
      <c r="U1077" s="1475">
        <f>P1077*$H1080</f>
        <v>11752.999999999998</v>
      </c>
      <c r="V1077" s="1527">
        <f t="shared" si="548"/>
        <v>58764.999999999993</v>
      </c>
    </row>
    <row r="1078" spans="1:22" s="39" customFormat="1" ht="24" customHeight="1">
      <c r="A1078" s="1959">
        <v>2</v>
      </c>
      <c r="B1078" s="1860"/>
      <c r="C1078" s="1860"/>
      <c r="D1078" s="1860"/>
      <c r="E1078" s="1839"/>
      <c r="F1078" s="1841"/>
      <c r="G1078" s="1665"/>
      <c r="H1078" s="1601"/>
      <c r="I1078" s="1627"/>
      <c r="J1078" s="40" t="s">
        <v>133</v>
      </c>
      <c r="K1078" s="91"/>
      <c r="L1078" s="364">
        <f>L1075*0.3</f>
        <v>6</v>
      </c>
      <c r="M1078" s="364">
        <f t="shared" ref="M1078:P1078" si="564">M1075*0.3</f>
        <v>6</v>
      </c>
      <c r="N1078" s="364">
        <f t="shared" si="564"/>
        <v>6</v>
      </c>
      <c r="O1078" s="364">
        <f t="shared" si="564"/>
        <v>6</v>
      </c>
      <c r="P1078" s="364">
        <f t="shared" si="564"/>
        <v>6</v>
      </c>
      <c r="Q1078" s="1475">
        <f>L1078*$H1080</f>
        <v>5036.9999999999991</v>
      </c>
      <c r="R1078" s="1475">
        <f>M1078*$H1080</f>
        <v>5036.9999999999991</v>
      </c>
      <c r="S1078" s="1475">
        <f>N1078*$H1080</f>
        <v>5036.9999999999991</v>
      </c>
      <c r="T1078" s="1475">
        <f>O1078*$H1080</f>
        <v>5036.9999999999991</v>
      </c>
      <c r="U1078" s="1475">
        <f>P1078*$H1080</f>
        <v>5036.9999999999991</v>
      </c>
      <c r="V1078" s="1527">
        <f t="shared" si="548"/>
        <v>25184.999999999996</v>
      </c>
    </row>
    <row r="1079" spans="1:22" s="39" customFormat="1" ht="24" customHeight="1">
      <c r="A1079" s="1959">
        <v>2</v>
      </c>
      <c r="B1079" s="1860"/>
      <c r="C1079" s="1860"/>
      <c r="D1079" s="1860"/>
      <c r="E1079" s="1839"/>
      <c r="F1079" s="1841"/>
      <c r="G1079" s="1665"/>
      <c r="H1079" s="1601"/>
      <c r="I1079" s="1627"/>
      <c r="J1079" s="40" t="s">
        <v>81</v>
      </c>
      <c r="K1079" s="91"/>
      <c r="L1079" s="364">
        <v>0</v>
      </c>
      <c r="M1079" s="364">
        <v>0</v>
      </c>
      <c r="N1079" s="364">
        <v>0</v>
      </c>
      <c r="O1079" s="364">
        <v>0</v>
      </c>
      <c r="P1079" s="364">
        <v>0</v>
      </c>
      <c r="Q1079" s="1475">
        <f>L1079*$H1080</f>
        <v>0</v>
      </c>
      <c r="R1079" s="1475">
        <f>M1079*$H1080</f>
        <v>0</v>
      </c>
      <c r="S1079" s="1475">
        <f>N1079*$H1080</f>
        <v>0</v>
      </c>
      <c r="T1079" s="1475">
        <f>O1079*$H1080</f>
        <v>0</v>
      </c>
      <c r="U1079" s="1475">
        <f>P1079*$H1080</f>
        <v>0</v>
      </c>
      <c r="V1079" s="1527">
        <f t="shared" si="548"/>
        <v>0</v>
      </c>
    </row>
    <row r="1080" spans="1:22" s="39" customFormat="1" ht="24" customHeight="1">
      <c r="A1080" s="1959">
        <v>2</v>
      </c>
      <c r="B1080" s="1860"/>
      <c r="C1080" s="1860"/>
      <c r="D1080" s="1860"/>
      <c r="E1080" s="1839"/>
      <c r="F1080" s="1841"/>
      <c r="G1080" s="1665"/>
      <c r="H1080" s="1595">
        <f>'Budget assumption'!$D$279</f>
        <v>839.49999999999989</v>
      </c>
      <c r="I1080" s="1627"/>
      <c r="J1080" s="40" t="s">
        <v>134</v>
      </c>
      <c r="K1080" s="91"/>
      <c r="L1080" s="364">
        <v>0</v>
      </c>
      <c r="M1080" s="364">
        <v>0</v>
      </c>
      <c r="N1080" s="364">
        <v>0</v>
      </c>
      <c r="O1080" s="364">
        <f>O1071*30%</f>
        <v>0</v>
      </c>
      <c r="P1080" s="364">
        <f>P1071*30%</f>
        <v>0</v>
      </c>
      <c r="Q1080" s="1475">
        <f>L1080*$H1080</f>
        <v>0</v>
      </c>
      <c r="R1080" s="1475">
        <f>M1080*$H1080</f>
        <v>0</v>
      </c>
      <c r="S1080" s="1475">
        <f>N1080*$H1080</f>
        <v>0</v>
      </c>
      <c r="T1080" s="1475">
        <f>O1080*$H1080</f>
        <v>0</v>
      </c>
      <c r="U1080" s="1475">
        <f>P1080*$H1080</f>
        <v>0</v>
      </c>
      <c r="V1080" s="1527">
        <f t="shared" si="548"/>
        <v>0</v>
      </c>
    </row>
    <row r="1081" spans="1:22" s="39" customFormat="1" ht="24" customHeight="1">
      <c r="A1081" s="1959">
        <v>2</v>
      </c>
      <c r="B1081" s="1860"/>
      <c r="C1081" s="1860"/>
      <c r="D1081" s="1860"/>
      <c r="E1081" s="1839"/>
      <c r="F1081" s="1841"/>
      <c r="G1081" s="1665"/>
      <c r="H1081" s="1596">
        <f>810*0.05</f>
        <v>40.5</v>
      </c>
      <c r="I1081" s="1627"/>
      <c r="J1081" s="40" t="s">
        <v>82</v>
      </c>
      <c r="K1081" s="91"/>
      <c r="L1081" s="364">
        <v>0</v>
      </c>
      <c r="M1081" s="364">
        <v>0</v>
      </c>
      <c r="N1081" s="364">
        <v>0</v>
      </c>
      <c r="O1081" s="364">
        <v>0</v>
      </c>
      <c r="P1081" s="364">
        <v>0</v>
      </c>
      <c r="Q1081" s="1475">
        <f>L1081*$H1080</f>
        <v>0</v>
      </c>
      <c r="R1081" s="1475">
        <f>M1081*$H1080</f>
        <v>0</v>
      </c>
      <c r="S1081" s="1475">
        <f>N1081*$H1080</f>
        <v>0</v>
      </c>
      <c r="T1081" s="1475">
        <f>O1081*$H1080</f>
        <v>0</v>
      </c>
      <c r="U1081" s="1475">
        <f>P1081*$H1080</f>
        <v>0</v>
      </c>
      <c r="V1081" s="1527">
        <f t="shared" si="548"/>
        <v>0</v>
      </c>
    </row>
    <row r="1082" spans="1:22" s="39" customFormat="1" ht="24" customHeight="1">
      <c r="A1082" s="1959">
        <v>2</v>
      </c>
      <c r="B1082" s="1860"/>
      <c r="C1082" s="1860"/>
      <c r="D1082" s="1860"/>
      <c r="E1082" s="1839"/>
      <c r="F1082" s="1841"/>
      <c r="G1082" s="1665"/>
      <c r="H1082" s="1596"/>
      <c r="I1082" s="1627"/>
      <c r="J1082" s="40" t="s">
        <v>90</v>
      </c>
      <c r="K1082" s="91"/>
      <c r="L1082" s="364">
        <v>0</v>
      </c>
      <c r="M1082" s="364">
        <v>0</v>
      </c>
      <c r="N1082" s="364">
        <v>0</v>
      </c>
      <c r="O1082" s="364">
        <v>0</v>
      </c>
      <c r="P1082" s="364">
        <v>0</v>
      </c>
      <c r="Q1082" s="1475">
        <f>L1082*$H1080</f>
        <v>0</v>
      </c>
      <c r="R1082" s="1475">
        <f>M1082*$H1080</f>
        <v>0</v>
      </c>
      <c r="S1082" s="1475">
        <f>N1082*$H1080</f>
        <v>0</v>
      </c>
      <c r="T1082" s="1475">
        <f>O1082*$H1080</f>
        <v>0</v>
      </c>
      <c r="U1082" s="1475">
        <f>P1082*$H1080</f>
        <v>0</v>
      </c>
      <c r="V1082" s="1527">
        <f t="shared" si="548"/>
        <v>0</v>
      </c>
    </row>
    <row r="1083" spans="1:22" s="39" customFormat="1" ht="24" customHeight="1">
      <c r="A1083" s="1959">
        <v>2</v>
      </c>
      <c r="B1083" s="1860"/>
      <c r="C1083" s="1860"/>
      <c r="D1083" s="1860"/>
      <c r="E1083" s="1839"/>
      <c r="F1083" s="1841"/>
      <c r="G1083" s="1665"/>
      <c r="H1083" s="1596"/>
      <c r="I1083" s="1627"/>
      <c r="J1083" s="40" t="s">
        <v>83</v>
      </c>
      <c r="K1083" s="91"/>
      <c r="L1083" s="364">
        <v>0</v>
      </c>
      <c r="M1083" s="364">
        <v>0</v>
      </c>
      <c r="N1083" s="364">
        <v>0</v>
      </c>
      <c r="O1083" s="364">
        <v>0</v>
      </c>
      <c r="P1083" s="364">
        <v>0</v>
      </c>
      <c r="Q1083" s="1475">
        <f>L1083*$H1080</f>
        <v>0</v>
      </c>
      <c r="R1083" s="1475">
        <f>M1083*$H1080</f>
        <v>0</v>
      </c>
      <c r="S1083" s="1475">
        <f>N1083*$H1080</f>
        <v>0</v>
      </c>
      <c r="T1083" s="1475">
        <f>O1083*$H1080</f>
        <v>0</v>
      </c>
      <c r="U1083" s="1475">
        <f>P1083*$H1080</f>
        <v>0</v>
      </c>
      <c r="V1083" s="1527">
        <f t="shared" si="548"/>
        <v>0</v>
      </c>
    </row>
    <row r="1084" spans="1:22" s="39" customFormat="1" ht="24" customHeight="1" thickBot="1">
      <c r="A1084" s="1960">
        <v>2</v>
      </c>
      <c r="B1084" s="1874"/>
      <c r="C1084" s="1874"/>
      <c r="D1084" s="1874"/>
      <c r="E1084" s="1862"/>
      <c r="F1084" s="1842"/>
      <c r="G1084" s="1678"/>
      <c r="H1084" s="1597"/>
      <c r="I1084" s="1651"/>
      <c r="J1084" s="80" t="s">
        <v>84</v>
      </c>
      <c r="K1084" s="824"/>
      <c r="L1084" s="371">
        <f>L1075-L1076</f>
        <v>0</v>
      </c>
      <c r="M1084" s="371">
        <f t="shared" ref="M1084:U1084" si="565">M1075-M1076</f>
        <v>0</v>
      </c>
      <c r="N1084" s="371">
        <f t="shared" si="565"/>
        <v>0</v>
      </c>
      <c r="O1084" s="371">
        <f t="shared" si="565"/>
        <v>0</v>
      </c>
      <c r="P1084" s="371">
        <f t="shared" si="565"/>
        <v>0</v>
      </c>
      <c r="Q1084" s="1487">
        <f t="shared" si="565"/>
        <v>0</v>
      </c>
      <c r="R1084" s="1487">
        <f t="shared" si="565"/>
        <v>0</v>
      </c>
      <c r="S1084" s="1487">
        <f t="shared" si="565"/>
        <v>0</v>
      </c>
      <c r="T1084" s="1487">
        <f t="shared" si="565"/>
        <v>0</v>
      </c>
      <c r="U1084" s="1487">
        <f t="shared" si="565"/>
        <v>0</v>
      </c>
      <c r="V1084" s="1528">
        <f t="shared" si="548"/>
        <v>0</v>
      </c>
    </row>
    <row r="1085" spans="1:22" s="63" customFormat="1" ht="24" customHeight="1">
      <c r="A1085" s="1958">
        <v>2</v>
      </c>
      <c r="B1085" s="1873">
        <v>3</v>
      </c>
      <c r="C1085" s="1873">
        <v>4</v>
      </c>
      <c r="D1085" s="1873">
        <v>5</v>
      </c>
      <c r="E1085" s="1861" t="s">
        <v>1417</v>
      </c>
      <c r="F1085" s="1951" t="str">
        <f>CONCATENATE(A1085,".",B1085,".",C1085,".",D1085,)</f>
        <v>2.3.4.5</v>
      </c>
      <c r="G1085" s="1799" t="s">
        <v>1416</v>
      </c>
      <c r="H1085" s="1684" t="s">
        <v>146</v>
      </c>
      <c r="I1085" s="1652" t="s">
        <v>379</v>
      </c>
      <c r="J1085" s="262" t="s">
        <v>79</v>
      </c>
      <c r="K1085" s="912"/>
      <c r="L1085" s="912">
        <f>'Budget Assumption_Lab Comp2'!K413</f>
        <v>300</v>
      </c>
      <c r="M1085" s="912">
        <f>'Budget Assumption_Lab Comp2'!L413</f>
        <v>300</v>
      </c>
      <c r="N1085" s="912">
        <f>'Budget Assumption_Lab Comp2'!M413</f>
        <v>300</v>
      </c>
      <c r="O1085" s="912">
        <f>'Budget Assumption_Lab Comp2'!N413</f>
        <v>300</v>
      </c>
      <c r="P1085" s="912">
        <f>'Budget Assumption_Lab Comp2'!O413</f>
        <v>300</v>
      </c>
      <c r="Q1085" s="1484">
        <f>L1085*H1090</f>
        <v>30000</v>
      </c>
      <c r="R1085" s="1484">
        <f>M1085*H1090</f>
        <v>30000</v>
      </c>
      <c r="S1085" s="1484">
        <f>N1085*H1090</f>
        <v>30000</v>
      </c>
      <c r="T1085" s="1484">
        <f>O1085*H1090</f>
        <v>30000</v>
      </c>
      <c r="U1085" s="1484">
        <f>P1085*H1090</f>
        <v>30000</v>
      </c>
      <c r="V1085" s="1526">
        <f t="shared" si="548"/>
        <v>150000</v>
      </c>
    </row>
    <row r="1086" spans="1:22" s="39" customFormat="1" ht="24" customHeight="1">
      <c r="A1086" s="1959">
        <v>2</v>
      </c>
      <c r="B1086" s="1860"/>
      <c r="C1086" s="1860"/>
      <c r="D1086" s="1860"/>
      <c r="E1086" s="1839"/>
      <c r="F1086" s="1952"/>
      <c r="G1086" s="1800"/>
      <c r="H1086" s="1685"/>
      <c r="I1086" s="1653"/>
      <c r="J1086" s="40" t="s">
        <v>80</v>
      </c>
      <c r="K1086" s="91"/>
      <c r="L1086" s="41">
        <f>SUM(L1087:L1093)</f>
        <v>300</v>
      </c>
      <c r="M1086" s="41">
        <f t="shared" ref="M1086:P1086" si="566">SUM(M1087:M1093)</f>
        <v>300</v>
      </c>
      <c r="N1086" s="41">
        <f t="shared" si="566"/>
        <v>300</v>
      </c>
      <c r="O1086" s="41">
        <f t="shared" si="566"/>
        <v>300</v>
      </c>
      <c r="P1086" s="41">
        <f t="shared" si="566"/>
        <v>300</v>
      </c>
      <c r="Q1086" s="1475">
        <f t="shared" ref="Q1086:U1086" si="567">SUM(Q1087:Q1093)</f>
        <v>30000</v>
      </c>
      <c r="R1086" s="1475">
        <f t="shared" si="567"/>
        <v>30000</v>
      </c>
      <c r="S1086" s="1475">
        <f t="shared" si="567"/>
        <v>30000</v>
      </c>
      <c r="T1086" s="1475">
        <f t="shared" si="567"/>
        <v>30000</v>
      </c>
      <c r="U1086" s="1475">
        <f t="shared" si="567"/>
        <v>30000</v>
      </c>
      <c r="V1086" s="1527">
        <f t="shared" ref="V1086:V1104" si="568">SUM(Q1086:U1086)</f>
        <v>150000</v>
      </c>
    </row>
    <row r="1087" spans="1:22" s="39" customFormat="1" ht="24" customHeight="1">
      <c r="A1087" s="1959">
        <v>2</v>
      </c>
      <c r="B1087" s="1860"/>
      <c r="C1087" s="1860"/>
      <c r="D1087" s="1860"/>
      <c r="E1087" s="1839"/>
      <c r="F1087" s="1952"/>
      <c r="G1087" s="1800"/>
      <c r="H1087" s="1685"/>
      <c r="I1087" s="1653"/>
      <c r="J1087" s="40" t="s">
        <v>429</v>
      </c>
      <c r="K1087" s="42"/>
      <c r="L1087" s="41">
        <f>'Budget Assumption_Lab Comp2'!K413</f>
        <v>300</v>
      </c>
      <c r="M1087" s="41">
        <f>'Budget Assumption_Lab Comp2'!L413</f>
        <v>300</v>
      </c>
      <c r="N1087" s="41">
        <f>'Budget Assumption_Lab Comp2'!M413</f>
        <v>300</v>
      </c>
      <c r="O1087" s="41">
        <f>'Budget Assumption_Lab Comp2'!N413</f>
        <v>300</v>
      </c>
      <c r="P1087" s="41">
        <f>'Budget Assumption_Lab Comp2'!O413</f>
        <v>300</v>
      </c>
      <c r="Q1087" s="1475">
        <f>L1087*$H1090</f>
        <v>30000</v>
      </c>
      <c r="R1087" s="1475">
        <f>M1087*$H1090</f>
        <v>30000</v>
      </c>
      <c r="S1087" s="1475">
        <f>N1087*$H1090</f>
        <v>30000</v>
      </c>
      <c r="T1087" s="1475">
        <f>O1087*$H1090</f>
        <v>30000</v>
      </c>
      <c r="U1087" s="1475">
        <f>P1087*$H1090</f>
        <v>30000</v>
      </c>
      <c r="V1087" s="1527">
        <f t="shared" si="568"/>
        <v>150000</v>
      </c>
    </row>
    <row r="1088" spans="1:22" s="39" customFormat="1" ht="24" customHeight="1">
      <c r="A1088" s="1959">
        <v>2</v>
      </c>
      <c r="B1088" s="1860"/>
      <c r="C1088" s="1860"/>
      <c r="D1088" s="1860"/>
      <c r="E1088" s="1839"/>
      <c r="F1088" s="1952"/>
      <c r="G1088" s="1800"/>
      <c r="H1088" s="1685"/>
      <c r="I1088" s="1653"/>
      <c r="J1088" s="40" t="s">
        <v>133</v>
      </c>
      <c r="K1088" s="42"/>
      <c r="L1088" s="41">
        <v>0</v>
      </c>
      <c r="M1088" s="41">
        <v>0</v>
      </c>
      <c r="N1088" s="41">
        <v>0</v>
      </c>
      <c r="O1088" s="41">
        <v>0</v>
      </c>
      <c r="P1088" s="41">
        <v>0</v>
      </c>
      <c r="Q1088" s="1475">
        <f>L1088*$H1090</f>
        <v>0</v>
      </c>
      <c r="R1088" s="1475">
        <f>M1088*$H1090</f>
        <v>0</v>
      </c>
      <c r="S1088" s="1475">
        <f>N1088*$H1090</f>
        <v>0</v>
      </c>
      <c r="T1088" s="1475">
        <f>O1088*$H1090</f>
        <v>0</v>
      </c>
      <c r="U1088" s="1475">
        <f>P1088*$H1090</f>
        <v>0</v>
      </c>
      <c r="V1088" s="1527">
        <f t="shared" si="568"/>
        <v>0</v>
      </c>
    </row>
    <row r="1089" spans="1:22" s="39" customFormat="1" ht="24" customHeight="1">
      <c r="A1089" s="1959">
        <v>2</v>
      </c>
      <c r="B1089" s="1860"/>
      <c r="C1089" s="1860"/>
      <c r="D1089" s="1860"/>
      <c r="E1089" s="1839"/>
      <c r="F1089" s="1952"/>
      <c r="G1089" s="1800"/>
      <c r="H1089" s="1685"/>
      <c r="I1089" s="1653"/>
      <c r="J1089" s="40" t="s">
        <v>81</v>
      </c>
      <c r="K1089" s="42"/>
      <c r="L1089" s="41">
        <v>0</v>
      </c>
      <c r="M1089" s="41">
        <v>0</v>
      </c>
      <c r="N1089" s="41">
        <v>0</v>
      </c>
      <c r="O1089" s="41">
        <v>0</v>
      </c>
      <c r="P1089" s="41">
        <v>0</v>
      </c>
      <c r="Q1089" s="1475">
        <f>L1089*$H1090</f>
        <v>0</v>
      </c>
      <c r="R1089" s="1475">
        <f>M1089*$H1090</f>
        <v>0</v>
      </c>
      <c r="S1089" s="1475">
        <f>N1089*$H1090</f>
        <v>0</v>
      </c>
      <c r="T1089" s="1475">
        <f>O1089*$H1090</f>
        <v>0</v>
      </c>
      <c r="U1089" s="1475">
        <f>P1089*$H1090</f>
        <v>0</v>
      </c>
      <c r="V1089" s="1527">
        <f t="shared" si="568"/>
        <v>0</v>
      </c>
    </row>
    <row r="1090" spans="1:22" s="39" customFormat="1" ht="24" customHeight="1">
      <c r="A1090" s="1959">
        <v>2</v>
      </c>
      <c r="B1090" s="1860"/>
      <c r="C1090" s="1860"/>
      <c r="D1090" s="1860"/>
      <c r="E1090" s="1839"/>
      <c r="F1090" s="1952"/>
      <c r="G1090" s="1800"/>
      <c r="H1090" s="1756">
        <f>'Budget Assumption_Lab Comp2'!Q413</f>
        <v>100</v>
      </c>
      <c r="I1090" s="1653"/>
      <c r="J1090" s="40" t="s">
        <v>134</v>
      </c>
      <c r="K1090" s="42"/>
      <c r="L1090" s="41">
        <v>0</v>
      </c>
      <c r="M1090" s="41">
        <v>0</v>
      </c>
      <c r="N1090" s="41">
        <v>0</v>
      </c>
      <c r="O1090" s="41">
        <f>O1081*30%</f>
        <v>0</v>
      </c>
      <c r="P1090" s="41">
        <f>P1081*30%</f>
        <v>0</v>
      </c>
      <c r="Q1090" s="1475">
        <f>L1090*$H1090</f>
        <v>0</v>
      </c>
      <c r="R1090" s="1475">
        <f>M1090*$H1090</f>
        <v>0</v>
      </c>
      <c r="S1090" s="1475">
        <f>N1090*$H1090</f>
        <v>0</v>
      </c>
      <c r="T1090" s="1475">
        <f>O1090*$H1090</f>
        <v>0</v>
      </c>
      <c r="U1090" s="1475">
        <f>P1090*$H1090</f>
        <v>0</v>
      </c>
      <c r="V1090" s="1527">
        <f t="shared" si="568"/>
        <v>0</v>
      </c>
    </row>
    <row r="1091" spans="1:22" s="39" customFormat="1" ht="24" customHeight="1">
      <c r="A1091" s="1959">
        <v>2</v>
      </c>
      <c r="B1091" s="1860"/>
      <c r="C1091" s="1860"/>
      <c r="D1091" s="1860"/>
      <c r="E1091" s="1839"/>
      <c r="F1091" s="1952"/>
      <c r="G1091" s="1800"/>
      <c r="H1091" s="1757">
        <f>810*0.05</f>
        <v>40.5</v>
      </c>
      <c r="I1091" s="1653"/>
      <c r="J1091" s="40" t="s">
        <v>82</v>
      </c>
      <c r="K1091" s="42"/>
      <c r="L1091" s="41">
        <v>0</v>
      </c>
      <c r="M1091" s="41">
        <v>0</v>
      </c>
      <c r="N1091" s="41">
        <v>0</v>
      </c>
      <c r="O1091" s="41">
        <v>0</v>
      </c>
      <c r="P1091" s="41">
        <v>0</v>
      </c>
      <c r="Q1091" s="1475">
        <f>L1091*$H1090</f>
        <v>0</v>
      </c>
      <c r="R1091" s="1475">
        <f>M1091*$H1090</f>
        <v>0</v>
      </c>
      <c r="S1091" s="1475">
        <f>N1091*$H1090</f>
        <v>0</v>
      </c>
      <c r="T1091" s="1475">
        <f>O1091*$H1090</f>
        <v>0</v>
      </c>
      <c r="U1091" s="1475">
        <f>P1091*$H1090</f>
        <v>0</v>
      </c>
      <c r="V1091" s="1527">
        <f t="shared" si="568"/>
        <v>0</v>
      </c>
    </row>
    <row r="1092" spans="1:22" s="39" customFormat="1" ht="24" customHeight="1">
      <c r="A1092" s="1959">
        <v>2</v>
      </c>
      <c r="B1092" s="1860"/>
      <c r="C1092" s="1860"/>
      <c r="D1092" s="1860"/>
      <c r="E1092" s="1839"/>
      <c r="F1092" s="1952"/>
      <c r="G1092" s="1800"/>
      <c r="H1092" s="1757"/>
      <c r="I1092" s="1653"/>
      <c r="J1092" s="40" t="s">
        <v>90</v>
      </c>
      <c r="K1092" s="42"/>
      <c r="L1092" s="41">
        <v>0</v>
      </c>
      <c r="M1092" s="41">
        <v>0</v>
      </c>
      <c r="N1092" s="41">
        <v>0</v>
      </c>
      <c r="O1092" s="41">
        <v>0</v>
      </c>
      <c r="P1092" s="41">
        <v>0</v>
      </c>
      <c r="Q1092" s="1475">
        <f>L1092*$H1090</f>
        <v>0</v>
      </c>
      <c r="R1092" s="1475">
        <f>M1092*$H1090</f>
        <v>0</v>
      </c>
      <c r="S1092" s="1475">
        <f>N1092*$H1090</f>
        <v>0</v>
      </c>
      <c r="T1092" s="1475">
        <f>O1092*$H1090</f>
        <v>0</v>
      </c>
      <c r="U1092" s="1475">
        <f>P1092*$H1090</f>
        <v>0</v>
      </c>
      <c r="V1092" s="1527">
        <f t="shared" si="568"/>
        <v>0</v>
      </c>
    </row>
    <row r="1093" spans="1:22" s="39" customFormat="1" ht="24" customHeight="1">
      <c r="A1093" s="1959">
        <v>2</v>
      </c>
      <c r="B1093" s="1860"/>
      <c r="C1093" s="1860"/>
      <c r="D1093" s="1860"/>
      <c r="E1093" s="1839"/>
      <c r="F1093" s="1952"/>
      <c r="G1093" s="1800"/>
      <c r="H1093" s="1757"/>
      <c r="I1093" s="1653"/>
      <c r="J1093" s="40" t="s">
        <v>83</v>
      </c>
      <c r="K1093" s="42"/>
      <c r="L1093" s="41">
        <v>0</v>
      </c>
      <c r="M1093" s="41">
        <v>0</v>
      </c>
      <c r="N1093" s="41">
        <v>0</v>
      </c>
      <c r="O1093" s="41">
        <v>0</v>
      </c>
      <c r="P1093" s="41">
        <v>0</v>
      </c>
      <c r="Q1093" s="1475">
        <f>L1093*$H1090</f>
        <v>0</v>
      </c>
      <c r="R1093" s="1475">
        <f>M1093*$H1090</f>
        <v>0</v>
      </c>
      <c r="S1093" s="1475">
        <f>N1093*$H1090</f>
        <v>0</v>
      </c>
      <c r="T1093" s="1475">
        <f>O1093*$H1090</f>
        <v>0</v>
      </c>
      <c r="U1093" s="1475">
        <f>P1093*$H1090</f>
        <v>0</v>
      </c>
      <c r="V1093" s="1527">
        <f t="shared" si="568"/>
        <v>0</v>
      </c>
    </row>
    <row r="1094" spans="1:22" s="39" customFormat="1" ht="24" customHeight="1" thickBot="1">
      <c r="A1094" s="1960">
        <v>2</v>
      </c>
      <c r="B1094" s="1874"/>
      <c r="C1094" s="1874"/>
      <c r="D1094" s="1874"/>
      <c r="E1094" s="1862"/>
      <c r="F1094" s="1953"/>
      <c r="G1094" s="1801"/>
      <c r="H1094" s="1852"/>
      <c r="I1094" s="1654"/>
      <c r="J1094" s="80" t="s">
        <v>84</v>
      </c>
      <c r="K1094" s="81"/>
      <c r="L1094" s="814">
        <f>L1085-L1086</f>
        <v>0</v>
      </c>
      <c r="M1094" s="814">
        <f t="shared" ref="M1094:P1094" si="569">M1085-M1086</f>
        <v>0</v>
      </c>
      <c r="N1094" s="814">
        <f t="shared" si="569"/>
        <v>0</v>
      </c>
      <c r="O1094" s="814">
        <f t="shared" si="569"/>
        <v>0</v>
      </c>
      <c r="P1094" s="814">
        <f t="shared" si="569"/>
        <v>0</v>
      </c>
      <c r="Q1094" s="1487">
        <f t="shared" ref="Q1094:U1094" si="570">Q1085-Q1086</f>
        <v>0</v>
      </c>
      <c r="R1094" s="1487">
        <f t="shared" si="570"/>
        <v>0</v>
      </c>
      <c r="S1094" s="1487">
        <f t="shared" si="570"/>
        <v>0</v>
      </c>
      <c r="T1094" s="1487">
        <f t="shared" si="570"/>
        <v>0</v>
      </c>
      <c r="U1094" s="1487">
        <f t="shared" si="570"/>
        <v>0</v>
      </c>
      <c r="V1094" s="1528">
        <f t="shared" si="568"/>
        <v>0</v>
      </c>
    </row>
    <row r="1095" spans="1:22" s="45" customFormat="1" ht="24" customHeight="1">
      <c r="A1095" s="1860">
        <v>2</v>
      </c>
      <c r="B1095" s="1860">
        <v>3</v>
      </c>
      <c r="C1095" s="1860">
        <v>4</v>
      </c>
      <c r="D1095" s="1860">
        <v>6</v>
      </c>
      <c r="E1095" s="1839" t="s">
        <v>49</v>
      </c>
      <c r="F1095" s="1854" t="str">
        <f>CONCATENATE(A1095,".",B1095,".",C1095,".",D1095,)</f>
        <v>2.3.4.6</v>
      </c>
      <c r="G1095" s="1665" t="s">
        <v>33</v>
      </c>
      <c r="H1095" s="1628" t="s">
        <v>389</v>
      </c>
      <c r="I1095" s="1627" t="s">
        <v>390</v>
      </c>
      <c r="J1095" s="815" t="s">
        <v>79</v>
      </c>
      <c r="K1095" s="898"/>
      <c r="L1095" s="923">
        <v>1</v>
      </c>
      <c r="M1095" s="923">
        <v>0.9</v>
      </c>
      <c r="N1095" s="923">
        <v>0.8</v>
      </c>
      <c r="O1095" s="923">
        <v>0.7</v>
      </c>
      <c r="P1095" s="923">
        <v>0.6</v>
      </c>
      <c r="Q1095" s="1489">
        <f>L1095*H1100</f>
        <v>22808172.280000001</v>
      </c>
      <c r="R1095" s="1489">
        <f>M1095*H1100</f>
        <v>20527355.052000001</v>
      </c>
      <c r="S1095" s="1489">
        <f>N1095*H1100</f>
        <v>18246537.824000001</v>
      </c>
      <c r="T1095" s="1489">
        <f>O1095*H1100</f>
        <v>15965720.595999999</v>
      </c>
      <c r="U1095" s="1489">
        <f>P1095*H1100</f>
        <v>13684903.368000001</v>
      </c>
      <c r="V1095" s="1489">
        <f t="shared" si="568"/>
        <v>91232689.120000005</v>
      </c>
    </row>
    <row r="1096" spans="1:22" s="39" customFormat="1" ht="24" customHeight="1">
      <c r="A1096" s="1860">
        <v>2</v>
      </c>
      <c r="B1096" s="1860"/>
      <c r="C1096" s="1860"/>
      <c r="D1096" s="1860"/>
      <c r="E1096" s="1839"/>
      <c r="F1096" s="1841"/>
      <c r="G1096" s="1665"/>
      <c r="H1096" s="1601"/>
      <c r="I1096" s="1627"/>
      <c r="J1096" s="40" t="s">
        <v>80</v>
      </c>
      <c r="K1096" s="91"/>
      <c r="L1096" s="364">
        <f t="shared" ref="L1096:U1096" si="571">SUM(L1097:L1103)</f>
        <v>1</v>
      </c>
      <c r="M1096" s="364">
        <f t="shared" si="571"/>
        <v>0.9</v>
      </c>
      <c r="N1096" s="364">
        <f t="shared" si="571"/>
        <v>0.79999999999999993</v>
      </c>
      <c r="O1096" s="364">
        <f t="shared" si="571"/>
        <v>0.7</v>
      </c>
      <c r="P1096" s="364">
        <f t="shared" si="571"/>
        <v>0.6</v>
      </c>
      <c r="Q1096" s="1475">
        <f t="shared" si="571"/>
        <v>22808172.280000001</v>
      </c>
      <c r="R1096" s="1475">
        <f t="shared" si="571"/>
        <v>20527355.052000001</v>
      </c>
      <c r="S1096" s="1475">
        <f t="shared" si="571"/>
        <v>18246537.823999997</v>
      </c>
      <c r="T1096" s="1475">
        <f t="shared" si="571"/>
        <v>15965720.595999999</v>
      </c>
      <c r="U1096" s="1475">
        <f t="shared" si="571"/>
        <v>13684903.368000001</v>
      </c>
      <c r="V1096" s="1475">
        <f t="shared" si="568"/>
        <v>91232689.120000005</v>
      </c>
    </row>
    <row r="1097" spans="1:22" s="39" customFormat="1" ht="24" customHeight="1">
      <c r="A1097" s="1860">
        <v>2</v>
      </c>
      <c r="B1097" s="1860"/>
      <c r="C1097" s="1860"/>
      <c r="D1097" s="1860"/>
      <c r="E1097" s="1839"/>
      <c r="F1097" s="1841"/>
      <c r="G1097" s="1665"/>
      <c r="H1097" s="1601"/>
      <c r="I1097" s="1627"/>
      <c r="J1097" s="40" t="s">
        <v>429</v>
      </c>
      <c r="K1097" s="91"/>
      <c r="L1097" s="364">
        <v>0</v>
      </c>
      <c r="M1097" s="364">
        <v>0</v>
      </c>
      <c r="N1097" s="364">
        <v>0</v>
      </c>
      <c r="O1097" s="364">
        <v>0</v>
      </c>
      <c r="P1097" s="364">
        <v>0</v>
      </c>
      <c r="Q1097" s="1475">
        <f>L1097*$H1100</f>
        <v>0</v>
      </c>
      <c r="R1097" s="1475">
        <f>M1097*$H1100</f>
        <v>0</v>
      </c>
      <c r="S1097" s="1475">
        <f>N1097*$H1100</f>
        <v>0</v>
      </c>
      <c r="T1097" s="1475">
        <f>O1097*$H1100</f>
        <v>0</v>
      </c>
      <c r="U1097" s="1475">
        <f>P1097*$H1100</f>
        <v>0</v>
      </c>
      <c r="V1097" s="1475">
        <f t="shared" si="568"/>
        <v>0</v>
      </c>
    </row>
    <row r="1098" spans="1:22" s="39" customFormat="1" ht="24" customHeight="1">
      <c r="A1098" s="1860">
        <v>2</v>
      </c>
      <c r="B1098" s="1860"/>
      <c r="C1098" s="1860"/>
      <c r="D1098" s="1860"/>
      <c r="E1098" s="1839"/>
      <c r="F1098" s="1841"/>
      <c r="G1098" s="1665"/>
      <c r="H1098" s="1601"/>
      <c r="I1098" s="1627"/>
      <c r="J1098" s="40" t="s">
        <v>133</v>
      </c>
      <c r="K1098" s="91"/>
      <c r="L1098" s="963">
        <f>L1095*0.3</f>
        <v>0.3</v>
      </c>
      <c r="M1098" s="963">
        <f t="shared" ref="M1098:P1098" si="572">M1095*0.3</f>
        <v>0.27</v>
      </c>
      <c r="N1098" s="963">
        <f t="shared" si="572"/>
        <v>0.24</v>
      </c>
      <c r="O1098" s="963">
        <f t="shared" si="572"/>
        <v>0.21</v>
      </c>
      <c r="P1098" s="963">
        <f t="shared" si="572"/>
        <v>0.18</v>
      </c>
      <c r="Q1098" s="1475">
        <f>L1098*$H1100</f>
        <v>6842451.6840000004</v>
      </c>
      <c r="R1098" s="1475">
        <f>M1098*$H1100</f>
        <v>6158206.5156000005</v>
      </c>
      <c r="S1098" s="1475">
        <f>N1098*$H1100</f>
        <v>5473961.3471999997</v>
      </c>
      <c r="T1098" s="1475">
        <f>O1098*$H1100</f>
        <v>4789716.1787999999</v>
      </c>
      <c r="U1098" s="1475">
        <f>P1098*$H1100</f>
        <v>4105471.0104</v>
      </c>
      <c r="V1098" s="1475">
        <f t="shared" si="568"/>
        <v>27369806.735999998</v>
      </c>
    </row>
    <row r="1099" spans="1:22" s="39" customFormat="1" ht="24" customHeight="1">
      <c r="A1099" s="1860">
        <v>2</v>
      </c>
      <c r="B1099" s="1860"/>
      <c r="C1099" s="1860"/>
      <c r="D1099" s="1860"/>
      <c r="E1099" s="1839"/>
      <c r="F1099" s="1841"/>
      <c r="G1099" s="1665"/>
      <c r="H1099" s="1601"/>
      <c r="I1099" s="1627"/>
      <c r="J1099" s="40" t="s">
        <v>81</v>
      </c>
      <c r="K1099" s="91"/>
      <c r="L1099" s="364">
        <v>0</v>
      </c>
      <c r="M1099" s="364">
        <v>0</v>
      </c>
      <c r="N1099" s="364">
        <v>0</v>
      </c>
      <c r="O1099" s="364">
        <v>0</v>
      </c>
      <c r="P1099" s="364">
        <v>0</v>
      </c>
      <c r="Q1099" s="1475">
        <f>L1099*$H1100</f>
        <v>0</v>
      </c>
      <c r="R1099" s="1475">
        <f>M1099*$H1100</f>
        <v>0</v>
      </c>
      <c r="S1099" s="1475">
        <f>N1099*$H1100</f>
        <v>0</v>
      </c>
      <c r="T1099" s="1475">
        <f>O1099*$H1100</f>
        <v>0</v>
      </c>
      <c r="U1099" s="1475">
        <f>P1099*$H1100</f>
        <v>0</v>
      </c>
      <c r="V1099" s="1475">
        <f t="shared" si="568"/>
        <v>0</v>
      </c>
    </row>
    <row r="1100" spans="1:22" s="39" customFormat="1" ht="24" customHeight="1">
      <c r="A1100" s="1860">
        <v>2</v>
      </c>
      <c r="B1100" s="1860"/>
      <c r="C1100" s="1860"/>
      <c r="D1100" s="1860"/>
      <c r="E1100" s="1839"/>
      <c r="F1100" s="1841"/>
      <c r="G1100" s="1665"/>
      <c r="H1100" s="1667">
        <v>22808172.280000001</v>
      </c>
      <c r="I1100" s="1627"/>
      <c r="J1100" s="40" t="s">
        <v>134</v>
      </c>
      <c r="K1100" s="91"/>
      <c r="L1100" s="963">
        <f>L1095*0.7</f>
        <v>0.7</v>
      </c>
      <c r="M1100" s="963">
        <f t="shared" ref="M1100:P1100" si="573">M1095*0.7</f>
        <v>0.63</v>
      </c>
      <c r="N1100" s="963">
        <f t="shared" si="573"/>
        <v>0.55999999999999994</v>
      </c>
      <c r="O1100" s="963">
        <f t="shared" si="573"/>
        <v>0.48999999999999994</v>
      </c>
      <c r="P1100" s="963">
        <f t="shared" si="573"/>
        <v>0.42</v>
      </c>
      <c r="Q1100" s="1475">
        <f>L1100*$H1100</f>
        <v>15965720.595999999</v>
      </c>
      <c r="R1100" s="1475">
        <f>M1100*$H1100</f>
        <v>14369148.536400001</v>
      </c>
      <c r="S1100" s="1475">
        <f>N1100*$H1100</f>
        <v>12772576.476799998</v>
      </c>
      <c r="T1100" s="1475">
        <f>O1100*$H1100</f>
        <v>11176004.417199999</v>
      </c>
      <c r="U1100" s="1475">
        <f>P1100*$H1100</f>
        <v>9579432.3575999998</v>
      </c>
      <c r="V1100" s="1475">
        <f t="shared" si="568"/>
        <v>63862882.384000003</v>
      </c>
    </row>
    <row r="1101" spans="1:22" s="39" customFormat="1" ht="24" customHeight="1">
      <c r="A1101" s="1860">
        <v>2</v>
      </c>
      <c r="B1101" s="1860"/>
      <c r="C1101" s="1860"/>
      <c r="D1101" s="1860"/>
      <c r="E1101" s="1839"/>
      <c r="F1101" s="1841"/>
      <c r="G1101" s="1665"/>
      <c r="H1101" s="1668">
        <f>810*0.05</f>
        <v>40.5</v>
      </c>
      <c r="I1101" s="1627"/>
      <c r="J1101" s="40" t="s">
        <v>82</v>
      </c>
      <c r="K1101" s="91"/>
      <c r="L1101" s="364">
        <v>0</v>
      </c>
      <c r="M1101" s="364">
        <v>0</v>
      </c>
      <c r="N1101" s="364">
        <v>0</v>
      </c>
      <c r="O1101" s="364">
        <v>0</v>
      </c>
      <c r="P1101" s="364">
        <v>0</v>
      </c>
      <c r="Q1101" s="1475">
        <f>L1101*$H1100</f>
        <v>0</v>
      </c>
      <c r="R1101" s="1475">
        <f>M1101*$H1100</f>
        <v>0</v>
      </c>
      <c r="S1101" s="1475">
        <f>N1101*$H1100</f>
        <v>0</v>
      </c>
      <c r="T1101" s="1475">
        <f>O1101*$H1100</f>
        <v>0</v>
      </c>
      <c r="U1101" s="1475">
        <f>P1101*$H1100</f>
        <v>0</v>
      </c>
      <c r="V1101" s="1475">
        <f t="shared" si="568"/>
        <v>0</v>
      </c>
    </row>
    <row r="1102" spans="1:22" s="39" customFormat="1" ht="24" customHeight="1">
      <c r="A1102" s="1860">
        <v>2</v>
      </c>
      <c r="B1102" s="1860"/>
      <c r="C1102" s="1860"/>
      <c r="D1102" s="1860"/>
      <c r="E1102" s="1839"/>
      <c r="F1102" s="1841"/>
      <c r="G1102" s="1665"/>
      <c r="H1102" s="1668"/>
      <c r="I1102" s="1627"/>
      <c r="J1102" s="40" t="s">
        <v>90</v>
      </c>
      <c r="K1102" s="91"/>
      <c r="L1102" s="364">
        <v>0</v>
      </c>
      <c r="M1102" s="364">
        <v>0</v>
      </c>
      <c r="N1102" s="364">
        <v>0</v>
      </c>
      <c r="O1102" s="364">
        <v>0</v>
      </c>
      <c r="P1102" s="364">
        <v>0</v>
      </c>
      <c r="Q1102" s="1475">
        <f>L1102*$H1100</f>
        <v>0</v>
      </c>
      <c r="R1102" s="1475">
        <f>M1102*$H1100</f>
        <v>0</v>
      </c>
      <c r="S1102" s="1475">
        <f>N1102*$H1100</f>
        <v>0</v>
      </c>
      <c r="T1102" s="1475">
        <f>O1102*$H1100</f>
        <v>0</v>
      </c>
      <c r="U1102" s="1475">
        <f>P1102*$H1100</f>
        <v>0</v>
      </c>
      <c r="V1102" s="1475">
        <f t="shared" si="568"/>
        <v>0</v>
      </c>
    </row>
    <row r="1103" spans="1:22" s="39" customFormat="1" ht="24" customHeight="1">
      <c r="A1103" s="1860">
        <v>2</v>
      </c>
      <c r="B1103" s="1860"/>
      <c r="C1103" s="1860"/>
      <c r="D1103" s="1860"/>
      <c r="E1103" s="1839"/>
      <c r="F1103" s="1841"/>
      <c r="G1103" s="1665"/>
      <c r="H1103" s="1668"/>
      <c r="I1103" s="1627"/>
      <c r="J1103" s="40" t="s">
        <v>83</v>
      </c>
      <c r="K1103" s="91"/>
      <c r="L1103" s="364">
        <v>0</v>
      </c>
      <c r="M1103" s="364">
        <v>0</v>
      </c>
      <c r="N1103" s="364">
        <v>0</v>
      </c>
      <c r="O1103" s="364">
        <v>0</v>
      </c>
      <c r="P1103" s="364">
        <v>0</v>
      </c>
      <c r="Q1103" s="1475">
        <f>L1103*$H1100</f>
        <v>0</v>
      </c>
      <c r="R1103" s="1475">
        <f>M1103*$H1100</f>
        <v>0</v>
      </c>
      <c r="S1103" s="1475">
        <f>N1103*$H1100</f>
        <v>0</v>
      </c>
      <c r="T1103" s="1475">
        <f>O1103*$H1100</f>
        <v>0</v>
      </c>
      <c r="U1103" s="1475">
        <f>P1103*$H1100</f>
        <v>0</v>
      </c>
      <c r="V1103" s="1475">
        <f t="shared" si="568"/>
        <v>0</v>
      </c>
    </row>
    <row r="1104" spans="1:22" s="39" customFormat="1" ht="24" customHeight="1" thickBot="1">
      <c r="A1104" s="1860">
        <v>2</v>
      </c>
      <c r="B1104" s="1860"/>
      <c r="C1104" s="1860"/>
      <c r="D1104" s="1860"/>
      <c r="E1104" s="1839"/>
      <c r="F1104" s="1841"/>
      <c r="G1104" s="1666"/>
      <c r="H1104" s="1669"/>
      <c r="I1104" s="1809"/>
      <c r="J1104" s="40" t="s">
        <v>84</v>
      </c>
      <c r="K1104" s="91"/>
      <c r="L1104" s="364">
        <f>L1095-L1096</f>
        <v>0</v>
      </c>
      <c r="M1104" s="364">
        <f t="shared" ref="M1104:U1104" si="574">M1095-M1096</f>
        <v>0</v>
      </c>
      <c r="N1104" s="364">
        <f t="shared" si="574"/>
        <v>0</v>
      </c>
      <c r="O1104" s="364">
        <f t="shared" si="574"/>
        <v>0</v>
      </c>
      <c r="P1104" s="364">
        <f t="shared" si="574"/>
        <v>0</v>
      </c>
      <c r="Q1104" s="1475">
        <f t="shared" si="574"/>
        <v>0</v>
      </c>
      <c r="R1104" s="1475">
        <f t="shared" si="574"/>
        <v>0</v>
      </c>
      <c r="S1104" s="1475">
        <f t="shared" si="574"/>
        <v>0</v>
      </c>
      <c r="T1104" s="1475">
        <f t="shared" si="574"/>
        <v>0</v>
      </c>
      <c r="U1104" s="1475">
        <f t="shared" si="574"/>
        <v>0</v>
      </c>
      <c r="V1104" s="1475">
        <f t="shared" si="568"/>
        <v>0</v>
      </c>
    </row>
    <row r="1105" spans="1:22" s="39" customFormat="1" ht="24" customHeight="1">
      <c r="A1105" s="1860">
        <v>2</v>
      </c>
      <c r="B1105" s="1860">
        <v>3</v>
      </c>
      <c r="C1105" s="1860">
        <v>4</v>
      </c>
      <c r="D1105" s="1860">
        <v>7</v>
      </c>
      <c r="E1105" s="1839" t="s">
        <v>15</v>
      </c>
      <c r="F1105" s="1841" t="str">
        <f>CONCATENATE(A1105,".",B1105,".",C1105,".",D1105,)</f>
        <v>2.3.4.7</v>
      </c>
      <c r="G1105" s="1664" t="s">
        <v>31</v>
      </c>
      <c r="H1105" s="1601" t="s">
        <v>190</v>
      </c>
      <c r="I1105" s="1808" t="s">
        <v>382</v>
      </c>
      <c r="J1105" s="36" t="s">
        <v>79</v>
      </c>
      <c r="K1105" s="896">
        <f>'Budget assumption'!D$237*42%</f>
        <v>3156.2999999999997</v>
      </c>
      <c r="L1105" s="383">
        <f>'Budget assumption'!E$237*42%</f>
        <v>3502.7999999999997</v>
      </c>
      <c r="M1105" s="383">
        <f>'Budget assumption'!F$237*42%</f>
        <v>3849.2999999999997</v>
      </c>
      <c r="N1105" s="383">
        <f>'Budget assumption'!G$237*42%</f>
        <v>4195.8</v>
      </c>
      <c r="O1105" s="383">
        <f>'Budget assumption'!H$237*42%</f>
        <v>4542.3</v>
      </c>
      <c r="P1105" s="383">
        <f>'Budget assumption'!I$237*42%</f>
        <v>4894.26</v>
      </c>
      <c r="Q1105" s="1475">
        <f>L1105*$H$1110</f>
        <v>1190952</v>
      </c>
      <c r="R1105" s="1475">
        <f t="shared" ref="R1105" si="575">M1105*$H$1110</f>
        <v>1308762</v>
      </c>
      <c r="S1105" s="1475">
        <f t="shared" ref="S1105" si="576">N1105*$H$1110</f>
        <v>1426572</v>
      </c>
      <c r="T1105" s="1475">
        <f t="shared" ref="T1105" si="577">O1105*$H$1110</f>
        <v>1544382</v>
      </c>
      <c r="U1105" s="1475">
        <f t="shared" ref="U1105" si="578">P1105*$H$1110</f>
        <v>1664048.4000000001</v>
      </c>
      <c r="V1105" s="1475">
        <f t="shared" ref="V1105:V1134" si="579">SUM(Q1105:U1105)</f>
        <v>7134716.4000000004</v>
      </c>
    </row>
    <row r="1106" spans="1:22" s="39" customFormat="1" ht="24" customHeight="1">
      <c r="A1106" s="1860">
        <v>2</v>
      </c>
      <c r="B1106" s="1860"/>
      <c r="C1106" s="1860"/>
      <c r="D1106" s="1860"/>
      <c r="E1106" s="1839"/>
      <c r="F1106" s="1841"/>
      <c r="G1106" s="1665"/>
      <c r="H1106" s="1601"/>
      <c r="I1106" s="1627"/>
      <c r="J1106" s="40" t="s">
        <v>80</v>
      </c>
      <c r="K1106" s="91"/>
      <c r="L1106" s="364">
        <f t="shared" ref="L1106:P1106" si="580">SUM(L1107:L1113)</f>
        <v>3502.7999999999993</v>
      </c>
      <c r="M1106" s="364">
        <f t="shared" si="580"/>
        <v>3849.2999999999997</v>
      </c>
      <c r="N1106" s="364">
        <f t="shared" si="580"/>
        <v>4195.8</v>
      </c>
      <c r="O1106" s="364">
        <f t="shared" si="580"/>
        <v>4542.3</v>
      </c>
      <c r="P1106" s="364">
        <f t="shared" si="580"/>
        <v>4894.26</v>
      </c>
      <c r="Q1106" s="1475">
        <f t="shared" ref="Q1106:U1106" si="581">SUM(Q1107:Q1113)</f>
        <v>1190952</v>
      </c>
      <c r="R1106" s="1475">
        <f t="shared" si="581"/>
        <v>1308762</v>
      </c>
      <c r="S1106" s="1475">
        <f t="shared" si="581"/>
        <v>1426572</v>
      </c>
      <c r="T1106" s="1475">
        <f t="shared" si="581"/>
        <v>1544382.0000000002</v>
      </c>
      <c r="U1106" s="1475">
        <f t="shared" si="581"/>
        <v>1664048.4</v>
      </c>
      <c r="V1106" s="1475">
        <f t="shared" si="579"/>
        <v>7134716.4000000004</v>
      </c>
    </row>
    <row r="1107" spans="1:22" s="39" customFormat="1" ht="24" customHeight="1">
      <c r="A1107" s="1860">
        <v>2</v>
      </c>
      <c r="B1107" s="1860"/>
      <c r="C1107" s="1860"/>
      <c r="D1107" s="1860"/>
      <c r="E1107" s="1839"/>
      <c r="F1107" s="1841"/>
      <c r="G1107" s="1665"/>
      <c r="H1107" s="1601"/>
      <c r="I1107" s="1627"/>
      <c r="J1107" s="40" t="s">
        <v>429</v>
      </c>
      <c r="K1107" s="91"/>
      <c r="L1107" s="364">
        <v>0</v>
      </c>
      <c r="M1107" s="364">
        <v>0</v>
      </c>
      <c r="N1107" s="364">
        <v>0</v>
      </c>
      <c r="O1107" s="364">
        <v>0</v>
      </c>
      <c r="P1107" s="364">
        <v>0</v>
      </c>
      <c r="Q1107" s="1475">
        <f>L1107*$H$1110</f>
        <v>0</v>
      </c>
      <c r="R1107" s="1475">
        <f t="shared" ref="R1107:U1107" si="582">M1107*$H$1110</f>
        <v>0</v>
      </c>
      <c r="S1107" s="1475">
        <f t="shared" si="582"/>
        <v>0</v>
      </c>
      <c r="T1107" s="1475">
        <f t="shared" si="582"/>
        <v>0</v>
      </c>
      <c r="U1107" s="1475">
        <f t="shared" si="582"/>
        <v>0</v>
      </c>
      <c r="V1107" s="1475">
        <f t="shared" si="579"/>
        <v>0</v>
      </c>
    </row>
    <row r="1108" spans="1:22" s="39" customFormat="1" ht="24" customHeight="1">
      <c r="A1108" s="1860">
        <v>2</v>
      </c>
      <c r="B1108" s="1860"/>
      <c r="C1108" s="1860"/>
      <c r="D1108" s="1860"/>
      <c r="E1108" s="1839"/>
      <c r="F1108" s="1841"/>
      <c r="G1108" s="1665"/>
      <c r="H1108" s="1601"/>
      <c r="I1108" s="1627"/>
      <c r="J1108" s="40" t="s">
        <v>133</v>
      </c>
      <c r="K1108" s="91"/>
      <c r="L1108" s="364">
        <f>L1105*30%</f>
        <v>1050.8399999999999</v>
      </c>
      <c r="M1108" s="364">
        <f t="shared" ref="M1108:P1108" si="583">M1105*30%</f>
        <v>1154.79</v>
      </c>
      <c r="N1108" s="364">
        <f t="shared" si="583"/>
        <v>1258.74</v>
      </c>
      <c r="O1108" s="364">
        <f t="shared" si="583"/>
        <v>1362.69</v>
      </c>
      <c r="P1108" s="364">
        <f t="shared" si="583"/>
        <v>1468.278</v>
      </c>
      <c r="Q1108" s="1475">
        <f t="shared" ref="Q1108:Q1113" si="584">L1108*$H$1110</f>
        <v>357285.6</v>
      </c>
      <c r="R1108" s="1475">
        <f t="shared" ref="R1108:R1113" si="585">M1108*$H$1110</f>
        <v>392628.6</v>
      </c>
      <c r="S1108" s="1475">
        <f t="shared" ref="S1108:S1113" si="586">N1108*$H$1110</f>
        <v>427971.6</v>
      </c>
      <c r="T1108" s="1475">
        <f t="shared" ref="T1108:T1113" si="587">O1108*$H$1110</f>
        <v>463314.60000000003</v>
      </c>
      <c r="U1108" s="1475">
        <f t="shared" ref="U1108:U1113" si="588">P1108*$H$1110</f>
        <v>499214.52</v>
      </c>
      <c r="V1108" s="1475">
        <f t="shared" si="579"/>
        <v>2140414.92</v>
      </c>
    </row>
    <row r="1109" spans="1:22" s="39" customFormat="1" ht="24" customHeight="1">
      <c r="A1109" s="1860">
        <v>2</v>
      </c>
      <c r="B1109" s="1860"/>
      <c r="C1109" s="1860"/>
      <c r="D1109" s="1860"/>
      <c r="E1109" s="1839"/>
      <c r="F1109" s="1841"/>
      <c r="G1109" s="1665"/>
      <c r="H1109" s="1601"/>
      <c r="I1109" s="1627"/>
      <c r="J1109" s="40" t="s">
        <v>81</v>
      </c>
      <c r="K1109" s="91"/>
      <c r="L1109" s="364">
        <v>0</v>
      </c>
      <c r="M1109" s="364">
        <v>0</v>
      </c>
      <c r="N1109" s="364">
        <v>0</v>
      </c>
      <c r="O1109" s="364">
        <v>0</v>
      </c>
      <c r="P1109" s="364">
        <v>0</v>
      </c>
      <c r="Q1109" s="1475">
        <f t="shared" si="584"/>
        <v>0</v>
      </c>
      <c r="R1109" s="1475">
        <f t="shared" si="585"/>
        <v>0</v>
      </c>
      <c r="S1109" s="1475">
        <f t="shared" si="586"/>
        <v>0</v>
      </c>
      <c r="T1109" s="1475">
        <f t="shared" si="587"/>
        <v>0</v>
      </c>
      <c r="U1109" s="1475">
        <f t="shared" si="588"/>
        <v>0</v>
      </c>
      <c r="V1109" s="1475">
        <f t="shared" si="579"/>
        <v>0</v>
      </c>
    </row>
    <row r="1110" spans="1:22" s="39" customFormat="1" ht="24" customHeight="1">
      <c r="A1110" s="1860">
        <v>2</v>
      </c>
      <c r="B1110" s="1860"/>
      <c r="C1110" s="1860"/>
      <c r="D1110" s="1860"/>
      <c r="E1110" s="1839"/>
      <c r="F1110" s="1841"/>
      <c r="G1110" s="1665"/>
      <c r="H1110" s="1667">
        <f>2*90+35+125</f>
        <v>340</v>
      </c>
      <c r="I1110" s="1627"/>
      <c r="J1110" s="40" t="s">
        <v>134</v>
      </c>
      <c r="K1110" s="91"/>
      <c r="L1110" s="364">
        <f>L1105*70%</f>
        <v>2451.9599999999996</v>
      </c>
      <c r="M1110" s="364">
        <f t="shared" ref="M1110:P1110" si="589">M1105*70%</f>
        <v>2694.5099999999998</v>
      </c>
      <c r="N1110" s="364">
        <f t="shared" si="589"/>
        <v>2937.06</v>
      </c>
      <c r="O1110" s="364">
        <f t="shared" si="589"/>
        <v>3179.61</v>
      </c>
      <c r="P1110" s="364">
        <f t="shared" si="589"/>
        <v>3425.982</v>
      </c>
      <c r="Q1110" s="1475">
        <f t="shared" si="584"/>
        <v>833666.39999999991</v>
      </c>
      <c r="R1110" s="1475">
        <f t="shared" si="585"/>
        <v>916133.39999999991</v>
      </c>
      <c r="S1110" s="1475">
        <f t="shared" si="586"/>
        <v>998600.4</v>
      </c>
      <c r="T1110" s="1475">
        <f t="shared" si="587"/>
        <v>1081067.4000000001</v>
      </c>
      <c r="U1110" s="1475">
        <f t="shared" si="588"/>
        <v>1164833.8799999999</v>
      </c>
      <c r="V1110" s="1475">
        <f t="shared" si="579"/>
        <v>4994301.4799999995</v>
      </c>
    </row>
    <row r="1111" spans="1:22" s="39" customFormat="1" ht="24" customHeight="1">
      <c r="A1111" s="1860">
        <v>2</v>
      </c>
      <c r="B1111" s="1860"/>
      <c r="C1111" s="1860"/>
      <c r="D1111" s="1860"/>
      <c r="E1111" s="1839"/>
      <c r="F1111" s="1841"/>
      <c r="G1111" s="1665"/>
      <c r="H1111" s="1668"/>
      <c r="I1111" s="1627"/>
      <c r="J1111" s="40" t="s">
        <v>82</v>
      </c>
      <c r="K1111" s="91"/>
      <c r="L1111" s="364">
        <v>0</v>
      </c>
      <c r="M1111" s="364">
        <v>0</v>
      </c>
      <c r="N1111" s="364">
        <v>0</v>
      </c>
      <c r="O1111" s="364">
        <v>0</v>
      </c>
      <c r="P1111" s="364">
        <v>0</v>
      </c>
      <c r="Q1111" s="1475">
        <f t="shared" si="584"/>
        <v>0</v>
      </c>
      <c r="R1111" s="1475">
        <f t="shared" si="585"/>
        <v>0</v>
      </c>
      <c r="S1111" s="1475">
        <f t="shared" si="586"/>
        <v>0</v>
      </c>
      <c r="T1111" s="1475">
        <f t="shared" si="587"/>
        <v>0</v>
      </c>
      <c r="U1111" s="1475">
        <f t="shared" si="588"/>
        <v>0</v>
      </c>
      <c r="V1111" s="1475">
        <f t="shared" si="579"/>
        <v>0</v>
      </c>
    </row>
    <row r="1112" spans="1:22" s="39" customFormat="1" ht="24" customHeight="1">
      <c r="A1112" s="1860">
        <v>2</v>
      </c>
      <c r="B1112" s="1860"/>
      <c r="C1112" s="1860"/>
      <c r="D1112" s="1860"/>
      <c r="E1112" s="1839"/>
      <c r="F1112" s="1841"/>
      <c r="G1112" s="1665"/>
      <c r="H1112" s="1668"/>
      <c r="I1112" s="1627"/>
      <c r="J1112" s="40" t="s">
        <v>90</v>
      </c>
      <c r="K1112" s="91"/>
      <c r="L1112" s="364">
        <v>0</v>
      </c>
      <c r="M1112" s="364">
        <v>0</v>
      </c>
      <c r="N1112" s="364">
        <v>0</v>
      </c>
      <c r="O1112" s="364">
        <v>0</v>
      </c>
      <c r="P1112" s="364">
        <v>0</v>
      </c>
      <c r="Q1112" s="1475">
        <f t="shared" si="584"/>
        <v>0</v>
      </c>
      <c r="R1112" s="1475">
        <f t="shared" si="585"/>
        <v>0</v>
      </c>
      <c r="S1112" s="1475">
        <f t="shared" si="586"/>
        <v>0</v>
      </c>
      <c r="T1112" s="1475">
        <f t="shared" si="587"/>
        <v>0</v>
      </c>
      <c r="U1112" s="1475">
        <f t="shared" si="588"/>
        <v>0</v>
      </c>
      <c r="V1112" s="1475">
        <f t="shared" si="579"/>
        <v>0</v>
      </c>
    </row>
    <row r="1113" spans="1:22" s="39" customFormat="1" ht="24" customHeight="1">
      <c r="A1113" s="1860">
        <v>2</v>
      </c>
      <c r="B1113" s="1860"/>
      <c r="C1113" s="1860"/>
      <c r="D1113" s="1860"/>
      <c r="E1113" s="1839"/>
      <c r="F1113" s="1841"/>
      <c r="G1113" s="1665"/>
      <c r="H1113" s="1668"/>
      <c r="I1113" s="1627"/>
      <c r="J1113" s="40" t="s">
        <v>83</v>
      </c>
      <c r="K1113" s="91"/>
      <c r="L1113" s="364">
        <v>0</v>
      </c>
      <c r="M1113" s="364">
        <v>0</v>
      </c>
      <c r="N1113" s="364">
        <v>0</v>
      </c>
      <c r="O1113" s="364">
        <v>0</v>
      </c>
      <c r="P1113" s="364">
        <v>0</v>
      </c>
      <c r="Q1113" s="1475">
        <f t="shared" si="584"/>
        <v>0</v>
      </c>
      <c r="R1113" s="1475">
        <f t="shared" si="585"/>
        <v>0</v>
      </c>
      <c r="S1113" s="1475">
        <f t="shared" si="586"/>
        <v>0</v>
      </c>
      <c r="T1113" s="1475">
        <f t="shared" si="587"/>
        <v>0</v>
      </c>
      <c r="U1113" s="1475">
        <f t="shared" si="588"/>
        <v>0</v>
      </c>
      <c r="V1113" s="1475">
        <f t="shared" si="579"/>
        <v>0</v>
      </c>
    </row>
    <row r="1114" spans="1:22" s="39" customFormat="1" ht="24" customHeight="1" thickBot="1">
      <c r="A1114" s="1860">
        <v>2</v>
      </c>
      <c r="B1114" s="1860"/>
      <c r="C1114" s="1860"/>
      <c r="D1114" s="1860"/>
      <c r="E1114" s="1839"/>
      <c r="F1114" s="1841"/>
      <c r="G1114" s="1666"/>
      <c r="H1114" s="1669"/>
      <c r="I1114" s="1809"/>
      <c r="J1114" s="40" t="s">
        <v>84</v>
      </c>
      <c r="K1114" s="91"/>
      <c r="L1114" s="364">
        <f>L1105-L1106</f>
        <v>0</v>
      </c>
      <c r="M1114" s="364">
        <f t="shared" ref="M1114:U1114" si="590">M1105-M1106</f>
        <v>0</v>
      </c>
      <c r="N1114" s="364">
        <f t="shared" si="590"/>
        <v>0</v>
      </c>
      <c r="O1114" s="364">
        <f t="shared" si="590"/>
        <v>0</v>
      </c>
      <c r="P1114" s="364">
        <f t="shared" si="590"/>
        <v>0</v>
      </c>
      <c r="Q1114" s="1475">
        <f t="shared" si="590"/>
        <v>0</v>
      </c>
      <c r="R1114" s="1475">
        <f t="shared" si="590"/>
        <v>0</v>
      </c>
      <c r="S1114" s="1475">
        <f t="shared" si="590"/>
        <v>0</v>
      </c>
      <c r="T1114" s="1475">
        <f t="shared" si="590"/>
        <v>0</v>
      </c>
      <c r="U1114" s="1475">
        <f t="shared" si="590"/>
        <v>0</v>
      </c>
      <c r="V1114" s="1475">
        <f t="shared" si="579"/>
        <v>0</v>
      </c>
    </row>
    <row r="1115" spans="1:22" s="39" customFormat="1" ht="24" customHeight="1">
      <c r="A1115" s="1860">
        <v>2</v>
      </c>
      <c r="B1115" s="1860">
        <v>3</v>
      </c>
      <c r="C1115" s="1860">
        <v>4</v>
      </c>
      <c r="D1115" s="1860">
        <v>8</v>
      </c>
      <c r="E1115" s="1839" t="s">
        <v>15</v>
      </c>
      <c r="F1115" s="1841" t="str">
        <f>CONCATENATE(A1115,".",B1115,".",C1115,".",D1115,)</f>
        <v>2.3.4.8</v>
      </c>
      <c r="G1115" s="1664" t="s">
        <v>32</v>
      </c>
      <c r="H1115" s="1601" t="s">
        <v>144</v>
      </c>
      <c r="I1115" s="1808" t="s">
        <v>262</v>
      </c>
      <c r="J1115" s="36" t="s">
        <v>79</v>
      </c>
      <c r="K1115" s="896"/>
      <c r="L1115" s="383">
        <v>0</v>
      </c>
      <c r="M1115" s="383">
        <v>1</v>
      </c>
      <c r="N1115" s="383">
        <v>0</v>
      </c>
      <c r="O1115" s="383">
        <v>0</v>
      </c>
      <c r="P1115" s="383">
        <v>0</v>
      </c>
      <c r="Q1115" s="1475">
        <f>L1115*$H$1120</f>
        <v>0</v>
      </c>
      <c r="R1115" s="1475">
        <f t="shared" ref="R1115:U1115" si="591">M1115*$H$1120</f>
        <v>56947</v>
      </c>
      <c r="S1115" s="1475">
        <f t="shared" si="591"/>
        <v>0</v>
      </c>
      <c r="T1115" s="1475">
        <f t="shared" si="591"/>
        <v>0</v>
      </c>
      <c r="U1115" s="1475">
        <f t="shared" si="591"/>
        <v>0</v>
      </c>
      <c r="V1115" s="1475">
        <f t="shared" si="579"/>
        <v>56947</v>
      </c>
    </row>
    <row r="1116" spans="1:22" s="39" customFormat="1" ht="24" customHeight="1">
      <c r="A1116" s="1860">
        <v>2</v>
      </c>
      <c r="B1116" s="1860"/>
      <c r="C1116" s="1860"/>
      <c r="D1116" s="1860"/>
      <c r="E1116" s="1839"/>
      <c r="F1116" s="1841"/>
      <c r="G1116" s="1665"/>
      <c r="H1116" s="1601"/>
      <c r="I1116" s="1627"/>
      <c r="J1116" s="40" t="s">
        <v>80</v>
      </c>
      <c r="K1116" s="91"/>
      <c r="L1116" s="364">
        <f t="shared" ref="L1116:U1116" si="592">SUM(L1117:L1123)</f>
        <v>0</v>
      </c>
      <c r="M1116" s="364">
        <f t="shared" si="592"/>
        <v>1</v>
      </c>
      <c r="N1116" s="364">
        <f t="shared" si="592"/>
        <v>0</v>
      </c>
      <c r="O1116" s="364">
        <f t="shared" si="592"/>
        <v>0</v>
      </c>
      <c r="P1116" s="364">
        <f t="shared" si="592"/>
        <v>0</v>
      </c>
      <c r="Q1116" s="1475">
        <f t="shared" si="592"/>
        <v>0</v>
      </c>
      <c r="R1116" s="1475">
        <f t="shared" si="592"/>
        <v>56947</v>
      </c>
      <c r="S1116" s="1475">
        <f t="shared" si="592"/>
        <v>0</v>
      </c>
      <c r="T1116" s="1475">
        <f t="shared" si="592"/>
        <v>0</v>
      </c>
      <c r="U1116" s="1475">
        <f t="shared" si="592"/>
        <v>0</v>
      </c>
      <c r="V1116" s="1475">
        <f t="shared" si="579"/>
        <v>56947</v>
      </c>
    </row>
    <row r="1117" spans="1:22" s="39" customFormat="1" ht="24" customHeight="1">
      <c r="A1117" s="1860">
        <v>2</v>
      </c>
      <c r="B1117" s="1860"/>
      <c r="C1117" s="1860"/>
      <c r="D1117" s="1860"/>
      <c r="E1117" s="1839"/>
      <c r="F1117" s="1841"/>
      <c r="G1117" s="1665"/>
      <c r="H1117" s="1601"/>
      <c r="I1117" s="1627"/>
      <c r="J1117" s="40" t="s">
        <v>429</v>
      </c>
      <c r="K1117" s="91"/>
      <c r="L1117" s="364">
        <v>0</v>
      </c>
      <c r="M1117" s="364">
        <v>0</v>
      </c>
      <c r="N1117" s="364">
        <v>0</v>
      </c>
      <c r="O1117" s="364">
        <v>0</v>
      </c>
      <c r="P1117" s="364">
        <v>0</v>
      </c>
      <c r="Q1117" s="1475">
        <f>L1117*$H$1120</f>
        <v>0</v>
      </c>
      <c r="R1117" s="1475">
        <f t="shared" ref="R1117:U1117" si="593">M1117*$H$1120</f>
        <v>0</v>
      </c>
      <c r="S1117" s="1475">
        <f t="shared" si="593"/>
        <v>0</v>
      </c>
      <c r="T1117" s="1475">
        <f t="shared" si="593"/>
        <v>0</v>
      </c>
      <c r="U1117" s="1475">
        <f t="shared" si="593"/>
        <v>0</v>
      </c>
      <c r="V1117" s="1475">
        <f t="shared" si="579"/>
        <v>0</v>
      </c>
    </row>
    <row r="1118" spans="1:22" s="39" customFormat="1" ht="24" customHeight="1">
      <c r="A1118" s="1860">
        <v>2</v>
      </c>
      <c r="B1118" s="1860"/>
      <c r="C1118" s="1860"/>
      <c r="D1118" s="1860"/>
      <c r="E1118" s="1839"/>
      <c r="F1118" s="1841"/>
      <c r="G1118" s="1665"/>
      <c r="H1118" s="1601"/>
      <c r="I1118" s="1627"/>
      <c r="J1118" s="40" t="s">
        <v>133</v>
      </c>
      <c r="K1118" s="91"/>
      <c r="L1118" s="364">
        <v>0</v>
      </c>
      <c r="M1118" s="364">
        <v>0</v>
      </c>
      <c r="N1118" s="364">
        <v>0</v>
      </c>
      <c r="O1118" s="364">
        <v>0</v>
      </c>
      <c r="P1118" s="364">
        <v>0</v>
      </c>
      <c r="Q1118" s="1475">
        <f t="shared" ref="Q1118:Q1123" si="594">L1118*$H$1120</f>
        <v>0</v>
      </c>
      <c r="R1118" s="1475">
        <f t="shared" ref="R1118:R1123" si="595">M1118*$H$1120</f>
        <v>0</v>
      </c>
      <c r="S1118" s="1475">
        <f t="shared" ref="S1118:S1123" si="596">N1118*$H$1120</f>
        <v>0</v>
      </c>
      <c r="T1118" s="1475">
        <f t="shared" ref="T1118:T1123" si="597">O1118*$H$1120</f>
        <v>0</v>
      </c>
      <c r="U1118" s="1475">
        <f t="shared" ref="U1118:U1123" si="598">P1118*$H$1120</f>
        <v>0</v>
      </c>
      <c r="V1118" s="1475">
        <f t="shared" si="579"/>
        <v>0</v>
      </c>
    </row>
    <row r="1119" spans="1:22" s="39" customFormat="1" ht="24" customHeight="1">
      <c r="A1119" s="1860">
        <v>2</v>
      </c>
      <c r="B1119" s="1860"/>
      <c r="C1119" s="1860"/>
      <c r="D1119" s="1860"/>
      <c r="E1119" s="1839"/>
      <c r="F1119" s="1841"/>
      <c r="G1119" s="1665"/>
      <c r="H1119" s="1601"/>
      <c r="I1119" s="1627"/>
      <c r="J1119" s="40" t="s">
        <v>81</v>
      </c>
      <c r="K1119" s="91"/>
      <c r="L1119" s="364">
        <v>0</v>
      </c>
      <c r="M1119" s="364">
        <v>0</v>
      </c>
      <c r="N1119" s="364">
        <v>0</v>
      </c>
      <c r="O1119" s="364">
        <v>0</v>
      </c>
      <c r="P1119" s="364">
        <v>0</v>
      </c>
      <c r="Q1119" s="1475">
        <f t="shared" si="594"/>
        <v>0</v>
      </c>
      <c r="R1119" s="1475">
        <f t="shared" si="595"/>
        <v>0</v>
      </c>
      <c r="S1119" s="1475">
        <f t="shared" si="596"/>
        <v>0</v>
      </c>
      <c r="T1119" s="1475">
        <f t="shared" si="597"/>
        <v>0</v>
      </c>
      <c r="U1119" s="1475">
        <f t="shared" si="598"/>
        <v>0</v>
      </c>
      <c r="V1119" s="1475">
        <f t="shared" si="579"/>
        <v>0</v>
      </c>
    </row>
    <row r="1120" spans="1:22" s="39" customFormat="1" ht="24" customHeight="1">
      <c r="A1120" s="1860">
        <v>2</v>
      </c>
      <c r="B1120" s="1860"/>
      <c r="C1120" s="1860"/>
      <c r="D1120" s="1860"/>
      <c r="E1120" s="1839"/>
      <c r="F1120" s="1841"/>
      <c r="G1120" s="1665"/>
      <c r="H1120" s="1667">
        <f>'Budget assumption'!$E$311</f>
        <v>56947</v>
      </c>
      <c r="I1120" s="1627"/>
      <c r="J1120" s="40" t="s">
        <v>134</v>
      </c>
      <c r="K1120" s="91"/>
      <c r="L1120" s="364">
        <f>L1111*30%</f>
        <v>0</v>
      </c>
      <c r="M1120" s="364">
        <f>M1111*30%</f>
        <v>0</v>
      </c>
      <c r="N1120" s="364">
        <f>N1111*30%</f>
        <v>0</v>
      </c>
      <c r="O1120" s="364">
        <f>O1111*30%</f>
        <v>0</v>
      </c>
      <c r="P1120" s="364">
        <f>P1111*30%</f>
        <v>0</v>
      </c>
      <c r="Q1120" s="1475">
        <f t="shared" si="594"/>
        <v>0</v>
      </c>
      <c r="R1120" s="1475">
        <f t="shared" si="595"/>
        <v>0</v>
      </c>
      <c r="S1120" s="1475">
        <f t="shared" si="596"/>
        <v>0</v>
      </c>
      <c r="T1120" s="1475">
        <f t="shared" si="597"/>
        <v>0</v>
      </c>
      <c r="U1120" s="1475">
        <f t="shared" si="598"/>
        <v>0</v>
      </c>
      <c r="V1120" s="1475">
        <f t="shared" si="579"/>
        <v>0</v>
      </c>
    </row>
    <row r="1121" spans="1:22" s="39" customFormat="1" ht="24" customHeight="1">
      <c r="A1121" s="1860">
        <v>2</v>
      </c>
      <c r="B1121" s="1860"/>
      <c r="C1121" s="1860"/>
      <c r="D1121" s="1860"/>
      <c r="E1121" s="1839"/>
      <c r="F1121" s="1841"/>
      <c r="G1121" s="1665"/>
      <c r="H1121" s="1668"/>
      <c r="I1121" s="1627"/>
      <c r="J1121" s="40" t="s">
        <v>82</v>
      </c>
      <c r="K1121" s="91"/>
      <c r="L1121" s="364">
        <v>0</v>
      </c>
      <c r="M1121" s="364">
        <v>0</v>
      </c>
      <c r="N1121" s="364">
        <v>0</v>
      </c>
      <c r="O1121" s="364">
        <v>0</v>
      </c>
      <c r="P1121" s="364">
        <v>0</v>
      </c>
      <c r="Q1121" s="1475">
        <f t="shared" si="594"/>
        <v>0</v>
      </c>
      <c r="R1121" s="1475">
        <f t="shared" si="595"/>
        <v>0</v>
      </c>
      <c r="S1121" s="1475">
        <f t="shared" si="596"/>
        <v>0</v>
      </c>
      <c r="T1121" s="1475">
        <f t="shared" si="597"/>
        <v>0</v>
      </c>
      <c r="U1121" s="1475">
        <f t="shared" si="598"/>
        <v>0</v>
      </c>
      <c r="V1121" s="1475">
        <f t="shared" si="579"/>
        <v>0</v>
      </c>
    </row>
    <row r="1122" spans="1:22" s="39" customFormat="1" ht="24" customHeight="1">
      <c r="A1122" s="1860">
        <v>2</v>
      </c>
      <c r="B1122" s="1860"/>
      <c r="C1122" s="1860"/>
      <c r="D1122" s="1860"/>
      <c r="E1122" s="1839"/>
      <c r="F1122" s="1841"/>
      <c r="G1122" s="1665"/>
      <c r="H1122" s="1668"/>
      <c r="I1122" s="1627"/>
      <c r="J1122" s="40" t="s">
        <v>90</v>
      </c>
      <c r="K1122" s="91"/>
      <c r="L1122" s="364">
        <v>0</v>
      </c>
      <c r="M1122" s="364">
        <v>1</v>
      </c>
      <c r="N1122" s="364">
        <v>0</v>
      </c>
      <c r="O1122" s="364">
        <v>0</v>
      </c>
      <c r="P1122" s="364">
        <v>0</v>
      </c>
      <c r="Q1122" s="1475">
        <f t="shared" si="594"/>
        <v>0</v>
      </c>
      <c r="R1122" s="1475">
        <f t="shared" si="595"/>
        <v>56947</v>
      </c>
      <c r="S1122" s="1475">
        <f t="shared" si="596"/>
        <v>0</v>
      </c>
      <c r="T1122" s="1475">
        <f t="shared" si="597"/>
        <v>0</v>
      </c>
      <c r="U1122" s="1475">
        <f t="shared" si="598"/>
        <v>0</v>
      </c>
      <c r="V1122" s="1475">
        <f t="shared" si="579"/>
        <v>56947</v>
      </c>
    </row>
    <row r="1123" spans="1:22" s="39" customFormat="1" ht="24" customHeight="1">
      <c r="A1123" s="1860">
        <v>2</v>
      </c>
      <c r="B1123" s="1860"/>
      <c r="C1123" s="1860"/>
      <c r="D1123" s="1860"/>
      <c r="E1123" s="1839"/>
      <c r="F1123" s="1841"/>
      <c r="G1123" s="1665"/>
      <c r="H1123" s="1668"/>
      <c r="I1123" s="1627"/>
      <c r="J1123" s="40" t="s">
        <v>83</v>
      </c>
      <c r="K1123" s="91"/>
      <c r="L1123" s="364">
        <v>0</v>
      </c>
      <c r="M1123" s="364">
        <v>0</v>
      </c>
      <c r="N1123" s="364">
        <v>0</v>
      </c>
      <c r="O1123" s="364">
        <v>0</v>
      </c>
      <c r="P1123" s="364">
        <v>0</v>
      </c>
      <c r="Q1123" s="1475">
        <f t="shared" si="594"/>
        <v>0</v>
      </c>
      <c r="R1123" s="1475">
        <f t="shared" si="595"/>
        <v>0</v>
      </c>
      <c r="S1123" s="1475">
        <f t="shared" si="596"/>
        <v>0</v>
      </c>
      <c r="T1123" s="1475">
        <f t="shared" si="597"/>
        <v>0</v>
      </c>
      <c r="U1123" s="1475">
        <f t="shared" si="598"/>
        <v>0</v>
      </c>
      <c r="V1123" s="1475">
        <f t="shared" si="579"/>
        <v>0</v>
      </c>
    </row>
    <row r="1124" spans="1:22" s="39" customFormat="1" ht="24" customHeight="1" thickBot="1">
      <c r="A1124" s="1860">
        <v>2</v>
      </c>
      <c r="B1124" s="1860"/>
      <c r="C1124" s="1860"/>
      <c r="D1124" s="1860"/>
      <c r="E1124" s="1839"/>
      <c r="F1124" s="1841"/>
      <c r="G1124" s="1666"/>
      <c r="H1124" s="1669"/>
      <c r="I1124" s="1809"/>
      <c r="J1124" s="40" t="s">
        <v>84</v>
      </c>
      <c r="K1124" s="91"/>
      <c r="L1124" s="364">
        <f>L1115-L1116</f>
        <v>0</v>
      </c>
      <c r="M1124" s="364">
        <v>0</v>
      </c>
      <c r="N1124" s="364">
        <f t="shared" ref="N1124:U1124" si="599">N1115-N1116</f>
        <v>0</v>
      </c>
      <c r="O1124" s="364">
        <f t="shared" si="599"/>
        <v>0</v>
      </c>
      <c r="P1124" s="364">
        <f t="shared" si="599"/>
        <v>0</v>
      </c>
      <c r="Q1124" s="1475">
        <f t="shared" si="599"/>
        <v>0</v>
      </c>
      <c r="R1124" s="1475">
        <f t="shared" si="599"/>
        <v>0</v>
      </c>
      <c r="S1124" s="1475">
        <f t="shared" si="599"/>
        <v>0</v>
      </c>
      <c r="T1124" s="1475">
        <f t="shared" si="599"/>
        <v>0</v>
      </c>
      <c r="U1124" s="1475">
        <f t="shared" si="599"/>
        <v>0</v>
      </c>
      <c r="V1124" s="1475">
        <f t="shared" si="579"/>
        <v>0</v>
      </c>
    </row>
    <row r="1125" spans="1:22" s="39" customFormat="1" ht="24" customHeight="1">
      <c r="A1125" s="1860">
        <v>2</v>
      </c>
      <c r="B1125" s="1860">
        <v>3</v>
      </c>
      <c r="C1125" s="1860">
        <v>4</v>
      </c>
      <c r="D1125" s="1860">
        <v>9</v>
      </c>
      <c r="E1125" s="1839" t="s">
        <v>15</v>
      </c>
      <c r="F1125" s="1841" t="str">
        <f>CONCATENATE(A1125,".",B1125,".",C1125,".",D1125,)</f>
        <v>2.3.4.9</v>
      </c>
      <c r="G1125" s="1664" t="s">
        <v>383</v>
      </c>
      <c r="H1125" s="1601" t="s">
        <v>384</v>
      </c>
      <c r="I1125" s="1808" t="s">
        <v>385</v>
      </c>
      <c r="J1125" s="36" t="s">
        <v>79</v>
      </c>
      <c r="K1125" s="896"/>
      <c r="L1125" s="383">
        <v>0</v>
      </c>
      <c r="M1125" s="383">
        <v>0</v>
      </c>
      <c r="N1125" s="383">
        <v>0</v>
      </c>
      <c r="O1125" s="383">
        <v>0</v>
      </c>
      <c r="P1125" s="383">
        <v>0</v>
      </c>
      <c r="Q1125" s="1475">
        <f>L1125*H1130</f>
        <v>0</v>
      </c>
      <c r="R1125" s="1475">
        <f>M1125*H1130</f>
        <v>0</v>
      </c>
      <c r="S1125" s="1475">
        <f>N1125*H1130</f>
        <v>0</v>
      </c>
      <c r="T1125" s="1475">
        <f>O1125*H1130</f>
        <v>0</v>
      </c>
      <c r="U1125" s="1475">
        <f>P1125*H1130</f>
        <v>0</v>
      </c>
      <c r="V1125" s="1475">
        <f t="shared" si="579"/>
        <v>0</v>
      </c>
    </row>
    <row r="1126" spans="1:22" s="39" customFormat="1" ht="24" customHeight="1">
      <c r="A1126" s="1860">
        <v>2</v>
      </c>
      <c r="B1126" s="1860"/>
      <c r="C1126" s="1860"/>
      <c r="D1126" s="1860"/>
      <c r="E1126" s="1839"/>
      <c r="F1126" s="1841"/>
      <c r="G1126" s="1665"/>
      <c r="H1126" s="1601"/>
      <c r="I1126" s="1627"/>
      <c r="J1126" s="40" t="s">
        <v>80</v>
      </c>
      <c r="K1126" s="91"/>
      <c r="L1126" s="364">
        <f t="shared" ref="L1126:U1126" si="600">SUM(L1127:L1133)</f>
        <v>0</v>
      </c>
      <c r="M1126" s="364">
        <f t="shared" si="600"/>
        <v>0</v>
      </c>
      <c r="N1126" s="364">
        <f t="shared" si="600"/>
        <v>0</v>
      </c>
      <c r="O1126" s="364">
        <f t="shared" si="600"/>
        <v>0</v>
      </c>
      <c r="P1126" s="364">
        <f t="shared" si="600"/>
        <v>0</v>
      </c>
      <c r="Q1126" s="1475">
        <f t="shared" si="600"/>
        <v>0</v>
      </c>
      <c r="R1126" s="1475">
        <f t="shared" si="600"/>
        <v>0</v>
      </c>
      <c r="S1126" s="1475">
        <f t="shared" si="600"/>
        <v>0</v>
      </c>
      <c r="T1126" s="1475">
        <f t="shared" si="600"/>
        <v>0</v>
      </c>
      <c r="U1126" s="1475">
        <f t="shared" si="600"/>
        <v>0</v>
      </c>
      <c r="V1126" s="1475">
        <f t="shared" si="579"/>
        <v>0</v>
      </c>
    </row>
    <row r="1127" spans="1:22" s="39" customFormat="1" ht="24" customHeight="1">
      <c r="A1127" s="1860">
        <v>2</v>
      </c>
      <c r="B1127" s="1860"/>
      <c r="C1127" s="1860"/>
      <c r="D1127" s="1860"/>
      <c r="E1127" s="1839"/>
      <c r="F1127" s="1841"/>
      <c r="G1127" s="1665"/>
      <c r="H1127" s="1601"/>
      <c r="I1127" s="1627"/>
      <c r="J1127" s="40" t="s">
        <v>429</v>
      </c>
      <c r="K1127" s="91"/>
      <c r="L1127" s="364">
        <v>0</v>
      </c>
      <c r="M1127" s="364">
        <v>0</v>
      </c>
      <c r="N1127" s="364">
        <v>0</v>
      </c>
      <c r="O1127" s="364">
        <v>0</v>
      </c>
      <c r="P1127" s="364">
        <v>0</v>
      </c>
      <c r="Q1127" s="1475">
        <f>L1127*$H1130</f>
        <v>0</v>
      </c>
      <c r="R1127" s="1475">
        <f>M1127*$H1130</f>
        <v>0</v>
      </c>
      <c r="S1127" s="1475">
        <f>N1127*$H1130</f>
        <v>0</v>
      </c>
      <c r="T1127" s="1475">
        <f>O1127*$H1130</f>
        <v>0</v>
      </c>
      <c r="U1127" s="1475">
        <f>P1127*$H1130</f>
        <v>0</v>
      </c>
      <c r="V1127" s="1475">
        <f t="shared" si="579"/>
        <v>0</v>
      </c>
    </row>
    <row r="1128" spans="1:22" s="39" customFormat="1" ht="24" customHeight="1">
      <c r="A1128" s="1860">
        <v>2</v>
      </c>
      <c r="B1128" s="1860"/>
      <c r="C1128" s="1860"/>
      <c r="D1128" s="1860"/>
      <c r="E1128" s="1839"/>
      <c r="F1128" s="1841"/>
      <c r="G1128" s="1665"/>
      <c r="H1128" s="1601"/>
      <c r="I1128" s="1627"/>
      <c r="J1128" s="40" t="s">
        <v>133</v>
      </c>
      <c r="K1128" s="91"/>
      <c r="L1128" s="364">
        <v>0</v>
      </c>
      <c r="M1128" s="364">
        <v>0</v>
      </c>
      <c r="N1128" s="364">
        <v>0</v>
      </c>
      <c r="O1128" s="364">
        <v>0</v>
      </c>
      <c r="P1128" s="364">
        <v>0</v>
      </c>
      <c r="Q1128" s="1475">
        <f>L1128*$H1130</f>
        <v>0</v>
      </c>
      <c r="R1128" s="1475">
        <f>M1128*$H1130</f>
        <v>0</v>
      </c>
      <c r="S1128" s="1475">
        <f>N1128*$H1130</f>
        <v>0</v>
      </c>
      <c r="T1128" s="1475">
        <f>O1128*$H1130</f>
        <v>0</v>
      </c>
      <c r="U1128" s="1475">
        <f>P1128*$H1130</f>
        <v>0</v>
      </c>
      <c r="V1128" s="1475">
        <f t="shared" si="579"/>
        <v>0</v>
      </c>
    </row>
    <row r="1129" spans="1:22" s="39" customFormat="1" ht="24" customHeight="1">
      <c r="A1129" s="1860">
        <v>2</v>
      </c>
      <c r="B1129" s="1860"/>
      <c r="C1129" s="1860"/>
      <c r="D1129" s="1860"/>
      <c r="E1129" s="1839"/>
      <c r="F1129" s="1841"/>
      <c r="G1129" s="1665"/>
      <c r="H1129" s="1601"/>
      <c r="I1129" s="1627"/>
      <c r="J1129" s="40" t="s">
        <v>81</v>
      </c>
      <c r="K1129" s="91"/>
      <c r="L1129" s="364">
        <v>0</v>
      </c>
      <c r="M1129" s="364">
        <v>0</v>
      </c>
      <c r="N1129" s="364">
        <v>0</v>
      </c>
      <c r="O1129" s="364">
        <v>0</v>
      </c>
      <c r="P1129" s="364">
        <v>0</v>
      </c>
      <c r="Q1129" s="1475">
        <f>L1129*$H1130</f>
        <v>0</v>
      </c>
      <c r="R1129" s="1475">
        <f>M1129*$H1130</f>
        <v>0</v>
      </c>
      <c r="S1129" s="1475">
        <f>N1129*$H1130</f>
        <v>0</v>
      </c>
      <c r="T1129" s="1475">
        <f>O1129*$H1130</f>
        <v>0</v>
      </c>
      <c r="U1129" s="1475">
        <f>P1129*$H1130</f>
        <v>0</v>
      </c>
      <c r="V1129" s="1475">
        <f t="shared" si="579"/>
        <v>0</v>
      </c>
    </row>
    <row r="1130" spans="1:22" s="39" customFormat="1" ht="24" customHeight="1">
      <c r="A1130" s="1860">
        <v>2</v>
      </c>
      <c r="B1130" s="1860"/>
      <c r="C1130" s="1860"/>
      <c r="D1130" s="1860"/>
      <c r="E1130" s="1839"/>
      <c r="F1130" s="1841"/>
      <c r="G1130" s="1665"/>
      <c r="H1130" s="1667">
        <v>0</v>
      </c>
      <c r="I1130" s="1627"/>
      <c r="J1130" s="40" t="s">
        <v>134</v>
      </c>
      <c r="K1130" s="91"/>
      <c r="L1130" s="364">
        <v>0</v>
      </c>
      <c r="M1130" s="364">
        <v>0</v>
      </c>
      <c r="N1130" s="364">
        <v>0</v>
      </c>
      <c r="O1130" s="364">
        <v>0</v>
      </c>
      <c r="P1130" s="364">
        <v>0</v>
      </c>
      <c r="Q1130" s="1475">
        <f>L1130*$H1130</f>
        <v>0</v>
      </c>
      <c r="R1130" s="1475">
        <f>M1130*$H1130</f>
        <v>0</v>
      </c>
      <c r="S1130" s="1475">
        <f>N1130*$H1130</f>
        <v>0</v>
      </c>
      <c r="T1130" s="1475">
        <f>O1130*$H1130</f>
        <v>0</v>
      </c>
      <c r="U1130" s="1475">
        <f>P1130*$H1130</f>
        <v>0</v>
      </c>
      <c r="V1130" s="1475">
        <f t="shared" si="579"/>
        <v>0</v>
      </c>
    </row>
    <row r="1131" spans="1:22" s="39" customFormat="1" ht="24" customHeight="1">
      <c r="A1131" s="1860">
        <v>2</v>
      </c>
      <c r="B1131" s="1860"/>
      <c r="C1131" s="1860"/>
      <c r="D1131" s="1860"/>
      <c r="E1131" s="1839"/>
      <c r="F1131" s="1841"/>
      <c r="G1131" s="1665"/>
      <c r="H1131" s="1668">
        <f>810*0.05</f>
        <v>40.5</v>
      </c>
      <c r="I1131" s="1627"/>
      <c r="J1131" s="40" t="s">
        <v>82</v>
      </c>
      <c r="K1131" s="91"/>
      <c r="L1131" s="364">
        <v>0</v>
      </c>
      <c r="M1131" s="364">
        <v>0</v>
      </c>
      <c r="N1131" s="364">
        <v>0</v>
      </c>
      <c r="O1131" s="364">
        <v>0</v>
      </c>
      <c r="P1131" s="364">
        <v>0</v>
      </c>
      <c r="Q1131" s="1475">
        <f>L1131*$H1130</f>
        <v>0</v>
      </c>
      <c r="R1131" s="1475">
        <f>M1131*$H1130</f>
        <v>0</v>
      </c>
      <c r="S1131" s="1475">
        <f>N1131*$H1130</f>
        <v>0</v>
      </c>
      <c r="T1131" s="1475">
        <f>O1131*$H1130</f>
        <v>0</v>
      </c>
      <c r="U1131" s="1475">
        <f>P1131*$H1130</f>
        <v>0</v>
      </c>
      <c r="V1131" s="1475">
        <f t="shared" si="579"/>
        <v>0</v>
      </c>
    </row>
    <row r="1132" spans="1:22" s="39" customFormat="1" ht="24" customHeight="1">
      <c r="A1132" s="1860">
        <v>2</v>
      </c>
      <c r="B1132" s="1860"/>
      <c r="C1132" s="1860"/>
      <c r="D1132" s="1860"/>
      <c r="E1132" s="1839"/>
      <c r="F1132" s="1841"/>
      <c r="G1132" s="1665"/>
      <c r="H1132" s="1668"/>
      <c r="I1132" s="1627"/>
      <c r="J1132" s="40" t="s">
        <v>90</v>
      </c>
      <c r="K1132" s="91"/>
      <c r="L1132" s="364">
        <v>0</v>
      </c>
      <c r="M1132" s="364">
        <v>0</v>
      </c>
      <c r="N1132" s="364">
        <v>0</v>
      </c>
      <c r="O1132" s="364">
        <v>0</v>
      </c>
      <c r="P1132" s="364">
        <v>0</v>
      </c>
      <c r="Q1132" s="1475">
        <f>L1132*$H1130</f>
        <v>0</v>
      </c>
      <c r="R1132" s="1475">
        <f>M1132*$H1130</f>
        <v>0</v>
      </c>
      <c r="S1132" s="1475">
        <f>N1132*$H1130</f>
        <v>0</v>
      </c>
      <c r="T1132" s="1475">
        <f>O1132*$H1130</f>
        <v>0</v>
      </c>
      <c r="U1132" s="1475">
        <f>P1132*$H1130</f>
        <v>0</v>
      </c>
      <c r="V1132" s="1475">
        <f t="shared" si="579"/>
        <v>0</v>
      </c>
    </row>
    <row r="1133" spans="1:22" s="39" customFormat="1" ht="24" customHeight="1">
      <c r="A1133" s="1860">
        <v>2</v>
      </c>
      <c r="B1133" s="1860"/>
      <c r="C1133" s="1860"/>
      <c r="D1133" s="1860"/>
      <c r="E1133" s="1839"/>
      <c r="F1133" s="1841"/>
      <c r="G1133" s="1665"/>
      <c r="H1133" s="1668"/>
      <c r="I1133" s="1627"/>
      <c r="J1133" s="40" t="s">
        <v>83</v>
      </c>
      <c r="K1133" s="91"/>
      <c r="L1133" s="364">
        <v>0</v>
      </c>
      <c r="M1133" s="364">
        <v>0</v>
      </c>
      <c r="N1133" s="364">
        <v>0</v>
      </c>
      <c r="O1133" s="364">
        <v>0</v>
      </c>
      <c r="P1133" s="364">
        <v>0</v>
      </c>
      <c r="Q1133" s="1475">
        <f>L1133*$H1130</f>
        <v>0</v>
      </c>
      <c r="R1133" s="1475">
        <f>M1133*$H1130</f>
        <v>0</v>
      </c>
      <c r="S1133" s="1475">
        <f>N1133*$H1130</f>
        <v>0</v>
      </c>
      <c r="T1133" s="1475">
        <f>O1133*$H1130</f>
        <v>0</v>
      </c>
      <c r="U1133" s="1475">
        <f>P1133*$H1130</f>
        <v>0</v>
      </c>
      <c r="V1133" s="1475">
        <f t="shared" si="579"/>
        <v>0</v>
      </c>
    </row>
    <row r="1134" spans="1:22" s="39" customFormat="1" ht="24" customHeight="1" thickBot="1">
      <c r="A1134" s="1860">
        <v>2</v>
      </c>
      <c r="B1134" s="1860"/>
      <c r="C1134" s="1860"/>
      <c r="D1134" s="1860"/>
      <c r="E1134" s="1839"/>
      <c r="F1134" s="1841"/>
      <c r="G1134" s="1666"/>
      <c r="H1134" s="1669"/>
      <c r="I1134" s="1809"/>
      <c r="J1134" s="40" t="s">
        <v>84</v>
      </c>
      <c r="K1134" s="91"/>
      <c r="L1134" s="364">
        <f>L1125-L1126</f>
        <v>0</v>
      </c>
      <c r="M1134" s="364">
        <f t="shared" ref="M1134:U1134" si="601">M1125-M1126</f>
        <v>0</v>
      </c>
      <c r="N1134" s="364">
        <f t="shared" si="601"/>
        <v>0</v>
      </c>
      <c r="O1134" s="364">
        <f t="shared" si="601"/>
        <v>0</v>
      </c>
      <c r="P1134" s="364">
        <f t="shared" si="601"/>
        <v>0</v>
      </c>
      <c r="Q1134" s="1475">
        <f t="shared" si="601"/>
        <v>0</v>
      </c>
      <c r="R1134" s="1475">
        <f t="shared" si="601"/>
        <v>0</v>
      </c>
      <c r="S1134" s="1475">
        <f t="shared" si="601"/>
        <v>0</v>
      </c>
      <c r="T1134" s="1475">
        <f t="shared" si="601"/>
        <v>0</v>
      </c>
      <c r="U1134" s="1475">
        <f t="shared" si="601"/>
        <v>0</v>
      </c>
      <c r="V1134" s="1475">
        <f t="shared" si="579"/>
        <v>0</v>
      </c>
    </row>
    <row r="1135" spans="1:22" s="99" customFormat="1" ht="24" customHeight="1">
      <c r="A1135" s="1860">
        <v>2</v>
      </c>
      <c r="B1135" s="1860">
        <v>3</v>
      </c>
      <c r="C1135" s="1860">
        <v>4</v>
      </c>
      <c r="D1135" s="1860">
        <v>10</v>
      </c>
      <c r="E1135" s="1839" t="s">
        <v>15</v>
      </c>
      <c r="F1135" s="1844" t="str">
        <f>CONCATENATE(A1135,".",B1135,".",C1135,".",D1135,)</f>
        <v>2.3.4.10</v>
      </c>
      <c r="G1135" s="1664" t="s">
        <v>1044</v>
      </c>
      <c r="H1135" s="1601" t="s">
        <v>384</v>
      </c>
      <c r="I1135" s="1808" t="s">
        <v>765</v>
      </c>
      <c r="J1135" s="36" t="s">
        <v>79</v>
      </c>
      <c r="K1135" s="896"/>
      <c r="L1135" s="383">
        <v>0</v>
      </c>
      <c r="M1135" s="383">
        <v>0</v>
      </c>
      <c r="N1135" s="383">
        <v>0</v>
      </c>
      <c r="O1135" s="383">
        <v>0</v>
      </c>
      <c r="P1135" s="383">
        <v>0</v>
      </c>
      <c r="Q1135" s="1475">
        <f>L1135*H1140</f>
        <v>0</v>
      </c>
      <c r="R1135" s="1475">
        <f>M1135*H1140</f>
        <v>0</v>
      </c>
      <c r="S1135" s="1475">
        <f>N1135*H1140</f>
        <v>0</v>
      </c>
      <c r="T1135" s="1475">
        <f>O1135*H1140</f>
        <v>0</v>
      </c>
      <c r="U1135" s="1475">
        <f>P1135*H1140</f>
        <v>0</v>
      </c>
      <c r="V1135" s="1475">
        <f t="shared" ref="V1135:V1144" si="602">SUM(Q1135:U1135)</f>
        <v>0</v>
      </c>
    </row>
    <row r="1136" spans="1:22" s="99" customFormat="1" ht="24" customHeight="1">
      <c r="A1136" s="1860">
        <v>2</v>
      </c>
      <c r="B1136" s="1860"/>
      <c r="C1136" s="1860"/>
      <c r="D1136" s="1860"/>
      <c r="E1136" s="1839"/>
      <c r="F1136" s="1844"/>
      <c r="G1136" s="1665"/>
      <c r="H1136" s="1601"/>
      <c r="I1136" s="1627"/>
      <c r="J1136" s="40" t="s">
        <v>80</v>
      </c>
      <c r="K1136" s="91"/>
      <c r="L1136" s="364">
        <f t="shared" ref="L1136:U1136" si="603">SUM(L1137:L1143)</f>
        <v>0</v>
      </c>
      <c r="M1136" s="364">
        <f t="shared" si="603"/>
        <v>0</v>
      </c>
      <c r="N1136" s="364">
        <f t="shared" si="603"/>
        <v>0</v>
      </c>
      <c r="O1136" s="364">
        <f t="shared" si="603"/>
        <v>0</v>
      </c>
      <c r="P1136" s="364">
        <f t="shared" si="603"/>
        <v>0</v>
      </c>
      <c r="Q1136" s="1475">
        <f t="shared" si="603"/>
        <v>0</v>
      </c>
      <c r="R1136" s="1475">
        <f t="shared" si="603"/>
        <v>0</v>
      </c>
      <c r="S1136" s="1475">
        <f t="shared" si="603"/>
        <v>0</v>
      </c>
      <c r="T1136" s="1475">
        <f t="shared" si="603"/>
        <v>0</v>
      </c>
      <c r="U1136" s="1475">
        <f t="shared" si="603"/>
        <v>0</v>
      </c>
      <c r="V1136" s="1475">
        <f t="shared" si="602"/>
        <v>0</v>
      </c>
    </row>
    <row r="1137" spans="1:22" s="99" customFormat="1" ht="24" customHeight="1">
      <c r="A1137" s="1860">
        <v>2</v>
      </c>
      <c r="B1137" s="1860"/>
      <c r="C1137" s="1860"/>
      <c r="D1137" s="1860"/>
      <c r="E1137" s="1839"/>
      <c r="F1137" s="1844"/>
      <c r="G1137" s="1665"/>
      <c r="H1137" s="1601"/>
      <c r="I1137" s="1627"/>
      <c r="J1137" s="40" t="s">
        <v>429</v>
      </c>
      <c r="K1137" s="91"/>
      <c r="L1137" s="364">
        <v>0</v>
      </c>
      <c r="M1137" s="364">
        <v>0</v>
      </c>
      <c r="N1137" s="364">
        <v>0</v>
      </c>
      <c r="O1137" s="364">
        <v>0</v>
      </c>
      <c r="P1137" s="364">
        <v>0</v>
      </c>
      <c r="Q1137" s="1475">
        <f>L1137*$H1140</f>
        <v>0</v>
      </c>
      <c r="R1137" s="1475">
        <f>M1137*$H1140</f>
        <v>0</v>
      </c>
      <c r="S1137" s="1475">
        <f>N1137*$H1140</f>
        <v>0</v>
      </c>
      <c r="T1137" s="1475">
        <f>O1137*$H1140</f>
        <v>0</v>
      </c>
      <c r="U1137" s="1475">
        <f>P1137*$H1140</f>
        <v>0</v>
      </c>
      <c r="V1137" s="1475">
        <f t="shared" si="602"/>
        <v>0</v>
      </c>
    </row>
    <row r="1138" spans="1:22" s="99" customFormat="1" ht="24" customHeight="1">
      <c r="A1138" s="1860">
        <v>2</v>
      </c>
      <c r="B1138" s="1860"/>
      <c r="C1138" s="1860"/>
      <c r="D1138" s="1860"/>
      <c r="E1138" s="1839"/>
      <c r="F1138" s="1844"/>
      <c r="G1138" s="1665"/>
      <c r="H1138" s="1601"/>
      <c r="I1138" s="1627"/>
      <c r="J1138" s="40" t="s">
        <v>133</v>
      </c>
      <c r="K1138" s="91"/>
      <c r="L1138" s="364">
        <v>0</v>
      </c>
      <c r="M1138" s="364">
        <v>0</v>
      </c>
      <c r="N1138" s="364">
        <v>0</v>
      </c>
      <c r="O1138" s="364">
        <v>0</v>
      </c>
      <c r="P1138" s="364">
        <v>0</v>
      </c>
      <c r="Q1138" s="1475">
        <f>L1138*$H1140</f>
        <v>0</v>
      </c>
      <c r="R1138" s="1475">
        <f>M1138*$H1140</f>
        <v>0</v>
      </c>
      <c r="S1138" s="1475">
        <f>N1138*$H1140</f>
        <v>0</v>
      </c>
      <c r="T1138" s="1475">
        <f>O1138*$H1140</f>
        <v>0</v>
      </c>
      <c r="U1138" s="1475">
        <f>P1138*$H1140</f>
        <v>0</v>
      </c>
      <c r="V1138" s="1475">
        <f t="shared" si="602"/>
        <v>0</v>
      </c>
    </row>
    <row r="1139" spans="1:22" s="99" customFormat="1" ht="24" customHeight="1">
      <c r="A1139" s="1860">
        <v>2</v>
      </c>
      <c r="B1139" s="1860"/>
      <c r="C1139" s="1860"/>
      <c r="D1139" s="1860"/>
      <c r="E1139" s="1839"/>
      <c r="F1139" s="1844"/>
      <c r="G1139" s="1665"/>
      <c r="H1139" s="1601"/>
      <c r="I1139" s="1627"/>
      <c r="J1139" s="40" t="s">
        <v>81</v>
      </c>
      <c r="K1139" s="91"/>
      <c r="L1139" s="364">
        <v>0</v>
      </c>
      <c r="M1139" s="364">
        <v>0</v>
      </c>
      <c r="N1139" s="364">
        <v>0</v>
      </c>
      <c r="O1139" s="364">
        <v>0</v>
      </c>
      <c r="P1139" s="364">
        <v>0</v>
      </c>
      <c r="Q1139" s="1475">
        <f>L1139*$H1140</f>
        <v>0</v>
      </c>
      <c r="R1139" s="1475">
        <f>M1139*$H1140</f>
        <v>0</v>
      </c>
      <c r="S1139" s="1475">
        <f>N1139*$H1140</f>
        <v>0</v>
      </c>
      <c r="T1139" s="1475">
        <f>O1139*$H1140</f>
        <v>0</v>
      </c>
      <c r="U1139" s="1475">
        <f>P1139*$H1140</f>
        <v>0</v>
      </c>
      <c r="V1139" s="1475">
        <f t="shared" si="602"/>
        <v>0</v>
      </c>
    </row>
    <row r="1140" spans="1:22" s="99" customFormat="1" ht="24" customHeight="1">
      <c r="A1140" s="1860">
        <v>2</v>
      </c>
      <c r="B1140" s="1860"/>
      <c r="C1140" s="1860"/>
      <c r="D1140" s="1860"/>
      <c r="E1140" s="1839"/>
      <c r="F1140" s="1844"/>
      <c r="G1140" s="1665"/>
      <c r="H1140" s="1667">
        <v>0</v>
      </c>
      <c r="I1140" s="1627"/>
      <c r="J1140" s="40" t="s">
        <v>134</v>
      </c>
      <c r="K1140" s="91"/>
      <c r="L1140" s="364">
        <v>0</v>
      </c>
      <c r="M1140" s="364">
        <v>0</v>
      </c>
      <c r="N1140" s="364">
        <v>0</v>
      </c>
      <c r="O1140" s="364">
        <v>0</v>
      </c>
      <c r="P1140" s="364">
        <v>0</v>
      </c>
      <c r="Q1140" s="1475">
        <f>L1140*$H1140</f>
        <v>0</v>
      </c>
      <c r="R1140" s="1475">
        <f>M1140*$H1140</f>
        <v>0</v>
      </c>
      <c r="S1140" s="1475">
        <f>N1140*$H1140</f>
        <v>0</v>
      </c>
      <c r="T1140" s="1475">
        <f>O1140*$H1140</f>
        <v>0</v>
      </c>
      <c r="U1140" s="1475">
        <f>P1140*$H1140</f>
        <v>0</v>
      </c>
      <c r="V1140" s="1475">
        <f t="shared" si="602"/>
        <v>0</v>
      </c>
    </row>
    <row r="1141" spans="1:22" s="99" customFormat="1" ht="24" customHeight="1">
      <c r="A1141" s="1860">
        <v>2</v>
      </c>
      <c r="B1141" s="1860"/>
      <c r="C1141" s="1860"/>
      <c r="D1141" s="1860"/>
      <c r="E1141" s="1839"/>
      <c r="F1141" s="1844"/>
      <c r="G1141" s="1665"/>
      <c r="H1141" s="1668">
        <f>810*0.05</f>
        <v>40.5</v>
      </c>
      <c r="I1141" s="1627"/>
      <c r="J1141" s="40" t="s">
        <v>82</v>
      </c>
      <c r="K1141" s="91"/>
      <c r="L1141" s="364">
        <v>0</v>
      </c>
      <c r="M1141" s="364">
        <v>0</v>
      </c>
      <c r="N1141" s="364">
        <v>0</v>
      </c>
      <c r="O1141" s="364">
        <v>0</v>
      </c>
      <c r="P1141" s="364">
        <v>0</v>
      </c>
      <c r="Q1141" s="1475">
        <f>L1141*$H1140</f>
        <v>0</v>
      </c>
      <c r="R1141" s="1475">
        <f>M1141*$H1140</f>
        <v>0</v>
      </c>
      <c r="S1141" s="1475">
        <f>N1141*$H1140</f>
        <v>0</v>
      </c>
      <c r="T1141" s="1475">
        <f>O1141*$H1140</f>
        <v>0</v>
      </c>
      <c r="U1141" s="1475">
        <f>P1141*$H1140</f>
        <v>0</v>
      </c>
      <c r="V1141" s="1475">
        <f t="shared" si="602"/>
        <v>0</v>
      </c>
    </row>
    <row r="1142" spans="1:22" s="99" customFormat="1" ht="24" customHeight="1">
      <c r="A1142" s="1860">
        <v>2</v>
      </c>
      <c r="B1142" s="1860"/>
      <c r="C1142" s="1860"/>
      <c r="D1142" s="1860"/>
      <c r="E1142" s="1839"/>
      <c r="F1142" s="1844"/>
      <c r="G1142" s="1665"/>
      <c r="H1142" s="1668"/>
      <c r="I1142" s="1627"/>
      <c r="J1142" s="40" t="s">
        <v>90</v>
      </c>
      <c r="K1142" s="91"/>
      <c r="L1142" s="364">
        <v>0</v>
      </c>
      <c r="M1142" s="364">
        <v>0</v>
      </c>
      <c r="N1142" s="364">
        <v>0</v>
      </c>
      <c r="O1142" s="364">
        <v>0</v>
      </c>
      <c r="P1142" s="364">
        <v>0</v>
      </c>
      <c r="Q1142" s="1475">
        <f>L1142*$H1140</f>
        <v>0</v>
      </c>
      <c r="R1142" s="1475">
        <f>M1142*$H1140</f>
        <v>0</v>
      </c>
      <c r="S1142" s="1475">
        <f>N1142*$H1140</f>
        <v>0</v>
      </c>
      <c r="T1142" s="1475">
        <f>O1142*$H1140</f>
        <v>0</v>
      </c>
      <c r="U1142" s="1475">
        <f>P1142*$H1140</f>
        <v>0</v>
      </c>
      <c r="V1142" s="1475">
        <f t="shared" si="602"/>
        <v>0</v>
      </c>
    </row>
    <row r="1143" spans="1:22" s="99" customFormat="1" ht="24" customHeight="1">
      <c r="A1143" s="1860">
        <v>2</v>
      </c>
      <c r="B1143" s="1860"/>
      <c r="C1143" s="1860"/>
      <c r="D1143" s="1860"/>
      <c r="E1143" s="1839"/>
      <c r="F1143" s="1844"/>
      <c r="G1143" s="1665"/>
      <c r="H1143" s="1668"/>
      <c r="I1143" s="1627"/>
      <c r="J1143" s="40" t="s">
        <v>83</v>
      </c>
      <c r="K1143" s="91"/>
      <c r="L1143" s="364">
        <v>0</v>
      </c>
      <c r="M1143" s="364">
        <v>0</v>
      </c>
      <c r="N1143" s="364">
        <v>0</v>
      </c>
      <c r="O1143" s="364">
        <v>0</v>
      </c>
      <c r="P1143" s="364">
        <v>0</v>
      </c>
      <c r="Q1143" s="1475">
        <f>L1143*$H1140</f>
        <v>0</v>
      </c>
      <c r="R1143" s="1475">
        <f>M1143*$H1140</f>
        <v>0</v>
      </c>
      <c r="S1143" s="1475">
        <f>N1143*$H1140</f>
        <v>0</v>
      </c>
      <c r="T1143" s="1475">
        <f>O1143*$H1140</f>
        <v>0</v>
      </c>
      <c r="U1143" s="1475">
        <f>P1143*$H1140</f>
        <v>0</v>
      </c>
      <c r="V1143" s="1475">
        <f t="shared" si="602"/>
        <v>0</v>
      </c>
    </row>
    <row r="1144" spans="1:22" s="99" customFormat="1" ht="24" customHeight="1" thickBot="1">
      <c r="A1144" s="1860">
        <v>2</v>
      </c>
      <c r="B1144" s="1860"/>
      <c r="C1144" s="1860"/>
      <c r="D1144" s="1860"/>
      <c r="E1144" s="1839"/>
      <c r="F1144" s="1890"/>
      <c r="G1144" s="1665"/>
      <c r="H1144" s="1668"/>
      <c r="I1144" s="1627"/>
      <c r="J1144" s="40" t="s">
        <v>84</v>
      </c>
      <c r="K1144" s="91"/>
      <c r="L1144" s="364">
        <f>L1135-L1136</f>
        <v>0</v>
      </c>
      <c r="M1144" s="364">
        <f t="shared" ref="M1144:U1144" si="604">M1135-M1136</f>
        <v>0</v>
      </c>
      <c r="N1144" s="364">
        <f t="shared" si="604"/>
        <v>0</v>
      </c>
      <c r="O1144" s="364">
        <f t="shared" si="604"/>
        <v>0</v>
      </c>
      <c r="P1144" s="364">
        <f t="shared" si="604"/>
        <v>0</v>
      </c>
      <c r="Q1144" s="1475">
        <f t="shared" si="604"/>
        <v>0</v>
      </c>
      <c r="R1144" s="1475">
        <f t="shared" si="604"/>
        <v>0</v>
      </c>
      <c r="S1144" s="1475">
        <f t="shared" si="604"/>
        <v>0</v>
      </c>
      <c r="T1144" s="1475">
        <f t="shared" si="604"/>
        <v>0</v>
      </c>
      <c r="U1144" s="1475">
        <f t="shared" si="604"/>
        <v>0</v>
      </c>
      <c r="V1144" s="1475">
        <f t="shared" si="602"/>
        <v>0</v>
      </c>
    </row>
    <row r="1145" spans="1:22" s="39" customFormat="1" ht="24" customHeight="1" thickBot="1">
      <c r="A1145" s="828">
        <v>2</v>
      </c>
      <c r="B1145" s="829">
        <v>3</v>
      </c>
      <c r="C1145" s="829">
        <v>5</v>
      </c>
      <c r="D1145" s="829"/>
      <c r="E1145" s="830" t="s">
        <v>13</v>
      </c>
      <c r="F1145" s="924" t="str">
        <f>CONCATENATE(A1145,".",B1145,".",C1145,)</f>
        <v>2.3.5</v>
      </c>
      <c r="G1145" s="1582" t="s">
        <v>330</v>
      </c>
      <c r="H1145" s="1583"/>
      <c r="I1145" s="1583"/>
      <c r="J1145" s="1584"/>
      <c r="K1145" s="924"/>
      <c r="L1145" s="925"/>
      <c r="M1145" s="925"/>
      <c r="N1145" s="925"/>
      <c r="O1145" s="925"/>
      <c r="P1145" s="925"/>
      <c r="Q1145" s="1529">
        <f>Q1147+Q1157</f>
        <v>16947</v>
      </c>
      <c r="R1145" s="1529">
        <f t="shared" ref="R1145:U1145" si="605">R1147+R1157</f>
        <v>16947</v>
      </c>
      <c r="S1145" s="1529">
        <f t="shared" si="605"/>
        <v>16947</v>
      </c>
      <c r="T1145" s="1529">
        <f t="shared" si="605"/>
        <v>0</v>
      </c>
      <c r="U1145" s="1529">
        <f t="shared" si="605"/>
        <v>0</v>
      </c>
      <c r="V1145" s="1530">
        <f t="shared" ref="V1145" si="606">SUM(Q1145:U1145)</f>
        <v>50841</v>
      </c>
    </row>
    <row r="1146" spans="1:22" s="45" customFormat="1" ht="24" customHeight="1">
      <c r="A1146" s="1958">
        <v>2</v>
      </c>
      <c r="B1146" s="1873">
        <v>3</v>
      </c>
      <c r="C1146" s="1873">
        <v>5</v>
      </c>
      <c r="D1146" s="1873">
        <v>1</v>
      </c>
      <c r="E1146" s="1861" t="s">
        <v>15</v>
      </c>
      <c r="F1146" s="1840" t="str">
        <f>CONCATENATE(A1146,".",B1146,".",C1146,".",D1146,)</f>
        <v>2.3.5.1</v>
      </c>
      <c r="G1146" s="1677" t="s">
        <v>380</v>
      </c>
      <c r="H1146" s="1679" t="s">
        <v>142</v>
      </c>
      <c r="I1146" s="1673" t="s">
        <v>381</v>
      </c>
      <c r="J1146" s="262" t="s">
        <v>79</v>
      </c>
      <c r="K1146" s="908"/>
      <c r="L1146" s="914">
        <v>1</v>
      </c>
      <c r="M1146" s="914">
        <v>1</v>
      </c>
      <c r="N1146" s="914">
        <v>1</v>
      </c>
      <c r="O1146" s="914">
        <v>1</v>
      </c>
      <c r="P1146" s="914">
        <v>1</v>
      </c>
      <c r="Q1146" s="1484">
        <f>L1146*H1151</f>
        <v>16947</v>
      </c>
      <c r="R1146" s="1484">
        <f>M1146*H1151</f>
        <v>16947</v>
      </c>
      <c r="S1146" s="1484">
        <f>N1146*H1151</f>
        <v>16947</v>
      </c>
      <c r="T1146" s="1484">
        <f>O1146*H1151</f>
        <v>16947</v>
      </c>
      <c r="U1146" s="1484">
        <f>P1146*H1151</f>
        <v>16947</v>
      </c>
      <c r="V1146" s="1526">
        <f t="shared" ref="V1146:V1155" si="607">SUM(Q1146:U1146)</f>
        <v>84735</v>
      </c>
    </row>
    <row r="1147" spans="1:22" s="39" customFormat="1" ht="24" customHeight="1">
      <c r="A1147" s="1959">
        <v>2</v>
      </c>
      <c r="B1147" s="1860"/>
      <c r="C1147" s="1860"/>
      <c r="D1147" s="1860"/>
      <c r="E1147" s="1839"/>
      <c r="F1147" s="1841"/>
      <c r="G1147" s="1665"/>
      <c r="H1147" s="1601"/>
      <c r="I1147" s="1615"/>
      <c r="J1147" s="40" t="s">
        <v>80</v>
      </c>
      <c r="K1147" s="91"/>
      <c r="L1147" s="364">
        <f t="shared" ref="L1147:P1147" si="608">SUM(L1148:L1154)</f>
        <v>1</v>
      </c>
      <c r="M1147" s="364">
        <f t="shared" si="608"/>
        <v>1</v>
      </c>
      <c r="N1147" s="364">
        <f t="shared" si="608"/>
        <v>1</v>
      </c>
      <c r="O1147" s="364">
        <f t="shared" si="608"/>
        <v>0</v>
      </c>
      <c r="P1147" s="364">
        <f t="shared" si="608"/>
        <v>0</v>
      </c>
      <c r="Q1147" s="1475">
        <f t="shared" ref="Q1147:U1147" si="609">SUM(Q1148:Q1154)</f>
        <v>16947</v>
      </c>
      <c r="R1147" s="1475">
        <f t="shared" si="609"/>
        <v>16947</v>
      </c>
      <c r="S1147" s="1475">
        <f t="shared" si="609"/>
        <v>16947</v>
      </c>
      <c r="T1147" s="1475">
        <f t="shared" si="609"/>
        <v>0</v>
      </c>
      <c r="U1147" s="1475">
        <f t="shared" si="609"/>
        <v>0</v>
      </c>
      <c r="V1147" s="1527">
        <f t="shared" si="607"/>
        <v>50841</v>
      </c>
    </row>
    <row r="1148" spans="1:22" s="39" customFormat="1" ht="24" customHeight="1">
      <c r="A1148" s="1959">
        <v>2</v>
      </c>
      <c r="B1148" s="1860"/>
      <c r="C1148" s="1860"/>
      <c r="D1148" s="1860"/>
      <c r="E1148" s="1839"/>
      <c r="F1148" s="1841"/>
      <c r="G1148" s="1665"/>
      <c r="H1148" s="1601"/>
      <c r="I1148" s="1615"/>
      <c r="J1148" s="40" t="s">
        <v>429</v>
      </c>
      <c r="K1148" s="91"/>
      <c r="L1148" s="364">
        <v>0</v>
      </c>
      <c r="M1148" s="364">
        <v>0</v>
      </c>
      <c r="N1148" s="364">
        <v>0</v>
      </c>
      <c r="O1148" s="364">
        <v>0</v>
      </c>
      <c r="P1148" s="364">
        <v>0</v>
      </c>
      <c r="Q1148" s="1475">
        <f>L1148*$H1151</f>
        <v>0</v>
      </c>
      <c r="R1148" s="1475">
        <f>M1148*$H1151</f>
        <v>0</v>
      </c>
      <c r="S1148" s="1475">
        <f>N1148*$H1151</f>
        <v>0</v>
      </c>
      <c r="T1148" s="1475">
        <f>O1148*$H1151</f>
        <v>0</v>
      </c>
      <c r="U1148" s="1475">
        <f>P1148*$H1151</f>
        <v>0</v>
      </c>
      <c r="V1148" s="1527">
        <f t="shared" si="607"/>
        <v>0</v>
      </c>
    </row>
    <row r="1149" spans="1:22" s="39" customFormat="1" ht="24" customHeight="1">
      <c r="A1149" s="1959">
        <v>2</v>
      </c>
      <c r="B1149" s="1860"/>
      <c r="C1149" s="1860"/>
      <c r="D1149" s="1860"/>
      <c r="E1149" s="1839"/>
      <c r="F1149" s="1841"/>
      <c r="G1149" s="1665"/>
      <c r="H1149" s="1601"/>
      <c r="I1149" s="1615"/>
      <c r="J1149" s="40" t="s">
        <v>133</v>
      </c>
      <c r="K1149" s="91"/>
      <c r="L1149" s="364">
        <v>0</v>
      </c>
      <c r="M1149" s="364">
        <v>0</v>
      </c>
      <c r="N1149" s="364">
        <v>0</v>
      </c>
      <c r="O1149" s="364">
        <v>0</v>
      </c>
      <c r="P1149" s="364">
        <v>0</v>
      </c>
      <c r="Q1149" s="1475">
        <f>L1149*$H1151</f>
        <v>0</v>
      </c>
      <c r="R1149" s="1475">
        <f>M1149*$H1151</f>
        <v>0</v>
      </c>
      <c r="S1149" s="1475">
        <f>N1149*$H1151</f>
        <v>0</v>
      </c>
      <c r="T1149" s="1475">
        <f>O1149*$H1151</f>
        <v>0</v>
      </c>
      <c r="U1149" s="1475">
        <f>P1149*$H1151</f>
        <v>0</v>
      </c>
      <c r="V1149" s="1527">
        <f t="shared" si="607"/>
        <v>0</v>
      </c>
    </row>
    <row r="1150" spans="1:22" s="39" customFormat="1" ht="24" customHeight="1">
      <c r="A1150" s="1959">
        <v>2</v>
      </c>
      <c r="B1150" s="1860"/>
      <c r="C1150" s="1860"/>
      <c r="D1150" s="1860"/>
      <c r="E1150" s="1839"/>
      <c r="F1150" s="1841"/>
      <c r="G1150" s="1665"/>
      <c r="H1150" s="1601"/>
      <c r="I1150" s="1615"/>
      <c r="J1150" s="40" t="s">
        <v>81</v>
      </c>
      <c r="K1150" s="91"/>
      <c r="L1150" s="364">
        <v>0</v>
      </c>
      <c r="M1150" s="364">
        <v>0</v>
      </c>
      <c r="N1150" s="364">
        <v>0</v>
      </c>
      <c r="O1150" s="364">
        <v>0</v>
      </c>
      <c r="P1150" s="364">
        <v>0</v>
      </c>
      <c r="Q1150" s="1475">
        <f>L1150*$H1151</f>
        <v>0</v>
      </c>
      <c r="R1150" s="1475">
        <f>M1150*$H1151</f>
        <v>0</v>
      </c>
      <c r="S1150" s="1475">
        <f>N1150*$H1151</f>
        <v>0</v>
      </c>
      <c r="T1150" s="1475">
        <f>O1150*$H1151</f>
        <v>0</v>
      </c>
      <c r="U1150" s="1475">
        <f>P1150*$H1151</f>
        <v>0</v>
      </c>
      <c r="V1150" s="1527">
        <f t="shared" si="607"/>
        <v>0</v>
      </c>
    </row>
    <row r="1151" spans="1:22" s="39" customFormat="1" ht="24" customHeight="1">
      <c r="A1151" s="1959">
        <v>2</v>
      </c>
      <c r="B1151" s="1860"/>
      <c r="C1151" s="1860"/>
      <c r="D1151" s="1860"/>
      <c r="E1151" s="1839"/>
      <c r="F1151" s="1841"/>
      <c r="G1151" s="1665"/>
      <c r="H1151" s="1667">
        <f>'Budget assumption'!H28</f>
        <v>16947</v>
      </c>
      <c r="I1151" s="1615"/>
      <c r="J1151" s="40" t="s">
        <v>134</v>
      </c>
      <c r="K1151" s="91"/>
      <c r="L1151" s="364">
        <v>0</v>
      </c>
      <c r="M1151" s="364">
        <v>0</v>
      </c>
      <c r="N1151" s="364">
        <v>0</v>
      </c>
      <c r="O1151" s="364">
        <f>O1428*30%</f>
        <v>0</v>
      </c>
      <c r="P1151" s="364">
        <f>P1428*30%</f>
        <v>0</v>
      </c>
      <c r="Q1151" s="1475">
        <f>L1151*$H1151</f>
        <v>0</v>
      </c>
      <c r="R1151" s="1475">
        <f>M1151*$H1151</f>
        <v>0</v>
      </c>
      <c r="S1151" s="1475">
        <f>N1151*$H1151</f>
        <v>0</v>
      </c>
      <c r="T1151" s="1475">
        <f>O1151*$H1151</f>
        <v>0</v>
      </c>
      <c r="U1151" s="1475">
        <f>P1151*$H1151</f>
        <v>0</v>
      </c>
      <c r="V1151" s="1527">
        <f t="shared" si="607"/>
        <v>0</v>
      </c>
    </row>
    <row r="1152" spans="1:22" s="39" customFormat="1" ht="24" customHeight="1">
      <c r="A1152" s="1959">
        <v>2</v>
      </c>
      <c r="B1152" s="1860"/>
      <c r="C1152" s="1860"/>
      <c r="D1152" s="1860"/>
      <c r="E1152" s="1839"/>
      <c r="F1152" s="1841"/>
      <c r="G1152" s="1665"/>
      <c r="H1152" s="1668"/>
      <c r="I1152" s="1615"/>
      <c r="J1152" s="40" t="s">
        <v>82</v>
      </c>
      <c r="K1152" s="91"/>
      <c r="L1152" s="364">
        <v>1</v>
      </c>
      <c r="M1152" s="364">
        <v>1</v>
      </c>
      <c r="N1152" s="364">
        <v>1</v>
      </c>
      <c r="O1152" s="364">
        <v>0</v>
      </c>
      <c r="P1152" s="364">
        <v>0</v>
      </c>
      <c r="Q1152" s="1475">
        <f>L1152*$H1151</f>
        <v>16947</v>
      </c>
      <c r="R1152" s="1475">
        <f>M1152*$H1151</f>
        <v>16947</v>
      </c>
      <c r="S1152" s="1475">
        <f>N1152*$H1151</f>
        <v>16947</v>
      </c>
      <c r="T1152" s="1475">
        <f>O1152*$H1151</f>
        <v>0</v>
      </c>
      <c r="U1152" s="1475">
        <f>P1152*$H1151</f>
        <v>0</v>
      </c>
      <c r="V1152" s="1527">
        <f t="shared" si="607"/>
        <v>50841</v>
      </c>
    </row>
    <row r="1153" spans="1:22" s="39" customFormat="1" ht="24" customHeight="1">
      <c r="A1153" s="1959">
        <v>2</v>
      </c>
      <c r="B1153" s="1860"/>
      <c r="C1153" s="1860"/>
      <c r="D1153" s="1860"/>
      <c r="E1153" s="1839"/>
      <c r="F1153" s="1841"/>
      <c r="G1153" s="1665"/>
      <c r="H1153" s="1668"/>
      <c r="I1153" s="1615"/>
      <c r="J1153" s="40" t="s">
        <v>90</v>
      </c>
      <c r="K1153" s="91"/>
      <c r="L1153" s="364">
        <v>0</v>
      </c>
      <c r="M1153" s="364">
        <v>0</v>
      </c>
      <c r="N1153" s="364">
        <v>0</v>
      </c>
      <c r="O1153" s="364">
        <v>0</v>
      </c>
      <c r="P1153" s="364">
        <v>0</v>
      </c>
      <c r="Q1153" s="1475">
        <f>L1153*$H1151</f>
        <v>0</v>
      </c>
      <c r="R1153" s="1475">
        <f>M1153*$H1151</f>
        <v>0</v>
      </c>
      <c r="S1153" s="1475">
        <f>N1153*$H1151</f>
        <v>0</v>
      </c>
      <c r="T1153" s="1475">
        <f>O1153*$H1151</f>
        <v>0</v>
      </c>
      <c r="U1153" s="1475">
        <f>P1153*$H1151</f>
        <v>0</v>
      </c>
      <c r="V1153" s="1527">
        <f t="shared" si="607"/>
        <v>0</v>
      </c>
    </row>
    <row r="1154" spans="1:22" s="39" customFormat="1" ht="24" customHeight="1">
      <c r="A1154" s="1959">
        <v>2</v>
      </c>
      <c r="B1154" s="1860"/>
      <c r="C1154" s="1860"/>
      <c r="D1154" s="1860"/>
      <c r="E1154" s="1839"/>
      <c r="F1154" s="1841"/>
      <c r="G1154" s="1665"/>
      <c r="H1154" s="1668"/>
      <c r="I1154" s="1615"/>
      <c r="J1154" s="40" t="s">
        <v>83</v>
      </c>
      <c r="K1154" s="91"/>
      <c r="L1154" s="364">
        <v>0</v>
      </c>
      <c r="M1154" s="364">
        <v>0</v>
      </c>
      <c r="N1154" s="364">
        <v>0</v>
      </c>
      <c r="O1154" s="364">
        <v>0</v>
      </c>
      <c r="P1154" s="364">
        <v>0</v>
      </c>
      <c r="Q1154" s="1475">
        <f>L1154*$H1151</f>
        <v>0</v>
      </c>
      <c r="R1154" s="1475">
        <f>M1154*$H1151</f>
        <v>0</v>
      </c>
      <c r="S1154" s="1475">
        <f>N1154*$H1151</f>
        <v>0</v>
      </c>
      <c r="T1154" s="1475">
        <f>O1154*$H1151</f>
        <v>0</v>
      </c>
      <c r="U1154" s="1475">
        <f>P1154*$H1151</f>
        <v>0</v>
      </c>
      <c r="V1154" s="1527">
        <f t="shared" si="607"/>
        <v>0</v>
      </c>
    </row>
    <row r="1155" spans="1:22" s="39" customFormat="1" ht="24" customHeight="1" thickBot="1">
      <c r="A1155" s="1960">
        <v>2</v>
      </c>
      <c r="B1155" s="1874"/>
      <c r="C1155" s="1874"/>
      <c r="D1155" s="1874"/>
      <c r="E1155" s="1862"/>
      <c r="F1155" s="1842"/>
      <c r="G1155" s="1678"/>
      <c r="H1155" s="1793"/>
      <c r="I1155" s="1616"/>
      <c r="J1155" s="80" t="s">
        <v>84</v>
      </c>
      <c r="K1155" s="824"/>
      <c r="L1155" s="371">
        <v>0</v>
      </c>
      <c r="M1155" s="371">
        <v>0</v>
      </c>
      <c r="N1155" s="371">
        <v>0</v>
      </c>
      <c r="O1155" s="371">
        <f t="shared" ref="O1155:P1155" si="610">O1146-O1147</f>
        <v>1</v>
      </c>
      <c r="P1155" s="371">
        <f t="shared" si="610"/>
        <v>1</v>
      </c>
      <c r="Q1155" s="1487">
        <f t="shared" ref="Q1155:U1155" si="611">Q1146-Q1147</f>
        <v>0</v>
      </c>
      <c r="R1155" s="1487">
        <f t="shared" si="611"/>
        <v>0</v>
      </c>
      <c r="S1155" s="1487">
        <f t="shared" si="611"/>
        <v>0</v>
      </c>
      <c r="T1155" s="1487">
        <f t="shared" si="611"/>
        <v>16947</v>
      </c>
      <c r="U1155" s="1487">
        <f t="shared" si="611"/>
        <v>16947</v>
      </c>
      <c r="V1155" s="1528">
        <f t="shared" si="607"/>
        <v>33894</v>
      </c>
    </row>
    <row r="1156" spans="1:22" s="45" customFormat="1" ht="24" customHeight="1">
      <c r="A1156" s="1958">
        <v>2</v>
      </c>
      <c r="B1156" s="1873">
        <v>3</v>
      </c>
      <c r="C1156" s="1873">
        <v>5</v>
      </c>
      <c r="D1156" s="1873">
        <v>2</v>
      </c>
      <c r="E1156" s="1861" t="s">
        <v>15</v>
      </c>
      <c r="F1156" s="1840" t="str">
        <f>CONCATENATE(A1156,".",B1156,".",C1156,".",D1156,)</f>
        <v>2.3.5.2</v>
      </c>
      <c r="G1156" s="1803" t="s">
        <v>795</v>
      </c>
      <c r="H1156" s="1679" t="s">
        <v>195</v>
      </c>
      <c r="I1156" s="1673" t="s">
        <v>796</v>
      </c>
      <c r="J1156" s="262" t="s">
        <v>79</v>
      </c>
      <c r="K1156" s="908"/>
      <c r="L1156" s="914">
        <v>40</v>
      </c>
      <c r="M1156" s="914">
        <v>0</v>
      </c>
      <c r="N1156" s="914">
        <v>0</v>
      </c>
      <c r="O1156" s="914">
        <v>0</v>
      </c>
      <c r="P1156" s="914">
        <v>0</v>
      </c>
      <c r="Q1156" s="1484">
        <f>L1156*H1161</f>
        <v>80000</v>
      </c>
      <c r="R1156" s="1484">
        <f>M1156*H1161</f>
        <v>0</v>
      </c>
      <c r="S1156" s="1484">
        <f>N1156*H1161</f>
        <v>0</v>
      </c>
      <c r="T1156" s="1484">
        <f>O1156*H1161</f>
        <v>0</v>
      </c>
      <c r="U1156" s="1484">
        <f>P1156*H1161</f>
        <v>0</v>
      </c>
      <c r="V1156" s="1526">
        <f t="shared" ref="V1156:V1165" si="612">SUM(Q1156:U1156)</f>
        <v>80000</v>
      </c>
    </row>
    <row r="1157" spans="1:22" s="39" customFormat="1" ht="24" customHeight="1">
      <c r="A1157" s="1959">
        <v>2</v>
      </c>
      <c r="B1157" s="1860"/>
      <c r="C1157" s="1860"/>
      <c r="D1157" s="1860"/>
      <c r="E1157" s="1839"/>
      <c r="F1157" s="1841"/>
      <c r="G1157" s="1786"/>
      <c r="H1157" s="1601"/>
      <c r="I1157" s="1615"/>
      <c r="J1157" s="40" t="s">
        <v>80</v>
      </c>
      <c r="K1157" s="91"/>
      <c r="L1157" s="364">
        <f t="shared" ref="L1157:U1157" si="613">SUM(L1158:L1164)</f>
        <v>0</v>
      </c>
      <c r="M1157" s="364">
        <f t="shared" si="613"/>
        <v>0</v>
      </c>
      <c r="N1157" s="364">
        <f t="shared" si="613"/>
        <v>0</v>
      </c>
      <c r="O1157" s="364">
        <f t="shared" si="613"/>
        <v>0</v>
      </c>
      <c r="P1157" s="364">
        <f t="shared" si="613"/>
        <v>0</v>
      </c>
      <c r="Q1157" s="1475">
        <f t="shared" si="613"/>
        <v>0</v>
      </c>
      <c r="R1157" s="1475">
        <f t="shared" si="613"/>
        <v>0</v>
      </c>
      <c r="S1157" s="1475">
        <f t="shared" si="613"/>
        <v>0</v>
      </c>
      <c r="T1157" s="1475">
        <f t="shared" si="613"/>
        <v>0</v>
      </c>
      <c r="U1157" s="1475">
        <f t="shared" si="613"/>
        <v>0</v>
      </c>
      <c r="V1157" s="1527">
        <f t="shared" si="612"/>
        <v>0</v>
      </c>
    </row>
    <row r="1158" spans="1:22" s="39" customFormat="1" ht="24" customHeight="1">
      <c r="A1158" s="1959">
        <v>2</v>
      </c>
      <c r="B1158" s="1860"/>
      <c r="C1158" s="1860"/>
      <c r="D1158" s="1860"/>
      <c r="E1158" s="1839"/>
      <c r="F1158" s="1841"/>
      <c r="G1158" s="1786"/>
      <c r="H1158" s="1601"/>
      <c r="I1158" s="1615"/>
      <c r="J1158" s="40" t="s">
        <v>429</v>
      </c>
      <c r="K1158" s="91"/>
      <c r="L1158" s="364">
        <v>0</v>
      </c>
      <c r="M1158" s="364">
        <v>0</v>
      </c>
      <c r="N1158" s="364">
        <v>0</v>
      </c>
      <c r="O1158" s="364">
        <v>0</v>
      </c>
      <c r="P1158" s="364">
        <v>0</v>
      </c>
      <c r="Q1158" s="1475">
        <f>L1158*$H1161</f>
        <v>0</v>
      </c>
      <c r="R1158" s="1475">
        <f>M1158*$H1161</f>
        <v>0</v>
      </c>
      <c r="S1158" s="1475">
        <f>N1158*$H1161</f>
        <v>0</v>
      </c>
      <c r="T1158" s="1475">
        <f>O1158*$H1161</f>
        <v>0</v>
      </c>
      <c r="U1158" s="1475">
        <f>P1158*$H1161</f>
        <v>0</v>
      </c>
      <c r="V1158" s="1527">
        <f t="shared" si="612"/>
        <v>0</v>
      </c>
    </row>
    <row r="1159" spans="1:22" s="39" customFormat="1" ht="24" customHeight="1">
      <c r="A1159" s="1959">
        <v>2</v>
      </c>
      <c r="B1159" s="1860"/>
      <c r="C1159" s="1860"/>
      <c r="D1159" s="1860"/>
      <c r="E1159" s="1839"/>
      <c r="F1159" s="1841"/>
      <c r="G1159" s="1786"/>
      <c r="H1159" s="1601"/>
      <c r="I1159" s="1615"/>
      <c r="J1159" s="40" t="s">
        <v>133</v>
      </c>
      <c r="K1159" s="91"/>
      <c r="L1159" s="364">
        <v>0</v>
      </c>
      <c r="M1159" s="364">
        <v>0</v>
      </c>
      <c r="N1159" s="364">
        <v>0</v>
      </c>
      <c r="O1159" s="364">
        <v>0</v>
      </c>
      <c r="P1159" s="364">
        <v>0</v>
      </c>
      <c r="Q1159" s="1475">
        <f>L1159*$H1161</f>
        <v>0</v>
      </c>
      <c r="R1159" s="1475">
        <f>M1159*$H1161</f>
        <v>0</v>
      </c>
      <c r="S1159" s="1475">
        <f>N1159*$H1161</f>
        <v>0</v>
      </c>
      <c r="T1159" s="1475">
        <f>O1159*$H1161</f>
        <v>0</v>
      </c>
      <c r="U1159" s="1475">
        <f>P1159*$H1161</f>
        <v>0</v>
      </c>
      <c r="V1159" s="1527">
        <f t="shared" si="612"/>
        <v>0</v>
      </c>
    </row>
    <row r="1160" spans="1:22" s="39" customFormat="1" ht="24" customHeight="1">
      <c r="A1160" s="1959">
        <v>2</v>
      </c>
      <c r="B1160" s="1860"/>
      <c r="C1160" s="1860"/>
      <c r="D1160" s="1860"/>
      <c r="E1160" s="1839"/>
      <c r="F1160" s="1841"/>
      <c r="G1160" s="1786"/>
      <c r="H1160" s="1601"/>
      <c r="I1160" s="1615"/>
      <c r="J1160" s="40" t="s">
        <v>81</v>
      </c>
      <c r="K1160" s="91"/>
      <c r="L1160" s="364">
        <v>0</v>
      </c>
      <c r="M1160" s="364">
        <v>0</v>
      </c>
      <c r="N1160" s="364">
        <v>0</v>
      </c>
      <c r="O1160" s="364">
        <v>0</v>
      </c>
      <c r="P1160" s="364">
        <v>0</v>
      </c>
      <c r="Q1160" s="1475">
        <f>L1160*$H1161</f>
        <v>0</v>
      </c>
      <c r="R1160" s="1475">
        <f>M1160*$H1161</f>
        <v>0</v>
      </c>
      <c r="S1160" s="1475">
        <f>N1160*$H1161</f>
        <v>0</v>
      </c>
      <c r="T1160" s="1475">
        <f>O1160*$H1161</f>
        <v>0</v>
      </c>
      <c r="U1160" s="1475">
        <f>P1160*$H1161</f>
        <v>0</v>
      </c>
      <c r="V1160" s="1527">
        <f t="shared" si="612"/>
        <v>0</v>
      </c>
    </row>
    <row r="1161" spans="1:22" s="39" customFormat="1" ht="24" customHeight="1">
      <c r="A1161" s="1959">
        <v>2</v>
      </c>
      <c r="B1161" s="1860"/>
      <c r="C1161" s="1860"/>
      <c r="D1161" s="1860"/>
      <c r="E1161" s="1839"/>
      <c r="F1161" s="1841"/>
      <c r="G1161" s="1786"/>
      <c r="H1161" s="1667">
        <f>'Budget assumption'!C4</f>
        <v>2000</v>
      </c>
      <c r="I1161" s="1615"/>
      <c r="J1161" s="40" t="s">
        <v>134</v>
      </c>
      <c r="K1161" s="91"/>
      <c r="L1161" s="364">
        <v>0</v>
      </c>
      <c r="M1161" s="364">
        <v>0</v>
      </c>
      <c r="N1161" s="364">
        <v>0</v>
      </c>
      <c r="O1161" s="364">
        <f>O1438*30%</f>
        <v>0</v>
      </c>
      <c r="P1161" s="364">
        <f>P1438*30%</f>
        <v>0</v>
      </c>
      <c r="Q1161" s="1475">
        <f>L1161*$H1161</f>
        <v>0</v>
      </c>
      <c r="R1161" s="1475">
        <f>M1161*$H1161</f>
        <v>0</v>
      </c>
      <c r="S1161" s="1475">
        <f>N1161*$H1161</f>
        <v>0</v>
      </c>
      <c r="T1161" s="1475">
        <f>O1161*$H1161</f>
        <v>0</v>
      </c>
      <c r="U1161" s="1475">
        <f>P1161*$H1161</f>
        <v>0</v>
      </c>
      <c r="V1161" s="1527">
        <f t="shared" si="612"/>
        <v>0</v>
      </c>
    </row>
    <row r="1162" spans="1:22" s="39" customFormat="1" ht="24" customHeight="1">
      <c r="A1162" s="1959">
        <v>2</v>
      </c>
      <c r="B1162" s="1860"/>
      <c r="C1162" s="1860"/>
      <c r="D1162" s="1860"/>
      <c r="E1162" s="1839"/>
      <c r="F1162" s="1841"/>
      <c r="G1162" s="1786"/>
      <c r="H1162" s="1668"/>
      <c r="I1162" s="1615"/>
      <c r="J1162" s="40" t="s">
        <v>82</v>
      </c>
      <c r="K1162" s="91"/>
      <c r="L1162" s="364">
        <v>0</v>
      </c>
      <c r="M1162" s="364">
        <v>0</v>
      </c>
      <c r="N1162" s="364">
        <v>0</v>
      </c>
      <c r="O1162" s="364">
        <v>0</v>
      </c>
      <c r="P1162" s="364">
        <v>0</v>
      </c>
      <c r="Q1162" s="1475">
        <f>L1162*$H1161</f>
        <v>0</v>
      </c>
      <c r="R1162" s="1475">
        <f>M1162*$H1161</f>
        <v>0</v>
      </c>
      <c r="S1162" s="1475">
        <f>N1162*$H1161</f>
        <v>0</v>
      </c>
      <c r="T1162" s="1475">
        <f>O1162*$H1161</f>
        <v>0</v>
      </c>
      <c r="U1162" s="1475">
        <f>P1162*$H1161</f>
        <v>0</v>
      </c>
      <c r="V1162" s="1527">
        <f t="shared" si="612"/>
        <v>0</v>
      </c>
    </row>
    <row r="1163" spans="1:22" s="39" customFormat="1" ht="24" customHeight="1">
      <c r="A1163" s="1959">
        <v>2</v>
      </c>
      <c r="B1163" s="1860"/>
      <c r="C1163" s="1860"/>
      <c r="D1163" s="1860"/>
      <c r="E1163" s="1839"/>
      <c r="F1163" s="1841"/>
      <c r="G1163" s="1786"/>
      <c r="H1163" s="1668"/>
      <c r="I1163" s="1615"/>
      <c r="J1163" s="40" t="s">
        <v>90</v>
      </c>
      <c r="K1163" s="91"/>
      <c r="L1163" s="364">
        <v>0</v>
      </c>
      <c r="M1163" s="364">
        <v>0</v>
      </c>
      <c r="N1163" s="364">
        <v>0</v>
      </c>
      <c r="O1163" s="364">
        <v>0</v>
      </c>
      <c r="P1163" s="364">
        <v>0</v>
      </c>
      <c r="Q1163" s="1475">
        <f>L1163*$H1161</f>
        <v>0</v>
      </c>
      <c r="R1163" s="1475">
        <f>M1163*$H1161</f>
        <v>0</v>
      </c>
      <c r="S1163" s="1475">
        <f>N1163*$H1161</f>
        <v>0</v>
      </c>
      <c r="T1163" s="1475">
        <f>O1163*$H1161</f>
        <v>0</v>
      </c>
      <c r="U1163" s="1475">
        <f>P1163*$H1161</f>
        <v>0</v>
      </c>
      <c r="V1163" s="1527">
        <f t="shared" si="612"/>
        <v>0</v>
      </c>
    </row>
    <row r="1164" spans="1:22" s="39" customFormat="1" ht="24" customHeight="1">
      <c r="A1164" s="1959">
        <v>2</v>
      </c>
      <c r="B1164" s="1860"/>
      <c r="C1164" s="1860"/>
      <c r="D1164" s="1860"/>
      <c r="E1164" s="1839"/>
      <c r="F1164" s="1841"/>
      <c r="G1164" s="1786"/>
      <c r="H1164" s="1668"/>
      <c r="I1164" s="1615"/>
      <c r="J1164" s="40" t="s">
        <v>83</v>
      </c>
      <c r="K1164" s="91"/>
      <c r="L1164" s="364">
        <v>0</v>
      </c>
      <c r="M1164" s="364">
        <v>0</v>
      </c>
      <c r="N1164" s="364">
        <v>0</v>
      </c>
      <c r="O1164" s="364">
        <v>0</v>
      </c>
      <c r="P1164" s="364">
        <v>0</v>
      </c>
      <c r="Q1164" s="1475">
        <f>L1164*$H1161</f>
        <v>0</v>
      </c>
      <c r="R1164" s="1475">
        <f>M1164*$H1161</f>
        <v>0</v>
      </c>
      <c r="S1164" s="1475">
        <f>N1164*$H1161</f>
        <v>0</v>
      </c>
      <c r="T1164" s="1475">
        <f>O1164*$H1161</f>
        <v>0</v>
      </c>
      <c r="U1164" s="1475">
        <f>P1164*$H1161</f>
        <v>0</v>
      </c>
      <c r="V1164" s="1527">
        <f t="shared" si="612"/>
        <v>0</v>
      </c>
    </row>
    <row r="1165" spans="1:22" s="39" customFormat="1" ht="24" customHeight="1" thickBot="1">
      <c r="A1165" s="1960">
        <v>2</v>
      </c>
      <c r="B1165" s="1874"/>
      <c r="C1165" s="1874"/>
      <c r="D1165" s="1874"/>
      <c r="E1165" s="1862"/>
      <c r="F1165" s="1842"/>
      <c r="G1165" s="1804"/>
      <c r="H1165" s="1793"/>
      <c r="I1165" s="1616"/>
      <c r="J1165" s="80" t="s">
        <v>84</v>
      </c>
      <c r="K1165" s="824"/>
      <c r="L1165" s="371">
        <f>L1156-L1157</f>
        <v>40</v>
      </c>
      <c r="M1165" s="371">
        <f t="shared" ref="M1165:U1165" si="614">M1156-M1157</f>
        <v>0</v>
      </c>
      <c r="N1165" s="371">
        <f t="shared" si="614"/>
        <v>0</v>
      </c>
      <c r="O1165" s="371">
        <f t="shared" si="614"/>
        <v>0</v>
      </c>
      <c r="P1165" s="371">
        <f t="shared" si="614"/>
        <v>0</v>
      </c>
      <c r="Q1165" s="1487">
        <f t="shared" si="614"/>
        <v>80000</v>
      </c>
      <c r="R1165" s="1487">
        <f t="shared" si="614"/>
        <v>0</v>
      </c>
      <c r="S1165" s="1487">
        <f t="shared" si="614"/>
        <v>0</v>
      </c>
      <c r="T1165" s="1487">
        <f t="shared" si="614"/>
        <v>0</v>
      </c>
      <c r="U1165" s="1487">
        <f t="shared" si="614"/>
        <v>0</v>
      </c>
      <c r="V1165" s="1528">
        <f t="shared" si="612"/>
        <v>80000</v>
      </c>
    </row>
    <row r="1166" spans="1:22" s="55" customFormat="1" ht="45" customHeight="1">
      <c r="A1166" s="75">
        <v>2</v>
      </c>
      <c r="B1166" s="75">
        <v>4</v>
      </c>
      <c r="C1166" s="75"/>
      <c r="D1166" s="75"/>
      <c r="E1166" s="74" t="s">
        <v>12</v>
      </c>
      <c r="F1166" s="926" t="str">
        <f>CONCATENATE(A1166,".",B1166)</f>
        <v>2.4</v>
      </c>
      <c r="G1166" s="1585" t="s">
        <v>1141</v>
      </c>
      <c r="H1166" s="1586"/>
      <c r="I1166" s="1586"/>
      <c r="J1166" s="1587"/>
      <c r="K1166" s="926"/>
      <c r="L1166" s="927"/>
      <c r="M1166" s="927"/>
      <c r="N1166" s="927"/>
      <c r="O1166" s="927"/>
      <c r="P1166" s="927"/>
      <c r="Q1166" s="1531">
        <f>Q1167+Q1228+Q1299+Q1340+Q1401</f>
        <v>921603.6</v>
      </c>
      <c r="R1166" s="1531">
        <f>R1167+R1228+R1299+R1340+R1401</f>
        <v>2017523.6</v>
      </c>
      <c r="S1166" s="1531">
        <f>S1167+S1228+S1299+S1340+S1401</f>
        <v>1885343.6</v>
      </c>
      <c r="T1166" s="1531">
        <f>T1167+T1228+T1299+T1340+T1401</f>
        <v>0</v>
      </c>
      <c r="U1166" s="1531">
        <f>U1167+U1228+U1299+U1340+U1401</f>
        <v>0</v>
      </c>
      <c r="V1166" s="1531">
        <f t="shared" ref="V1166:V1197" si="615">SUM(Q1166:U1166)</f>
        <v>4824470.8000000007</v>
      </c>
    </row>
    <row r="1167" spans="1:22" s="39" customFormat="1" ht="27" customHeight="1">
      <c r="A1167" s="75">
        <v>2</v>
      </c>
      <c r="B1167" s="75">
        <v>4</v>
      </c>
      <c r="C1167" s="75">
        <v>1</v>
      </c>
      <c r="D1167" s="75"/>
      <c r="E1167" s="82" t="s">
        <v>13</v>
      </c>
      <c r="F1167" s="976" t="str">
        <f>CONCATENATE(A1167,".",B1167,".",C1167,)</f>
        <v>2.4.1</v>
      </c>
      <c r="G1167" s="1576" t="s">
        <v>311</v>
      </c>
      <c r="H1167" s="1577"/>
      <c r="I1167" s="1577"/>
      <c r="J1167" s="1578"/>
      <c r="K1167" s="921"/>
      <c r="L1167" s="922"/>
      <c r="M1167" s="922"/>
      <c r="N1167" s="922"/>
      <c r="O1167" s="922"/>
      <c r="P1167" s="922"/>
      <c r="Q1167" s="1532">
        <f>Q1169+Q1179+Q1189+Q1199+Q1209+Q1219</f>
        <v>336540</v>
      </c>
      <c r="R1167" s="1532">
        <f t="shared" ref="R1167:V1167" si="616">R1169+R1179+R1189+R1199+R1209+R1219</f>
        <v>36540</v>
      </c>
      <c r="S1167" s="1532">
        <f t="shared" si="616"/>
        <v>36540</v>
      </c>
      <c r="T1167" s="1532">
        <f t="shared" si="616"/>
        <v>0</v>
      </c>
      <c r="U1167" s="1532">
        <f t="shared" si="616"/>
        <v>0</v>
      </c>
      <c r="V1167" s="1532">
        <f t="shared" si="616"/>
        <v>409620</v>
      </c>
    </row>
    <row r="1168" spans="1:22" s="39" customFormat="1" ht="24" customHeight="1">
      <c r="A1168" s="1860">
        <v>2</v>
      </c>
      <c r="B1168" s="1860">
        <v>4</v>
      </c>
      <c r="C1168" s="1860">
        <v>1</v>
      </c>
      <c r="D1168" s="1860">
        <v>1</v>
      </c>
      <c r="E1168" s="1839" t="s">
        <v>15</v>
      </c>
      <c r="F1168" s="1841" t="str">
        <f>CONCATENATE(A1168,".",B1168,".",C1168,".",D1168,)</f>
        <v>2.4.1.1</v>
      </c>
      <c r="G1168" s="1664" t="s">
        <v>1158</v>
      </c>
      <c r="H1168" s="1808" t="s">
        <v>628</v>
      </c>
      <c r="I1168" s="1655" t="s">
        <v>1097</v>
      </c>
      <c r="J1168" s="36" t="s">
        <v>79</v>
      </c>
      <c r="K1168" s="896"/>
      <c r="L1168" s="383">
        <v>1</v>
      </c>
      <c r="M1168" s="383">
        <v>0</v>
      </c>
      <c r="N1168" s="383">
        <v>0</v>
      </c>
      <c r="O1168" s="383">
        <v>0</v>
      </c>
      <c r="P1168" s="383">
        <v>0</v>
      </c>
      <c r="Q1168" s="1475">
        <f>L1168*H1173</f>
        <v>60000</v>
      </c>
      <c r="R1168" s="1475">
        <f>M1168*H1173</f>
        <v>0</v>
      </c>
      <c r="S1168" s="1475">
        <f>N1168*H1173</f>
        <v>0</v>
      </c>
      <c r="T1168" s="1475">
        <f>O1168*H1173</f>
        <v>0</v>
      </c>
      <c r="U1168" s="1475">
        <f>P1168*H1173</f>
        <v>0</v>
      </c>
      <c r="V1168" s="1475">
        <f t="shared" ref="V1168:V1177" si="617">SUM(Q1168:U1168)</f>
        <v>60000</v>
      </c>
    </row>
    <row r="1169" spans="1:22" s="39" customFormat="1" ht="24" customHeight="1">
      <c r="A1169" s="1860">
        <v>2</v>
      </c>
      <c r="B1169" s="1860"/>
      <c r="C1169" s="1860"/>
      <c r="D1169" s="1860"/>
      <c r="E1169" s="1839"/>
      <c r="F1169" s="1841"/>
      <c r="G1169" s="1665"/>
      <c r="H1169" s="1627"/>
      <c r="I1169" s="1656"/>
      <c r="J1169" s="40" t="s">
        <v>80</v>
      </c>
      <c r="K1169" s="91"/>
      <c r="L1169" s="364">
        <f t="shared" ref="L1169:P1169" si="618">SUM(L1170:L1176)</f>
        <v>1</v>
      </c>
      <c r="M1169" s="364">
        <f t="shared" si="618"/>
        <v>0</v>
      </c>
      <c r="N1169" s="364">
        <f t="shared" si="618"/>
        <v>0</v>
      </c>
      <c r="O1169" s="364">
        <f t="shared" si="618"/>
        <v>0</v>
      </c>
      <c r="P1169" s="364">
        <f t="shared" si="618"/>
        <v>0</v>
      </c>
      <c r="Q1169" s="1475">
        <f t="shared" ref="Q1169:U1169" si="619">SUM(Q1170:Q1176)</f>
        <v>60000</v>
      </c>
      <c r="R1169" s="1475">
        <f t="shared" si="619"/>
        <v>0</v>
      </c>
      <c r="S1169" s="1475">
        <f t="shared" si="619"/>
        <v>0</v>
      </c>
      <c r="T1169" s="1475">
        <f t="shared" si="619"/>
        <v>0</v>
      </c>
      <c r="U1169" s="1475">
        <f t="shared" si="619"/>
        <v>0</v>
      </c>
      <c r="V1169" s="1475">
        <f t="shared" si="617"/>
        <v>60000</v>
      </c>
    </row>
    <row r="1170" spans="1:22" s="39" customFormat="1" ht="24" customHeight="1">
      <c r="A1170" s="1860">
        <v>2</v>
      </c>
      <c r="B1170" s="1860"/>
      <c r="C1170" s="1860"/>
      <c r="D1170" s="1860"/>
      <c r="E1170" s="1839"/>
      <c r="F1170" s="1841"/>
      <c r="G1170" s="1665"/>
      <c r="H1170" s="1627"/>
      <c r="I1170" s="1656"/>
      <c r="J1170" s="40" t="s">
        <v>429</v>
      </c>
      <c r="K1170" s="91"/>
      <c r="L1170" s="364">
        <v>0</v>
      </c>
      <c r="M1170" s="364">
        <v>0</v>
      </c>
      <c r="N1170" s="364">
        <v>0</v>
      </c>
      <c r="O1170" s="364">
        <v>0</v>
      </c>
      <c r="P1170" s="364">
        <v>0</v>
      </c>
      <c r="Q1170" s="1475">
        <f>L1170*$H1173</f>
        <v>0</v>
      </c>
      <c r="R1170" s="1475">
        <f>M1170*$H1173</f>
        <v>0</v>
      </c>
      <c r="S1170" s="1475">
        <f>N1170*$H1173</f>
        <v>0</v>
      </c>
      <c r="T1170" s="1475">
        <f>O1170*$H1173</f>
        <v>0</v>
      </c>
      <c r="U1170" s="1475">
        <f>P1170*$H1173</f>
        <v>0</v>
      </c>
      <c r="V1170" s="1475">
        <f t="shared" si="617"/>
        <v>0</v>
      </c>
    </row>
    <row r="1171" spans="1:22" s="39" customFormat="1" ht="24" customHeight="1">
      <c r="A1171" s="1860">
        <v>2</v>
      </c>
      <c r="B1171" s="1860"/>
      <c r="C1171" s="1860"/>
      <c r="D1171" s="1860"/>
      <c r="E1171" s="1839"/>
      <c r="F1171" s="1841"/>
      <c r="G1171" s="1665"/>
      <c r="H1171" s="1627"/>
      <c r="I1171" s="1656"/>
      <c r="J1171" s="40" t="s">
        <v>133</v>
      </c>
      <c r="K1171" s="91"/>
      <c r="L1171" s="364">
        <v>0</v>
      </c>
      <c r="M1171" s="364">
        <v>0</v>
      </c>
      <c r="N1171" s="364">
        <v>0</v>
      </c>
      <c r="O1171" s="364">
        <v>0</v>
      </c>
      <c r="P1171" s="364">
        <v>0</v>
      </c>
      <c r="Q1171" s="1475">
        <f>L1171*$H1173</f>
        <v>0</v>
      </c>
      <c r="R1171" s="1475">
        <f>M1171*$H1173</f>
        <v>0</v>
      </c>
      <c r="S1171" s="1475">
        <f>N1171*$H1173</f>
        <v>0</v>
      </c>
      <c r="T1171" s="1475">
        <f>O1171*$H1173</f>
        <v>0</v>
      </c>
      <c r="U1171" s="1475">
        <f>P1171*$H1173</f>
        <v>0</v>
      </c>
      <c r="V1171" s="1475">
        <f t="shared" si="617"/>
        <v>0</v>
      </c>
    </row>
    <row r="1172" spans="1:22" s="39" customFormat="1" ht="24" customHeight="1">
      <c r="A1172" s="1860">
        <v>2</v>
      </c>
      <c r="B1172" s="1860"/>
      <c r="C1172" s="1860"/>
      <c r="D1172" s="1860"/>
      <c r="E1172" s="1839"/>
      <c r="F1172" s="1841"/>
      <c r="G1172" s="1665"/>
      <c r="H1172" s="1809"/>
      <c r="I1172" s="1656"/>
      <c r="J1172" s="40" t="s">
        <v>81</v>
      </c>
      <c r="K1172" s="91"/>
      <c r="L1172" s="364">
        <v>0</v>
      </c>
      <c r="M1172" s="364">
        <v>0</v>
      </c>
      <c r="N1172" s="364">
        <v>0</v>
      </c>
      <c r="O1172" s="364">
        <v>0</v>
      </c>
      <c r="P1172" s="364">
        <v>0</v>
      </c>
      <c r="Q1172" s="1475">
        <f>L1172*$H1173</f>
        <v>0</v>
      </c>
      <c r="R1172" s="1475">
        <f>M1172*$H1173</f>
        <v>0</v>
      </c>
      <c r="S1172" s="1475">
        <f>N1172*$H1173</f>
        <v>0</v>
      </c>
      <c r="T1172" s="1475">
        <f>O1172*$H1173</f>
        <v>0</v>
      </c>
      <c r="U1172" s="1475">
        <f>P1172*$H1173</f>
        <v>0</v>
      </c>
      <c r="V1172" s="1475">
        <f t="shared" si="617"/>
        <v>0</v>
      </c>
    </row>
    <row r="1173" spans="1:22" s="39" customFormat="1" ht="24" customHeight="1">
      <c r="A1173" s="1860">
        <v>2</v>
      </c>
      <c r="B1173" s="1860"/>
      <c r="C1173" s="1860"/>
      <c r="D1173" s="1860"/>
      <c r="E1173" s="1839"/>
      <c r="F1173" s="1841"/>
      <c r="G1173" s="1665"/>
      <c r="H1173" s="1667">
        <f>'Budget assumption'!F338</f>
        <v>60000</v>
      </c>
      <c r="I1173" s="1656"/>
      <c r="J1173" s="40" t="s">
        <v>134</v>
      </c>
      <c r="K1173" s="91"/>
      <c r="L1173" s="364">
        <v>0</v>
      </c>
      <c r="M1173" s="364">
        <v>0</v>
      </c>
      <c r="N1173" s="364">
        <v>0</v>
      </c>
      <c r="O1173" s="364">
        <v>0</v>
      </c>
      <c r="P1173" s="364">
        <v>0</v>
      </c>
      <c r="Q1173" s="1475">
        <f>L1173*$H1173</f>
        <v>0</v>
      </c>
      <c r="R1173" s="1475">
        <f>M1173*$H1173</f>
        <v>0</v>
      </c>
      <c r="S1173" s="1475">
        <f>N1173*$H1173</f>
        <v>0</v>
      </c>
      <c r="T1173" s="1475">
        <f>O1173*$H1173</f>
        <v>0</v>
      </c>
      <c r="U1173" s="1475">
        <f>P1173*$H1173</f>
        <v>0</v>
      </c>
      <c r="V1173" s="1475">
        <f t="shared" si="617"/>
        <v>0</v>
      </c>
    </row>
    <row r="1174" spans="1:22" s="39" customFormat="1" ht="24" customHeight="1">
      <c r="A1174" s="1860">
        <v>2</v>
      </c>
      <c r="B1174" s="1860"/>
      <c r="C1174" s="1860"/>
      <c r="D1174" s="1860"/>
      <c r="E1174" s="1839"/>
      <c r="F1174" s="1841"/>
      <c r="G1174" s="1665"/>
      <c r="H1174" s="1668"/>
      <c r="I1174" s="1656"/>
      <c r="J1174" s="40" t="s">
        <v>82</v>
      </c>
      <c r="K1174" s="91"/>
      <c r="L1174" s="364">
        <v>1</v>
      </c>
      <c r="M1174" s="364">
        <v>0</v>
      </c>
      <c r="N1174" s="364">
        <v>0</v>
      </c>
      <c r="O1174" s="364">
        <v>0</v>
      </c>
      <c r="P1174" s="364">
        <v>0</v>
      </c>
      <c r="Q1174" s="1475">
        <f>L1174*$H1173</f>
        <v>60000</v>
      </c>
      <c r="R1174" s="1475">
        <f>M1174*$H1173</f>
        <v>0</v>
      </c>
      <c r="S1174" s="1475">
        <f>N1174*$H1173</f>
        <v>0</v>
      </c>
      <c r="T1174" s="1475">
        <f>O1174*$H1173</f>
        <v>0</v>
      </c>
      <c r="U1174" s="1475">
        <f>P1174*$H1173</f>
        <v>0</v>
      </c>
      <c r="V1174" s="1475">
        <f t="shared" si="617"/>
        <v>60000</v>
      </c>
    </row>
    <row r="1175" spans="1:22" s="39" customFormat="1" ht="24" customHeight="1">
      <c r="A1175" s="1860">
        <v>2</v>
      </c>
      <c r="B1175" s="1860"/>
      <c r="C1175" s="1860"/>
      <c r="D1175" s="1860"/>
      <c r="E1175" s="1839"/>
      <c r="F1175" s="1841"/>
      <c r="G1175" s="1665"/>
      <c r="H1175" s="1668"/>
      <c r="I1175" s="1656"/>
      <c r="J1175" s="40" t="s">
        <v>90</v>
      </c>
      <c r="K1175" s="91"/>
      <c r="L1175" s="364">
        <v>0</v>
      </c>
      <c r="M1175" s="364">
        <v>0</v>
      </c>
      <c r="N1175" s="364">
        <v>0</v>
      </c>
      <c r="O1175" s="364">
        <v>0</v>
      </c>
      <c r="P1175" s="364">
        <v>0</v>
      </c>
      <c r="Q1175" s="1475">
        <f>L1175*$H1173</f>
        <v>0</v>
      </c>
      <c r="R1175" s="1475">
        <f>M1175*$H1173</f>
        <v>0</v>
      </c>
      <c r="S1175" s="1475">
        <f>N1175*$H1173</f>
        <v>0</v>
      </c>
      <c r="T1175" s="1475">
        <f>O1175*$H1173</f>
        <v>0</v>
      </c>
      <c r="U1175" s="1475">
        <f>P1175*$H1173</f>
        <v>0</v>
      </c>
      <c r="V1175" s="1475">
        <f t="shared" si="617"/>
        <v>0</v>
      </c>
    </row>
    <row r="1176" spans="1:22" s="39" customFormat="1" ht="24" customHeight="1">
      <c r="A1176" s="1860">
        <v>2</v>
      </c>
      <c r="B1176" s="1860"/>
      <c r="C1176" s="1860"/>
      <c r="D1176" s="1860"/>
      <c r="E1176" s="1839"/>
      <c r="F1176" s="1841"/>
      <c r="G1176" s="1665"/>
      <c r="H1176" s="1668"/>
      <c r="I1176" s="1656"/>
      <c r="J1176" s="40" t="s">
        <v>83</v>
      </c>
      <c r="K1176" s="91"/>
      <c r="L1176" s="364">
        <v>0</v>
      </c>
      <c r="M1176" s="364">
        <v>0</v>
      </c>
      <c r="N1176" s="364">
        <v>0</v>
      </c>
      <c r="O1176" s="364">
        <v>0</v>
      </c>
      <c r="P1176" s="364">
        <v>0</v>
      </c>
      <c r="Q1176" s="1475">
        <f>L1176*$H1173</f>
        <v>0</v>
      </c>
      <c r="R1176" s="1475">
        <f>M1176*$H1173</f>
        <v>0</v>
      </c>
      <c r="S1176" s="1475">
        <f>N1176*$H1173</f>
        <v>0</v>
      </c>
      <c r="T1176" s="1475">
        <f>O1176*$H1173</f>
        <v>0</v>
      </c>
      <c r="U1176" s="1475">
        <f>P1176*$H1173</f>
        <v>0</v>
      </c>
      <c r="V1176" s="1475">
        <f t="shared" si="617"/>
        <v>0</v>
      </c>
    </row>
    <row r="1177" spans="1:22" s="39" customFormat="1" ht="24" customHeight="1" thickBot="1">
      <c r="A1177" s="1860">
        <v>2</v>
      </c>
      <c r="B1177" s="1860"/>
      <c r="C1177" s="1860"/>
      <c r="D1177" s="1860"/>
      <c r="E1177" s="1839"/>
      <c r="F1177" s="1841"/>
      <c r="G1177" s="1666"/>
      <c r="H1177" s="1669"/>
      <c r="I1177" s="1657"/>
      <c r="J1177" s="40" t="s">
        <v>84</v>
      </c>
      <c r="K1177" s="91"/>
      <c r="L1177" s="364">
        <f>L1168-L1169</f>
        <v>0</v>
      </c>
      <c r="M1177" s="364">
        <f t="shared" ref="M1177:P1177" si="620">M1168-M1169</f>
        <v>0</v>
      </c>
      <c r="N1177" s="364">
        <f t="shared" si="620"/>
        <v>0</v>
      </c>
      <c r="O1177" s="364">
        <f t="shared" si="620"/>
        <v>0</v>
      </c>
      <c r="P1177" s="364">
        <f t="shared" si="620"/>
        <v>0</v>
      </c>
      <c r="Q1177" s="1475">
        <f t="shared" ref="Q1177:U1177" si="621">Q1168-Q1169</f>
        <v>0</v>
      </c>
      <c r="R1177" s="1475">
        <f t="shared" si="621"/>
        <v>0</v>
      </c>
      <c r="S1177" s="1475">
        <f t="shared" si="621"/>
        <v>0</v>
      </c>
      <c r="T1177" s="1475">
        <f t="shared" si="621"/>
        <v>0</v>
      </c>
      <c r="U1177" s="1475">
        <f t="shared" si="621"/>
        <v>0</v>
      </c>
      <c r="V1177" s="1475">
        <f t="shared" si="617"/>
        <v>0</v>
      </c>
    </row>
    <row r="1178" spans="1:22" s="39" customFormat="1" ht="24" customHeight="1">
      <c r="A1178" s="1860">
        <v>2</v>
      </c>
      <c r="B1178" s="1860">
        <v>4</v>
      </c>
      <c r="C1178" s="1860">
        <v>1</v>
      </c>
      <c r="D1178" s="1860">
        <v>2</v>
      </c>
      <c r="E1178" s="1839" t="s">
        <v>15</v>
      </c>
      <c r="F1178" s="1841" t="str">
        <f>CONCATENATE(A1178,".",B1178,".",C1178,".",D1178,)</f>
        <v>2.4.1.2</v>
      </c>
      <c r="G1178" s="1664" t="s">
        <v>793</v>
      </c>
      <c r="H1178" s="1808" t="s">
        <v>195</v>
      </c>
      <c r="I1178" s="1655" t="s">
        <v>794</v>
      </c>
      <c r="J1178" s="36" t="s">
        <v>79</v>
      </c>
      <c r="K1178" s="896"/>
      <c r="L1178" s="383">
        <v>40</v>
      </c>
      <c r="M1178" s="383">
        <v>0</v>
      </c>
      <c r="N1178" s="383">
        <v>0</v>
      </c>
      <c r="O1178" s="383">
        <v>0</v>
      </c>
      <c r="P1178" s="383">
        <v>0</v>
      </c>
      <c r="Q1178" s="1475">
        <f>L1178*H1183</f>
        <v>80000</v>
      </c>
      <c r="R1178" s="1475">
        <f>M1178*H1183</f>
        <v>0</v>
      </c>
      <c r="S1178" s="1475">
        <f>N1178*H1183</f>
        <v>0</v>
      </c>
      <c r="T1178" s="1475">
        <f>O1178*H1183</f>
        <v>0</v>
      </c>
      <c r="U1178" s="1475">
        <f>P1178*H1183</f>
        <v>0</v>
      </c>
      <c r="V1178" s="1475">
        <f t="shared" ref="V1178:V1187" si="622">SUM(Q1178:U1178)</f>
        <v>80000</v>
      </c>
    </row>
    <row r="1179" spans="1:22" s="39" customFormat="1" ht="24" customHeight="1">
      <c r="A1179" s="1860">
        <v>2</v>
      </c>
      <c r="B1179" s="1860"/>
      <c r="C1179" s="1860"/>
      <c r="D1179" s="1860"/>
      <c r="E1179" s="1839"/>
      <c r="F1179" s="1841"/>
      <c r="G1179" s="1665"/>
      <c r="H1179" s="1627"/>
      <c r="I1179" s="1656"/>
      <c r="J1179" s="40" t="s">
        <v>80</v>
      </c>
      <c r="K1179" s="91"/>
      <c r="L1179" s="364">
        <f t="shared" ref="L1179:U1179" si="623">SUM(L1180:L1186)</f>
        <v>40</v>
      </c>
      <c r="M1179" s="364">
        <f t="shared" si="623"/>
        <v>0</v>
      </c>
      <c r="N1179" s="364">
        <f t="shared" si="623"/>
        <v>0</v>
      </c>
      <c r="O1179" s="364">
        <f t="shared" si="623"/>
        <v>0</v>
      </c>
      <c r="P1179" s="364">
        <f t="shared" si="623"/>
        <v>0</v>
      </c>
      <c r="Q1179" s="1475">
        <f t="shared" si="623"/>
        <v>80000</v>
      </c>
      <c r="R1179" s="1475">
        <f t="shared" si="623"/>
        <v>0</v>
      </c>
      <c r="S1179" s="1475">
        <f t="shared" si="623"/>
        <v>0</v>
      </c>
      <c r="T1179" s="1475">
        <f t="shared" si="623"/>
        <v>0</v>
      </c>
      <c r="U1179" s="1475">
        <f t="shared" si="623"/>
        <v>0</v>
      </c>
      <c r="V1179" s="1475">
        <f t="shared" si="622"/>
        <v>80000</v>
      </c>
    </row>
    <row r="1180" spans="1:22" s="39" customFormat="1" ht="24" customHeight="1">
      <c r="A1180" s="1860">
        <v>2</v>
      </c>
      <c r="B1180" s="1860"/>
      <c r="C1180" s="1860"/>
      <c r="D1180" s="1860"/>
      <c r="E1180" s="1839"/>
      <c r="F1180" s="1841"/>
      <c r="G1180" s="1665"/>
      <c r="H1180" s="1627"/>
      <c r="I1180" s="1656"/>
      <c r="J1180" s="40" t="s">
        <v>429</v>
      </c>
      <c r="K1180" s="91"/>
      <c r="L1180" s="364">
        <v>0</v>
      </c>
      <c r="M1180" s="364">
        <v>0</v>
      </c>
      <c r="N1180" s="364">
        <v>0</v>
      </c>
      <c r="O1180" s="364">
        <v>0</v>
      </c>
      <c r="P1180" s="364">
        <v>0</v>
      </c>
      <c r="Q1180" s="1475">
        <f>L1180*$H1183</f>
        <v>0</v>
      </c>
      <c r="R1180" s="1475">
        <f>M1180*$H1183</f>
        <v>0</v>
      </c>
      <c r="S1180" s="1475">
        <f>N1180*$H1183</f>
        <v>0</v>
      </c>
      <c r="T1180" s="1475">
        <f>O1180*$H1183</f>
        <v>0</v>
      </c>
      <c r="U1180" s="1475">
        <f>P1180*$H1183</f>
        <v>0</v>
      </c>
      <c r="V1180" s="1475">
        <f t="shared" si="622"/>
        <v>0</v>
      </c>
    </row>
    <row r="1181" spans="1:22" s="39" customFormat="1" ht="24" customHeight="1">
      <c r="A1181" s="1860">
        <v>2</v>
      </c>
      <c r="B1181" s="1860"/>
      <c r="C1181" s="1860"/>
      <c r="D1181" s="1860"/>
      <c r="E1181" s="1839"/>
      <c r="F1181" s="1841"/>
      <c r="G1181" s="1665"/>
      <c r="H1181" s="1627"/>
      <c r="I1181" s="1656"/>
      <c r="J1181" s="40" t="s">
        <v>133</v>
      </c>
      <c r="K1181" s="91"/>
      <c r="L1181" s="364">
        <v>0</v>
      </c>
      <c r="M1181" s="364">
        <v>0</v>
      </c>
      <c r="N1181" s="364">
        <v>0</v>
      </c>
      <c r="O1181" s="364">
        <v>0</v>
      </c>
      <c r="P1181" s="364">
        <v>0</v>
      </c>
      <c r="Q1181" s="1475">
        <f>L1181*$H1183</f>
        <v>0</v>
      </c>
      <c r="R1181" s="1475">
        <f>M1181*$H1183</f>
        <v>0</v>
      </c>
      <c r="S1181" s="1475">
        <f>N1181*$H1183</f>
        <v>0</v>
      </c>
      <c r="T1181" s="1475">
        <f>O1181*$H1183</f>
        <v>0</v>
      </c>
      <c r="U1181" s="1475">
        <f>P1181*$H1183</f>
        <v>0</v>
      </c>
      <c r="V1181" s="1475">
        <f t="shared" si="622"/>
        <v>0</v>
      </c>
    </row>
    <row r="1182" spans="1:22" s="39" customFormat="1" ht="24" customHeight="1">
      <c r="A1182" s="1860">
        <v>2</v>
      </c>
      <c r="B1182" s="1860"/>
      <c r="C1182" s="1860"/>
      <c r="D1182" s="1860"/>
      <c r="E1182" s="1839"/>
      <c r="F1182" s="1841"/>
      <c r="G1182" s="1665"/>
      <c r="H1182" s="1809"/>
      <c r="I1182" s="1656"/>
      <c r="J1182" s="40" t="s">
        <v>81</v>
      </c>
      <c r="K1182" s="91"/>
      <c r="L1182" s="364">
        <v>0</v>
      </c>
      <c r="M1182" s="364">
        <v>0</v>
      </c>
      <c r="N1182" s="364">
        <v>0</v>
      </c>
      <c r="O1182" s="364">
        <v>0</v>
      </c>
      <c r="P1182" s="364">
        <v>0</v>
      </c>
      <c r="Q1182" s="1475">
        <f>L1182*$H1183</f>
        <v>0</v>
      </c>
      <c r="R1182" s="1475">
        <f>M1182*$H1183</f>
        <v>0</v>
      </c>
      <c r="S1182" s="1475">
        <f>N1182*$H1183</f>
        <v>0</v>
      </c>
      <c r="T1182" s="1475">
        <f>O1182*$H1183</f>
        <v>0</v>
      </c>
      <c r="U1182" s="1475">
        <f>P1182*$H1183</f>
        <v>0</v>
      </c>
      <c r="V1182" s="1475">
        <f t="shared" si="622"/>
        <v>0</v>
      </c>
    </row>
    <row r="1183" spans="1:22" s="39" customFormat="1" ht="24" customHeight="1">
      <c r="A1183" s="1860">
        <v>2</v>
      </c>
      <c r="B1183" s="1860"/>
      <c r="C1183" s="1860"/>
      <c r="D1183" s="1860"/>
      <c r="E1183" s="1839"/>
      <c r="F1183" s="1841"/>
      <c r="G1183" s="1665"/>
      <c r="H1183" s="1667">
        <f>'Budget assumption'!C4</f>
        <v>2000</v>
      </c>
      <c r="I1183" s="1656"/>
      <c r="J1183" s="40" t="s">
        <v>134</v>
      </c>
      <c r="K1183" s="91"/>
      <c r="L1183" s="364">
        <v>0</v>
      </c>
      <c r="M1183" s="364">
        <v>0</v>
      </c>
      <c r="N1183" s="364">
        <v>0</v>
      </c>
      <c r="O1183" s="364">
        <v>0</v>
      </c>
      <c r="P1183" s="364">
        <v>0</v>
      </c>
      <c r="Q1183" s="1475">
        <f>L1183*$H1183</f>
        <v>0</v>
      </c>
      <c r="R1183" s="1475">
        <f>M1183*$H1183</f>
        <v>0</v>
      </c>
      <c r="S1183" s="1475">
        <f>N1183*$H1183</f>
        <v>0</v>
      </c>
      <c r="T1183" s="1475">
        <f>O1183*$H1183</f>
        <v>0</v>
      </c>
      <c r="U1183" s="1475">
        <f>P1183*$H1183</f>
        <v>0</v>
      </c>
      <c r="V1183" s="1475">
        <f t="shared" si="622"/>
        <v>0</v>
      </c>
    </row>
    <row r="1184" spans="1:22" s="39" customFormat="1" ht="24" customHeight="1">
      <c r="A1184" s="1860">
        <v>2</v>
      </c>
      <c r="B1184" s="1860"/>
      <c r="C1184" s="1860"/>
      <c r="D1184" s="1860"/>
      <c r="E1184" s="1839"/>
      <c r="F1184" s="1841"/>
      <c r="G1184" s="1665"/>
      <c r="H1184" s="1668"/>
      <c r="I1184" s="1656"/>
      <c r="J1184" s="40" t="s">
        <v>82</v>
      </c>
      <c r="K1184" s="91"/>
      <c r="L1184" s="364">
        <v>40</v>
      </c>
      <c r="M1184" s="364">
        <v>0</v>
      </c>
      <c r="N1184" s="364">
        <v>0</v>
      </c>
      <c r="O1184" s="364">
        <v>0</v>
      </c>
      <c r="P1184" s="364">
        <v>0</v>
      </c>
      <c r="Q1184" s="1475">
        <f>L1184*$H1183</f>
        <v>80000</v>
      </c>
      <c r="R1184" s="1475">
        <f>M1184*$H1183</f>
        <v>0</v>
      </c>
      <c r="S1184" s="1475">
        <f>N1184*$H1183</f>
        <v>0</v>
      </c>
      <c r="T1184" s="1475">
        <f>O1184*$H1183</f>
        <v>0</v>
      </c>
      <c r="U1184" s="1475">
        <f>P1184*$H1183</f>
        <v>0</v>
      </c>
      <c r="V1184" s="1475">
        <f t="shared" si="622"/>
        <v>80000</v>
      </c>
    </row>
    <row r="1185" spans="1:22" s="39" customFormat="1" ht="24" customHeight="1">
      <c r="A1185" s="1860">
        <v>2</v>
      </c>
      <c r="B1185" s="1860"/>
      <c r="C1185" s="1860"/>
      <c r="D1185" s="1860"/>
      <c r="E1185" s="1839"/>
      <c r="F1185" s="1841"/>
      <c r="G1185" s="1665"/>
      <c r="H1185" s="1668"/>
      <c r="I1185" s="1656"/>
      <c r="J1185" s="40" t="s">
        <v>90</v>
      </c>
      <c r="K1185" s="91"/>
      <c r="L1185" s="364">
        <v>0</v>
      </c>
      <c r="M1185" s="364">
        <v>0</v>
      </c>
      <c r="N1185" s="364">
        <v>0</v>
      </c>
      <c r="O1185" s="364">
        <v>0</v>
      </c>
      <c r="P1185" s="364">
        <v>0</v>
      </c>
      <c r="Q1185" s="1475">
        <f>L1185*$H1183</f>
        <v>0</v>
      </c>
      <c r="R1185" s="1475">
        <f>M1185*$H1183</f>
        <v>0</v>
      </c>
      <c r="S1185" s="1475">
        <f>N1185*$H1183</f>
        <v>0</v>
      </c>
      <c r="T1185" s="1475">
        <f>O1185*$H1183</f>
        <v>0</v>
      </c>
      <c r="U1185" s="1475">
        <f>P1185*$H1183</f>
        <v>0</v>
      </c>
      <c r="V1185" s="1475">
        <f t="shared" si="622"/>
        <v>0</v>
      </c>
    </row>
    <row r="1186" spans="1:22" s="39" customFormat="1" ht="24" customHeight="1">
      <c r="A1186" s="1860">
        <v>2</v>
      </c>
      <c r="B1186" s="1860"/>
      <c r="C1186" s="1860"/>
      <c r="D1186" s="1860"/>
      <c r="E1186" s="1839"/>
      <c r="F1186" s="1841"/>
      <c r="G1186" s="1665"/>
      <c r="H1186" s="1668"/>
      <c r="I1186" s="1656"/>
      <c r="J1186" s="40" t="s">
        <v>83</v>
      </c>
      <c r="K1186" s="91"/>
      <c r="L1186" s="364">
        <v>0</v>
      </c>
      <c r="M1186" s="364">
        <v>0</v>
      </c>
      <c r="N1186" s="364">
        <v>0</v>
      </c>
      <c r="O1186" s="364">
        <v>0</v>
      </c>
      <c r="P1186" s="364">
        <v>0</v>
      </c>
      <c r="Q1186" s="1475">
        <f>L1186*$H1183</f>
        <v>0</v>
      </c>
      <c r="R1186" s="1475">
        <f>M1186*$H1183</f>
        <v>0</v>
      </c>
      <c r="S1186" s="1475">
        <f>N1186*$H1183</f>
        <v>0</v>
      </c>
      <c r="T1186" s="1475">
        <f>O1186*$H1183</f>
        <v>0</v>
      </c>
      <c r="U1186" s="1475">
        <f>P1186*$H1183</f>
        <v>0</v>
      </c>
      <c r="V1186" s="1475">
        <f t="shared" si="622"/>
        <v>0</v>
      </c>
    </row>
    <row r="1187" spans="1:22" s="39" customFormat="1" ht="24" customHeight="1" thickBot="1">
      <c r="A1187" s="1860">
        <v>2</v>
      </c>
      <c r="B1187" s="1860"/>
      <c r="C1187" s="1860"/>
      <c r="D1187" s="1860"/>
      <c r="E1187" s="1839"/>
      <c r="F1187" s="1841"/>
      <c r="G1187" s="1666"/>
      <c r="H1187" s="1669"/>
      <c r="I1187" s="1657"/>
      <c r="J1187" s="40" t="s">
        <v>84</v>
      </c>
      <c r="K1187" s="91"/>
      <c r="L1187" s="364">
        <f>L1178-L1179</f>
        <v>0</v>
      </c>
      <c r="M1187" s="364">
        <f t="shared" ref="M1187:U1187" si="624">M1178-M1179</f>
        <v>0</v>
      </c>
      <c r="N1187" s="364">
        <f t="shared" si="624"/>
        <v>0</v>
      </c>
      <c r="O1187" s="364">
        <f t="shared" si="624"/>
        <v>0</v>
      </c>
      <c r="P1187" s="364">
        <f t="shared" si="624"/>
        <v>0</v>
      </c>
      <c r="Q1187" s="1475">
        <f t="shared" si="624"/>
        <v>0</v>
      </c>
      <c r="R1187" s="1475">
        <f t="shared" si="624"/>
        <v>0</v>
      </c>
      <c r="S1187" s="1475">
        <f t="shared" si="624"/>
        <v>0</v>
      </c>
      <c r="T1187" s="1475">
        <f t="shared" si="624"/>
        <v>0</v>
      </c>
      <c r="U1187" s="1475">
        <f t="shared" si="624"/>
        <v>0</v>
      </c>
      <c r="V1187" s="1475">
        <f t="shared" si="622"/>
        <v>0</v>
      </c>
    </row>
    <row r="1188" spans="1:22" s="45" customFormat="1" ht="24" customHeight="1">
      <c r="A1188" s="1860">
        <v>2</v>
      </c>
      <c r="B1188" s="1860">
        <v>4</v>
      </c>
      <c r="C1188" s="1860">
        <v>1</v>
      </c>
      <c r="D1188" s="1860">
        <v>3</v>
      </c>
      <c r="E1188" s="1839" t="s">
        <v>49</v>
      </c>
      <c r="F1188" s="1841" t="str">
        <f>CONCATENATE(A1188,".",B1188,".",C1188,".",D1188,)</f>
        <v>2.4.1.3</v>
      </c>
      <c r="G1188" s="1664" t="s">
        <v>194</v>
      </c>
      <c r="H1188" s="1601" t="s">
        <v>195</v>
      </c>
      <c r="I1188" s="1655" t="s">
        <v>1168</v>
      </c>
      <c r="J1188" s="36" t="s">
        <v>79</v>
      </c>
      <c r="K1188" s="896"/>
      <c r="L1188" s="383">
        <v>20</v>
      </c>
      <c r="M1188" s="383">
        <v>0</v>
      </c>
      <c r="N1188" s="383">
        <v>0</v>
      </c>
      <c r="O1188" s="383">
        <v>0</v>
      </c>
      <c r="P1188" s="383">
        <v>0</v>
      </c>
      <c r="Q1188" s="1475">
        <f>L1188*H1193</f>
        <v>40000</v>
      </c>
      <c r="R1188" s="1475">
        <f>M1188*H1193</f>
        <v>0</v>
      </c>
      <c r="S1188" s="1475">
        <f>N1188*H1193</f>
        <v>0</v>
      </c>
      <c r="T1188" s="1475">
        <f>O1188*H1193</f>
        <v>0</v>
      </c>
      <c r="U1188" s="1475">
        <f>P1188*H1193</f>
        <v>0</v>
      </c>
      <c r="V1188" s="1475">
        <f t="shared" si="615"/>
        <v>40000</v>
      </c>
    </row>
    <row r="1189" spans="1:22" s="39" customFormat="1" ht="24" customHeight="1">
      <c r="A1189" s="1860">
        <v>2</v>
      </c>
      <c r="B1189" s="1860"/>
      <c r="C1189" s="1860"/>
      <c r="D1189" s="1860"/>
      <c r="E1189" s="1839"/>
      <c r="F1189" s="1841"/>
      <c r="G1189" s="1665"/>
      <c r="H1189" s="1601"/>
      <c r="I1189" s="1656"/>
      <c r="J1189" s="40" t="s">
        <v>80</v>
      </c>
      <c r="K1189" s="91"/>
      <c r="L1189" s="364">
        <f t="shared" ref="L1189:P1189" si="625">SUM(L1190:L1196)</f>
        <v>20</v>
      </c>
      <c r="M1189" s="364">
        <f t="shared" si="625"/>
        <v>0</v>
      </c>
      <c r="N1189" s="364">
        <f t="shared" si="625"/>
        <v>0</v>
      </c>
      <c r="O1189" s="364">
        <f t="shared" si="625"/>
        <v>0</v>
      </c>
      <c r="P1189" s="364">
        <f t="shared" si="625"/>
        <v>0</v>
      </c>
      <c r="Q1189" s="1475">
        <f t="shared" ref="Q1189:U1189" si="626">SUM(Q1190:Q1196)</f>
        <v>40000</v>
      </c>
      <c r="R1189" s="1475">
        <f t="shared" si="626"/>
        <v>0</v>
      </c>
      <c r="S1189" s="1475">
        <f t="shared" si="626"/>
        <v>0</v>
      </c>
      <c r="T1189" s="1475">
        <f t="shared" si="626"/>
        <v>0</v>
      </c>
      <c r="U1189" s="1475">
        <f t="shared" si="626"/>
        <v>0</v>
      </c>
      <c r="V1189" s="1475">
        <f t="shared" si="615"/>
        <v>40000</v>
      </c>
    </row>
    <row r="1190" spans="1:22" s="39" customFormat="1" ht="24" customHeight="1">
      <c r="A1190" s="1860">
        <v>2</v>
      </c>
      <c r="B1190" s="1860"/>
      <c r="C1190" s="1860"/>
      <c r="D1190" s="1860"/>
      <c r="E1190" s="1839"/>
      <c r="F1190" s="1841"/>
      <c r="G1190" s="1665"/>
      <c r="H1190" s="1601"/>
      <c r="I1190" s="1656"/>
      <c r="J1190" s="40" t="s">
        <v>429</v>
      </c>
      <c r="K1190" s="91"/>
      <c r="L1190" s="364">
        <v>0</v>
      </c>
      <c r="M1190" s="364">
        <v>0</v>
      </c>
      <c r="N1190" s="364">
        <v>0</v>
      </c>
      <c r="O1190" s="364">
        <v>0</v>
      </c>
      <c r="P1190" s="364">
        <v>0</v>
      </c>
      <c r="Q1190" s="1475">
        <f>L1190*$H1193</f>
        <v>0</v>
      </c>
      <c r="R1190" s="1475">
        <f>M1190*$H1193</f>
        <v>0</v>
      </c>
      <c r="S1190" s="1475">
        <f>N1190*$H1193</f>
        <v>0</v>
      </c>
      <c r="T1190" s="1475">
        <f>O1190*$H1193</f>
        <v>0</v>
      </c>
      <c r="U1190" s="1475">
        <f>P1190*$H1193</f>
        <v>0</v>
      </c>
      <c r="V1190" s="1475">
        <f t="shared" si="615"/>
        <v>0</v>
      </c>
    </row>
    <row r="1191" spans="1:22" s="39" customFormat="1" ht="24" customHeight="1">
      <c r="A1191" s="1860">
        <v>2</v>
      </c>
      <c r="B1191" s="1860"/>
      <c r="C1191" s="1860"/>
      <c r="D1191" s="1860"/>
      <c r="E1191" s="1839"/>
      <c r="F1191" s="1841"/>
      <c r="G1191" s="1665"/>
      <c r="H1191" s="1601"/>
      <c r="I1191" s="1656"/>
      <c r="J1191" s="40" t="s">
        <v>133</v>
      </c>
      <c r="K1191" s="91"/>
      <c r="L1191" s="364">
        <v>0</v>
      </c>
      <c r="M1191" s="364">
        <v>0</v>
      </c>
      <c r="N1191" s="364">
        <v>0</v>
      </c>
      <c r="O1191" s="364">
        <v>0</v>
      </c>
      <c r="P1191" s="364">
        <v>0</v>
      </c>
      <c r="Q1191" s="1475">
        <f>L1191*$H1193</f>
        <v>0</v>
      </c>
      <c r="R1191" s="1475">
        <f>M1191*$H1193</f>
        <v>0</v>
      </c>
      <c r="S1191" s="1475">
        <f>N1191*$H1193</f>
        <v>0</v>
      </c>
      <c r="T1191" s="1475">
        <f>O1191*$H1193</f>
        <v>0</v>
      </c>
      <c r="U1191" s="1475">
        <f>P1191*$H1193</f>
        <v>0</v>
      </c>
      <c r="V1191" s="1475">
        <f t="shared" si="615"/>
        <v>0</v>
      </c>
    </row>
    <row r="1192" spans="1:22" s="39" customFormat="1" ht="24" customHeight="1">
      <c r="A1192" s="1860">
        <v>2</v>
      </c>
      <c r="B1192" s="1860"/>
      <c r="C1192" s="1860"/>
      <c r="D1192" s="1860"/>
      <c r="E1192" s="1839"/>
      <c r="F1192" s="1841"/>
      <c r="G1192" s="1665"/>
      <c r="H1192" s="1601"/>
      <c r="I1192" s="1656"/>
      <c r="J1192" s="40" t="s">
        <v>81</v>
      </c>
      <c r="K1192" s="91"/>
      <c r="L1192" s="364">
        <v>0</v>
      </c>
      <c r="M1192" s="364">
        <v>0</v>
      </c>
      <c r="N1192" s="364">
        <v>0</v>
      </c>
      <c r="O1192" s="364">
        <v>0</v>
      </c>
      <c r="P1192" s="364">
        <v>0</v>
      </c>
      <c r="Q1192" s="1475">
        <f>L1192*$H1193</f>
        <v>0</v>
      </c>
      <c r="R1192" s="1475">
        <f>M1192*$H1193</f>
        <v>0</v>
      </c>
      <c r="S1192" s="1475">
        <f>N1192*$H1193</f>
        <v>0</v>
      </c>
      <c r="T1192" s="1475">
        <f>O1192*$H1193</f>
        <v>0</v>
      </c>
      <c r="U1192" s="1475">
        <f>P1192*$H1193</f>
        <v>0</v>
      </c>
      <c r="V1192" s="1475">
        <f t="shared" si="615"/>
        <v>0</v>
      </c>
    </row>
    <row r="1193" spans="1:22" s="39" customFormat="1" ht="24" customHeight="1">
      <c r="A1193" s="1860">
        <v>2</v>
      </c>
      <c r="B1193" s="1860"/>
      <c r="C1193" s="1860"/>
      <c r="D1193" s="1860"/>
      <c r="E1193" s="1839"/>
      <c r="F1193" s="1841"/>
      <c r="G1193" s="1665"/>
      <c r="H1193" s="1667">
        <f>'Budget assumption'!$C$4</f>
        <v>2000</v>
      </c>
      <c r="I1193" s="1656"/>
      <c r="J1193" s="40" t="s">
        <v>134</v>
      </c>
      <c r="K1193" s="91"/>
      <c r="L1193" s="364">
        <f>L865*30%</f>
        <v>0</v>
      </c>
      <c r="M1193" s="364">
        <f>M865*30%</f>
        <v>0</v>
      </c>
      <c r="N1193" s="364">
        <f>N865*30%</f>
        <v>0</v>
      </c>
      <c r="O1193" s="364">
        <f>O865*30%</f>
        <v>0</v>
      </c>
      <c r="P1193" s="364">
        <f>P865*30%</f>
        <v>0</v>
      </c>
      <c r="Q1193" s="1475">
        <f>L1193*$H1193</f>
        <v>0</v>
      </c>
      <c r="R1193" s="1475">
        <f>M1193*$H1193</f>
        <v>0</v>
      </c>
      <c r="S1193" s="1475">
        <f>N1193*$H1193</f>
        <v>0</v>
      </c>
      <c r="T1193" s="1475">
        <f>O1193*$H1193</f>
        <v>0</v>
      </c>
      <c r="U1193" s="1475">
        <f>P1193*$H1193</f>
        <v>0</v>
      </c>
      <c r="V1193" s="1475">
        <f t="shared" si="615"/>
        <v>0</v>
      </c>
    </row>
    <row r="1194" spans="1:22" s="39" customFormat="1" ht="24" customHeight="1">
      <c r="A1194" s="1860">
        <v>2</v>
      </c>
      <c r="B1194" s="1860"/>
      <c r="C1194" s="1860"/>
      <c r="D1194" s="1860"/>
      <c r="E1194" s="1839"/>
      <c r="F1194" s="1841"/>
      <c r="G1194" s="1665"/>
      <c r="H1194" s="1668"/>
      <c r="I1194" s="1656"/>
      <c r="J1194" s="40" t="s">
        <v>82</v>
      </c>
      <c r="K1194" s="91"/>
      <c r="L1194" s="364">
        <v>20</v>
      </c>
      <c r="M1194" s="364">
        <v>0</v>
      </c>
      <c r="N1194" s="364">
        <v>0</v>
      </c>
      <c r="O1194" s="364">
        <v>0</v>
      </c>
      <c r="P1194" s="364">
        <v>0</v>
      </c>
      <c r="Q1194" s="1475">
        <f>L1194*$H1193</f>
        <v>40000</v>
      </c>
      <c r="R1194" s="1475">
        <f>M1194*$H1193</f>
        <v>0</v>
      </c>
      <c r="S1194" s="1475">
        <f>N1194*$H1193</f>
        <v>0</v>
      </c>
      <c r="T1194" s="1475">
        <f>O1194*$H1193</f>
        <v>0</v>
      </c>
      <c r="U1194" s="1475">
        <f>P1194*$H1193</f>
        <v>0</v>
      </c>
      <c r="V1194" s="1475">
        <f t="shared" si="615"/>
        <v>40000</v>
      </c>
    </row>
    <row r="1195" spans="1:22" s="39" customFormat="1" ht="24" customHeight="1">
      <c r="A1195" s="1860">
        <v>2</v>
      </c>
      <c r="B1195" s="1860"/>
      <c r="C1195" s="1860"/>
      <c r="D1195" s="1860"/>
      <c r="E1195" s="1839"/>
      <c r="F1195" s="1841"/>
      <c r="G1195" s="1665"/>
      <c r="H1195" s="1668"/>
      <c r="I1195" s="1656"/>
      <c r="J1195" s="40" t="s">
        <v>90</v>
      </c>
      <c r="K1195" s="91"/>
      <c r="L1195" s="364">
        <v>0</v>
      </c>
      <c r="M1195" s="364">
        <v>0</v>
      </c>
      <c r="N1195" s="364">
        <v>0</v>
      </c>
      <c r="O1195" s="364">
        <v>0</v>
      </c>
      <c r="P1195" s="364">
        <v>0</v>
      </c>
      <c r="Q1195" s="1475">
        <f>L1195*$H1193</f>
        <v>0</v>
      </c>
      <c r="R1195" s="1475">
        <f>M1195*$H1193</f>
        <v>0</v>
      </c>
      <c r="S1195" s="1475">
        <f>N1195*$H1193</f>
        <v>0</v>
      </c>
      <c r="T1195" s="1475">
        <f>O1195*$H1193</f>
        <v>0</v>
      </c>
      <c r="U1195" s="1475">
        <f>P1195*$H1193</f>
        <v>0</v>
      </c>
      <c r="V1195" s="1475">
        <f t="shared" si="615"/>
        <v>0</v>
      </c>
    </row>
    <row r="1196" spans="1:22" s="39" customFormat="1" ht="24" customHeight="1">
      <c r="A1196" s="1860">
        <v>2</v>
      </c>
      <c r="B1196" s="1860"/>
      <c r="C1196" s="1860"/>
      <c r="D1196" s="1860"/>
      <c r="E1196" s="1839"/>
      <c r="F1196" s="1841"/>
      <c r="G1196" s="1665"/>
      <c r="H1196" s="1668"/>
      <c r="I1196" s="1656"/>
      <c r="J1196" s="40" t="s">
        <v>83</v>
      </c>
      <c r="K1196" s="91"/>
      <c r="L1196" s="364">
        <v>0</v>
      </c>
      <c r="M1196" s="364">
        <v>0</v>
      </c>
      <c r="N1196" s="364">
        <v>0</v>
      </c>
      <c r="O1196" s="364">
        <v>0</v>
      </c>
      <c r="P1196" s="364">
        <v>0</v>
      </c>
      <c r="Q1196" s="1475">
        <f>L1196*$H1193</f>
        <v>0</v>
      </c>
      <c r="R1196" s="1475">
        <f>M1196*$H1193</f>
        <v>0</v>
      </c>
      <c r="S1196" s="1475">
        <f>N1196*$H1193</f>
        <v>0</v>
      </c>
      <c r="T1196" s="1475">
        <f>O1196*$H1193</f>
        <v>0</v>
      </c>
      <c r="U1196" s="1475">
        <f>P1196*$H1193</f>
        <v>0</v>
      </c>
      <c r="V1196" s="1475">
        <f t="shared" si="615"/>
        <v>0</v>
      </c>
    </row>
    <row r="1197" spans="1:22" s="39" customFormat="1" ht="24" customHeight="1" thickBot="1">
      <c r="A1197" s="1860">
        <v>2</v>
      </c>
      <c r="B1197" s="1860"/>
      <c r="C1197" s="1860"/>
      <c r="D1197" s="1860"/>
      <c r="E1197" s="1839"/>
      <c r="F1197" s="1841"/>
      <c r="G1197" s="1666"/>
      <c r="H1197" s="1669"/>
      <c r="I1197" s="1657"/>
      <c r="J1197" s="40" t="s">
        <v>84</v>
      </c>
      <c r="K1197" s="91"/>
      <c r="L1197" s="364">
        <f>L1188-L1189</f>
        <v>0</v>
      </c>
      <c r="M1197" s="364">
        <f t="shared" ref="M1197:P1197" si="627">M1188-M1189</f>
        <v>0</v>
      </c>
      <c r="N1197" s="364">
        <f t="shared" si="627"/>
        <v>0</v>
      </c>
      <c r="O1197" s="364">
        <f t="shared" si="627"/>
        <v>0</v>
      </c>
      <c r="P1197" s="364">
        <f t="shared" si="627"/>
        <v>0</v>
      </c>
      <c r="Q1197" s="1475">
        <f t="shared" ref="Q1197:U1197" si="628">Q1188-Q1189</f>
        <v>0</v>
      </c>
      <c r="R1197" s="1475">
        <f t="shared" si="628"/>
        <v>0</v>
      </c>
      <c r="S1197" s="1475">
        <f t="shared" si="628"/>
        <v>0</v>
      </c>
      <c r="T1197" s="1475">
        <f t="shared" si="628"/>
        <v>0</v>
      </c>
      <c r="U1197" s="1475">
        <f t="shared" si="628"/>
        <v>0</v>
      </c>
      <c r="V1197" s="1475">
        <f t="shared" si="615"/>
        <v>0</v>
      </c>
    </row>
    <row r="1198" spans="1:22" s="45" customFormat="1" ht="24" customHeight="1">
      <c r="A1198" s="1860">
        <v>2</v>
      </c>
      <c r="B1198" s="1860">
        <v>4</v>
      </c>
      <c r="C1198" s="1860">
        <v>1</v>
      </c>
      <c r="D1198" s="1860">
        <v>4</v>
      </c>
      <c r="E1198" s="1839"/>
      <c r="F1198" s="1841" t="str">
        <f>CONCATENATE(A1198,".",B1198,".",C1198,".",D1198,)</f>
        <v>2.4.1.4</v>
      </c>
      <c r="G1198" s="1664" t="s">
        <v>205</v>
      </c>
      <c r="H1198" s="1601" t="s">
        <v>195</v>
      </c>
      <c r="I1198" s="1655" t="s">
        <v>792</v>
      </c>
      <c r="J1198" s="36" t="s">
        <v>79</v>
      </c>
      <c r="K1198" s="896"/>
      <c r="L1198" s="383">
        <v>30</v>
      </c>
      <c r="M1198" s="383">
        <v>0</v>
      </c>
      <c r="N1198" s="383">
        <v>0</v>
      </c>
      <c r="O1198" s="383">
        <v>0</v>
      </c>
      <c r="P1198" s="383">
        <v>0</v>
      </c>
      <c r="Q1198" s="1475">
        <f>L1198*H1203</f>
        <v>60000</v>
      </c>
      <c r="R1198" s="1475">
        <f>M1198*H1203</f>
        <v>0</v>
      </c>
      <c r="S1198" s="1475">
        <f>N1198*H1203</f>
        <v>0</v>
      </c>
      <c r="T1198" s="1475">
        <f>O1198*H1203</f>
        <v>0</v>
      </c>
      <c r="U1198" s="1475">
        <f>P1198*H1203</f>
        <v>0</v>
      </c>
      <c r="V1198" s="1475">
        <f t="shared" ref="V1198:V1217" si="629">SUM(Q1198:U1198)</f>
        <v>60000</v>
      </c>
    </row>
    <row r="1199" spans="1:22" s="39" customFormat="1" ht="24" customHeight="1">
      <c r="A1199" s="1860">
        <v>2</v>
      </c>
      <c r="B1199" s="1860"/>
      <c r="C1199" s="1860"/>
      <c r="D1199" s="1860"/>
      <c r="E1199" s="1839"/>
      <c r="F1199" s="1841"/>
      <c r="G1199" s="1665"/>
      <c r="H1199" s="1601"/>
      <c r="I1199" s="1656"/>
      <c r="J1199" s="40" t="s">
        <v>80</v>
      </c>
      <c r="K1199" s="91"/>
      <c r="L1199" s="364">
        <v>30</v>
      </c>
      <c r="M1199" s="364">
        <f t="shared" ref="M1199:P1199" si="630">SUM(M1200:M1206)</f>
        <v>0</v>
      </c>
      <c r="N1199" s="364">
        <f t="shared" si="630"/>
        <v>0</v>
      </c>
      <c r="O1199" s="364">
        <f t="shared" si="630"/>
        <v>0</v>
      </c>
      <c r="P1199" s="364">
        <f t="shared" si="630"/>
        <v>0</v>
      </c>
      <c r="Q1199" s="1475">
        <f t="shared" ref="Q1199:U1199" si="631">SUM(Q1200:Q1206)</f>
        <v>60000</v>
      </c>
      <c r="R1199" s="1475">
        <f t="shared" si="631"/>
        <v>0</v>
      </c>
      <c r="S1199" s="1475">
        <f t="shared" si="631"/>
        <v>0</v>
      </c>
      <c r="T1199" s="1475">
        <f t="shared" si="631"/>
        <v>0</v>
      </c>
      <c r="U1199" s="1475">
        <f t="shared" si="631"/>
        <v>0</v>
      </c>
      <c r="V1199" s="1475">
        <f t="shared" si="629"/>
        <v>60000</v>
      </c>
    </row>
    <row r="1200" spans="1:22" s="39" customFormat="1" ht="24" customHeight="1">
      <c r="A1200" s="1860">
        <v>2</v>
      </c>
      <c r="B1200" s="1860"/>
      <c r="C1200" s="1860"/>
      <c r="D1200" s="1860"/>
      <c r="E1200" s="1839"/>
      <c r="F1200" s="1841"/>
      <c r="G1200" s="1665"/>
      <c r="H1200" s="1601"/>
      <c r="I1200" s="1656"/>
      <c r="J1200" s="40" t="s">
        <v>429</v>
      </c>
      <c r="K1200" s="91"/>
      <c r="L1200" s="364">
        <v>0</v>
      </c>
      <c r="M1200" s="364">
        <v>0</v>
      </c>
      <c r="N1200" s="364">
        <v>0</v>
      </c>
      <c r="O1200" s="364">
        <v>0</v>
      </c>
      <c r="P1200" s="364">
        <v>0</v>
      </c>
      <c r="Q1200" s="1475">
        <f>L1200*$H1203</f>
        <v>0</v>
      </c>
      <c r="R1200" s="1475">
        <f>M1200*$H1203</f>
        <v>0</v>
      </c>
      <c r="S1200" s="1475">
        <f>N1200*$H1203</f>
        <v>0</v>
      </c>
      <c r="T1200" s="1475">
        <f>O1200*$H1203</f>
        <v>0</v>
      </c>
      <c r="U1200" s="1475">
        <f>P1200*$H1203</f>
        <v>0</v>
      </c>
      <c r="V1200" s="1475">
        <f t="shared" si="629"/>
        <v>0</v>
      </c>
    </row>
    <row r="1201" spans="1:22" s="39" customFormat="1" ht="24" customHeight="1">
      <c r="A1201" s="1860">
        <v>2</v>
      </c>
      <c r="B1201" s="1860"/>
      <c r="C1201" s="1860"/>
      <c r="D1201" s="1860"/>
      <c r="E1201" s="1839"/>
      <c r="F1201" s="1841"/>
      <c r="G1201" s="1665"/>
      <c r="H1201" s="1601"/>
      <c r="I1201" s="1656"/>
      <c r="J1201" s="40" t="s">
        <v>133</v>
      </c>
      <c r="K1201" s="91"/>
      <c r="L1201" s="364">
        <v>0</v>
      </c>
      <c r="M1201" s="364">
        <v>0</v>
      </c>
      <c r="N1201" s="364">
        <v>0</v>
      </c>
      <c r="O1201" s="364">
        <v>0</v>
      </c>
      <c r="P1201" s="364">
        <v>0</v>
      </c>
      <c r="Q1201" s="1475">
        <f>L1201*$H1203</f>
        <v>0</v>
      </c>
      <c r="R1201" s="1475">
        <f>M1201*$H1203</f>
        <v>0</v>
      </c>
      <c r="S1201" s="1475">
        <f>N1201*$H1203</f>
        <v>0</v>
      </c>
      <c r="T1201" s="1475">
        <f>O1201*$H1203</f>
        <v>0</v>
      </c>
      <c r="U1201" s="1475">
        <f>P1201*$H1203</f>
        <v>0</v>
      </c>
      <c r="V1201" s="1475">
        <f t="shared" si="629"/>
        <v>0</v>
      </c>
    </row>
    <row r="1202" spans="1:22" s="39" customFormat="1" ht="24" customHeight="1">
      <c r="A1202" s="1860">
        <v>2</v>
      </c>
      <c r="B1202" s="1860"/>
      <c r="C1202" s="1860"/>
      <c r="D1202" s="1860"/>
      <c r="E1202" s="1839"/>
      <c r="F1202" s="1841"/>
      <c r="G1202" s="1665"/>
      <c r="H1202" s="1601"/>
      <c r="I1202" s="1656"/>
      <c r="J1202" s="40" t="s">
        <v>81</v>
      </c>
      <c r="K1202" s="91"/>
      <c r="L1202" s="364">
        <v>0</v>
      </c>
      <c r="M1202" s="364">
        <v>0</v>
      </c>
      <c r="N1202" s="364">
        <v>0</v>
      </c>
      <c r="O1202" s="364">
        <v>0</v>
      </c>
      <c r="P1202" s="364">
        <v>0</v>
      </c>
      <c r="Q1202" s="1475">
        <f>L1202*$H1203</f>
        <v>0</v>
      </c>
      <c r="R1202" s="1475">
        <f>M1202*$H1203</f>
        <v>0</v>
      </c>
      <c r="S1202" s="1475">
        <f>N1202*$H1203</f>
        <v>0</v>
      </c>
      <c r="T1202" s="1475">
        <f>O1202*$H1203</f>
        <v>0</v>
      </c>
      <c r="U1202" s="1475">
        <f>P1202*$H1203</f>
        <v>0</v>
      </c>
      <c r="V1202" s="1475">
        <f t="shared" si="629"/>
        <v>0</v>
      </c>
    </row>
    <row r="1203" spans="1:22" s="39" customFormat="1" ht="24" customHeight="1">
      <c r="A1203" s="1860">
        <v>2</v>
      </c>
      <c r="B1203" s="1860"/>
      <c r="C1203" s="1860"/>
      <c r="D1203" s="1860"/>
      <c r="E1203" s="1839"/>
      <c r="F1203" s="1841"/>
      <c r="G1203" s="1665"/>
      <c r="H1203" s="1667">
        <f>'Budget assumption'!$C$4</f>
        <v>2000</v>
      </c>
      <c r="I1203" s="1656"/>
      <c r="J1203" s="40" t="s">
        <v>134</v>
      </c>
      <c r="K1203" s="91"/>
      <c r="L1203" s="364">
        <v>0</v>
      </c>
      <c r="M1203" s="364">
        <v>0</v>
      </c>
      <c r="N1203" s="364">
        <v>0</v>
      </c>
      <c r="O1203" s="364">
        <v>0</v>
      </c>
      <c r="P1203" s="364">
        <v>0</v>
      </c>
      <c r="Q1203" s="1475">
        <f>L1203*$H1203</f>
        <v>0</v>
      </c>
      <c r="R1203" s="1475">
        <f>M1203*$H1203</f>
        <v>0</v>
      </c>
      <c r="S1203" s="1475">
        <f>N1203*$H1203</f>
        <v>0</v>
      </c>
      <c r="T1203" s="1475">
        <f>O1203*$H1203</f>
        <v>0</v>
      </c>
      <c r="U1203" s="1475">
        <f>P1203*$H1203</f>
        <v>0</v>
      </c>
      <c r="V1203" s="1475">
        <f t="shared" si="629"/>
        <v>0</v>
      </c>
    </row>
    <row r="1204" spans="1:22" s="39" customFormat="1" ht="24" customHeight="1">
      <c r="A1204" s="1860">
        <v>2</v>
      </c>
      <c r="B1204" s="1860"/>
      <c r="C1204" s="1860"/>
      <c r="D1204" s="1860"/>
      <c r="E1204" s="1839"/>
      <c r="F1204" s="1841"/>
      <c r="G1204" s="1665"/>
      <c r="H1204" s="1668"/>
      <c r="I1204" s="1656"/>
      <c r="J1204" s="40" t="s">
        <v>82</v>
      </c>
      <c r="K1204" s="91"/>
      <c r="L1204" s="364">
        <v>30</v>
      </c>
      <c r="M1204" s="364">
        <v>0</v>
      </c>
      <c r="N1204" s="364">
        <v>0</v>
      </c>
      <c r="O1204" s="364">
        <v>0</v>
      </c>
      <c r="P1204" s="364">
        <v>0</v>
      </c>
      <c r="Q1204" s="1475">
        <f>L1204*$H1203</f>
        <v>60000</v>
      </c>
      <c r="R1204" s="1475">
        <f>M1204*$H1203</f>
        <v>0</v>
      </c>
      <c r="S1204" s="1475">
        <f>N1204*$H1203</f>
        <v>0</v>
      </c>
      <c r="T1204" s="1475">
        <f>O1204*$H1203</f>
        <v>0</v>
      </c>
      <c r="U1204" s="1475">
        <f>P1204*$H1203</f>
        <v>0</v>
      </c>
      <c r="V1204" s="1475">
        <f t="shared" si="629"/>
        <v>60000</v>
      </c>
    </row>
    <row r="1205" spans="1:22" s="39" customFormat="1" ht="24" customHeight="1">
      <c r="A1205" s="1860">
        <v>2</v>
      </c>
      <c r="B1205" s="1860"/>
      <c r="C1205" s="1860"/>
      <c r="D1205" s="1860"/>
      <c r="E1205" s="1839"/>
      <c r="F1205" s="1841"/>
      <c r="G1205" s="1665"/>
      <c r="H1205" s="1668"/>
      <c r="I1205" s="1656"/>
      <c r="J1205" s="40" t="s">
        <v>90</v>
      </c>
      <c r="K1205" s="91"/>
      <c r="L1205" s="364">
        <v>0</v>
      </c>
      <c r="M1205" s="364">
        <v>0</v>
      </c>
      <c r="N1205" s="364">
        <v>0</v>
      </c>
      <c r="O1205" s="364">
        <v>0</v>
      </c>
      <c r="P1205" s="364">
        <v>0</v>
      </c>
      <c r="Q1205" s="1475">
        <f>L1205*$H1203</f>
        <v>0</v>
      </c>
      <c r="R1205" s="1475">
        <f>M1205*$H1203</f>
        <v>0</v>
      </c>
      <c r="S1205" s="1475">
        <f>N1205*$H1203</f>
        <v>0</v>
      </c>
      <c r="T1205" s="1475">
        <f>O1205*$H1203</f>
        <v>0</v>
      </c>
      <c r="U1205" s="1475">
        <f>P1205*$H1203</f>
        <v>0</v>
      </c>
      <c r="V1205" s="1475">
        <f t="shared" si="629"/>
        <v>0</v>
      </c>
    </row>
    <row r="1206" spans="1:22" s="39" customFormat="1" ht="24" customHeight="1">
      <c r="A1206" s="1860">
        <v>2</v>
      </c>
      <c r="B1206" s="1860"/>
      <c r="C1206" s="1860"/>
      <c r="D1206" s="1860"/>
      <c r="E1206" s="1839"/>
      <c r="F1206" s="1841"/>
      <c r="G1206" s="1665"/>
      <c r="H1206" s="1668"/>
      <c r="I1206" s="1656"/>
      <c r="J1206" s="40" t="s">
        <v>83</v>
      </c>
      <c r="K1206" s="91"/>
      <c r="L1206" s="364">
        <v>0</v>
      </c>
      <c r="M1206" s="364">
        <v>0</v>
      </c>
      <c r="N1206" s="364">
        <v>0</v>
      </c>
      <c r="O1206" s="364">
        <v>0</v>
      </c>
      <c r="P1206" s="364">
        <v>0</v>
      </c>
      <c r="Q1206" s="1475">
        <f>L1206*$H1203</f>
        <v>0</v>
      </c>
      <c r="R1206" s="1475">
        <f>M1206*$H1203</f>
        <v>0</v>
      </c>
      <c r="S1206" s="1475">
        <f>N1206*$H1203</f>
        <v>0</v>
      </c>
      <c r="T1206" s="1475">
        <f>O1206*$H1203</f>
        <v>0</v>
      </c>
      <c r="U1206" s="1475">
        <f>P1206*$H1203</f>
        <v>0</v>
      </c>
      <c r="V1206" s="1475">
        <f t="shared" si="629"/>
        <v>0</v>
      </c>
    </row>
    <row r="1207" spans="1:22" s="39" customFormat="1" ht="24" customHeight="1" thickBot="1">
      <c r="A1207" s="1860">
        <v>2</v>
      </c>
      <c r="B1207" s="1860"/>
      <c r="C1207" s="1860"/>
      <c r="D1207" s="1860"/>
      <c r="E1207" s="1839"/>
      <c r="F1207" s="1841"/>
      <c r="G1207" s="1666"/>
      <c r="H1207" s="1669"/>
      <c r="I1207" s="1657"/>
      <c r="J1207" s="40" t="s">
        <v>84</v>
      </c>
      <c r="K1207" s="91"/>
      <c r="L1207" s="364">
        <f>L1198-L1199</f>
        <v>0</v>
      </c>
      <c r="M1207" s="364">
        <f t="shared" ref="M1207:P1207" si="632">M1198-M1199</f>
        <v>0</v>
      </c>
      <c r="N1207" s="364">
        <f t="shared" si="632"/>
        <v>0</v>
      </c>
      <c r="O1207" s="364">
        <f t="shared" si="632"/>
        <v>0</v>
      </c>
      <c r="P1207" s="364">
        <f t="shared" si="632"/>
        <v>0</v>
      </c>
      <c r="Q1207" s="1475">
        <f t="shared" ref="Q1207:U1207" si="633">Q1198-Q1199</f>
        <v>0</v>
      </c>
      <c r="R1207" s="1475">
        <f t="shared" si="633"/>
        <v>0</v>
      </c>
      <c r="S1207" s="1475">
        <f t="shared" si="633"/>
        <v>0</v>
      </c>
      <c r="T1207" s="1475">
        <f t="shared" si="633"/>
        <v>0</v>
      </c>
      <c r="U1207" s="1475">
        <f t="shared" si="633"/>
        <v>0</v>
      </c>
      <c r="V1207" s="1475">
        <f t="shared" si="629"/>
        <v>0</v>
      </c>
    </row>
    <row r="1208" spans="1:22" s="45" customFormat="1" ht="24" customHeight="1">
      <c r="A1208" s="1860">
        <v>2</v>
      </c>
      <c r="B1208" s="1860">
        <v>4</v>
      </c>
      <c r="C1208" s="1860">
        <v>1</v>
      </c>
      <c r="D1208" s="1860">
        <v>5</v>
      </c>
      <c r="E1208" s="1839" t="s">
        <v>49</v>
      </c>
      <c r="F1208" s="1841" t="str">
        <f>CONCATENATE(A1208,".",B1208,".",C1208,".",D1208,)</f>
        <v>2.4.1.5</v>
      </c>
      <c r="G1208" s="1664" t="s">
        <v>206</v>
      </c>
      <c r="H1208" s="1601" t="s">
        <v>195</v>
      </c>
      <c r="I1208" s="1655" t="s">
        <v>1045</v>
      </c>
      <c r="J1208" s="36" t="s">
        <v>79</v>
      </c>
      <c r="K1208" s="896"/>
      <c r="L1208" s="383">
        <v>30</v>
      </c>
      <c r="M1208" s="383">
        <v>0</v>
      </c>
      <c r="N1208" s="383">
        <v>0</v>
      </c>
      <c r="O1208" s="383">
        <v>0</v>
      </c>
      <c r="P1208" s="383">
        <v>0</v>
      </c>
      <c r="Q1208" s="1475">
        <f>L1208*H1213</f>
        <v>60000</v>
      </c>
      <c r="R1208" s="1475">
        <f>M1208*H1213</f>
        <v>0</v>
      </c>
      <c r="S1208" s="1475">
        <f>N1208*H1213</f>
        <v>0</v>
      </c>
      <c r="T1208" s="1475">
        <f>O1208*H1213</f>
        <v>0</v>
      </c>
      <c r="U1208" s="1475">
        <f>P1208*H1213</f>
        <v>0</v>
      </c>
      <c r="V1208" s="1475">
        <f t="shared" si="629"/>
        <v>60000</v>
      </c>
    </row>
    <row r="1209" spans="1:22" s="39" customFormat="1" ht="24" customHeight="1">
      <c r="A1209" s="1860">
        <v>2</v>
      </c>
      <c r="B1209" s="1860"/>
      <c r="C1209" s="1860"/>
      <c r="D1209" s="1860"/>
      <c r="E1209" s="1839"/>
      <c r="F1209" s="1841"/>
      <c r="G1209" s="1665"/>
      <c r="H1209" s="1601"/>
      <c r="I1209" s="1656"/>
      <c r="J1209" s="40" t="s">
        <v>80</v>
      </c>
      <c r="K1209" s="91"/>
      <c r="L1209" s="364">
        <f t="shared" ref="L1209:P1209" si="634">SUM(L1210:L1216)</f>
        <v>30</v>
      </c>
      <c r="M1209" s="364">
        <f t="shared" si="634"/>
        <v>0</v>
      </c>
      <c r="N1209" s="364">
        <f t="shared" si="634"/>
        <v>0</v>
      </c>
      <c r="O1209" s="364">
        <f t="shared" si="634"/>
        <v>0</v>
      </c>
      <c r="P1209" s="364">
        <f t="shared" si="634"/>
        <v>0</v>
      </c>
      <c r="Q1209" s="1475">
        <f t="shared" ref="Q1209:U1209" si="635">SUM(Q1210:Q1216)</f>
        <v>60000</v>
      </c>
      <c r="R1209" s="1475">
        <f t="shared" si="635"/>
        <v>0</v>
      </c>
      <c r="S1209" s="1475">
        <f t="shared" si="635"/>
        <v>0</v>
      </c>
      <c r="T1209" s="1475">
        <f t="shared" si="635"/>
        <v>0</v>
      </c>
      <c r="U1209" s="1475">
        <f t="shared" si="635"/>
        <v>0</v>
      </c>
      <c r="V1209" s="1475">
        <f t="shared" si="629"/>
        <v>60000</v>
      </c>
    </row>
    <row r="1210" spans="1:22" s="39" customFormat="1" ht="24" customHeight="1">
      <c r="A1210" s="1860">
        <v>2</v>
      </c>
      <c r="B1210" s="1860"/>
      <c r="C1210" s="1860"/>
      <c r="D1210" s="1860"/>
      <c r="E1210" s="1839"/>
      <c r="F1210" s="1841"/>
      <c r="G1210" s="1665"/>
      <c r="H1210" s="1601"/>
      <c r="I1210" s="1656"/>
      <c r="J1210" s="40" t="s">
        <v>429</v>
      </c>
      <c r="K1210" s="91"/>
      <c r="L1210" s="364">
        <v>0</v>
      </c>
      <c r="M1210" s="364">
        <v>0</v>
      </c>
      <c r="N1210" s="364">
        <v>0</v>
      </c>
      <c r="O1210" s="364">
        <v>0</v>
      </c>
      <c r="P1210" s="364">
        <v>0</v>
      </c>
      <c r="Q1210" s="1475">
        <f>L1210*$H1213</f>
        <v>0</v>
      </c>
      <c r="R1210" s="1475">
        <f>M1210*$H1213</f>
        <v>0</v>
      </c>
      <c r="S1210" s="1475">
        <f>N1210*$H1213</f>
        <v>0</v>
      </c>
      <c r="T1210" s="1475">
        <f>O1210*$H1213</f>
        <v>0</v>
      </c>
      <c r="U1210" s="1475">
        <f>P1210*$H1213</f>
        <v>0</v>
      </c>
      <c r="V1210" s="1475">
        <f t="shared" si="629"/>
        <v>0</v>
      </c>
    </row>
    <row r="1211" spans="1:22" s="39" customFormat="1" ht="24" customHeight="1">
      <c r="A1211" s="1860">
        <v>2</v>
      </c>
      <c r="B1211" s="1860"/>
      <c r="C1211" s="1860"/>
      <c r="D1211" s="1860"/>
      <c r="E1211" s="1839"/>
      <c r="F1211" s="1841"/>
      <c r="G1211" s="1665"/>
      <c r="H1211" s="1601"/>
      <c r="I1211" s="1656"/>
      <c r="J1211" s="40" t="s">
        <v>133</v>
      </c>
      <c r="K1211" s="91"/>
      <c r="L1211" s="364">
        <v>0</v>
      </c>
      <c r="M1211" s="364">
        <v>0</v>
      </c>
      <c r="N1211" s="364">
        <v>0</v>
      </c>
      <c r="O1211" s="364">
        <v>0</v>
      </c>
      <c r="P1211" s="364">
        <v>0</v>
      </c>
      <c r="Q1211" s="1475">
        <f>L1211*$H1213</f>
        <v>0</v>
      </c>
      <c r="R1211" s="1475">
        <f>M1211*$H1213</f>
        <v>0</v>
      </c>
      <c r="S1211" s="1475">
        <f>N1211*$H1213</f>
        <v>0</v>
      </c>
      <c r="T1211" s="1475">
        <f>O1211*$H1213</f>
        <v>0</v>
      </c>
      <c r="U1211" s="1475">
        <f>P1211*$H1213</f>
        <v>0</v>
      </c>
      <c r="V1211" s="1475">
        <f t="shared" si="629"/>
        <v>0</v>
      </c>
    </row>
    <row r="1212" spans="1:22" s="39" customFormat="1" ht="24" customHeight="1">
      <c r="A1212" s="1860">
        <v>2</v>
      </c>
      <c r="B1212" s="1860"/>
      <c r="C1212" s="1860"/>
      <c r="D1212" s="1860"/>
      <c r="E1212" s="1839"/>
      <c r="F1212" s="1841"/>
      <c r="G1212" s="1665"/>
      <c r="H1212" s="1601"/>
      <c r="I1212" s="1656"/>
      <c r="J1212" s="40" t="s">
        <v>81</v>
      </c>
      <c r="K1212" s="91"/>
      <c r="L1212" s="364">
        <v>0</v>
      </c>
      <c r="M1212" s="364">
        <v>0</v>
      </c>
      <c r="N1212" s="364">
        <v>0</v>
      </c>
      <c r="O1212" s="364">
        <v>0</v>
      </c>
      <c r="P1212" s="364">
        <v>0</v>
      </c>
      <c r="Q1212" s="1475">
        <f>L1212*$H1213</f>
        <v>0</v>
      </c>
      <c r="R1212" s="1475">
        <f>M1212*$H1213</f>
        <v>0</v>
      </c>
      <c r="S1212" s="1475">
        <f>N1212*$H1213</f>
        <v>0</v>
      </c>
      <c r="T1212" s="1475">
        <f>O1212*$H1213</f>
        <v>0</v>
      </c>
      <c r="U1212" s="1475">
        <f>P1212*$H1213</f>
        <v>0</v>
      </c>
      <c r="V1212" s="1475">
        <f t="shared" si="629"/>
        <v>0</v>
      </c>
    </row>
    <row r="1213" spans="1:22" s="39" customFormat="1" ht="24" customHeight="1">
      <c r="A1213" s="1860">
        <v>2</v>
      </c>
      <c r="B1213" s="1860"/>
      <c r="C1213" s="1860"/>
      <c r="D1213" s="1860"/>
      <c r="E1213" s="1839"/>
      <c r="F1213" s="1841"/>
      <c r="G1213" s="1665"/>
      <c r="H1213" s="1667">
        <f>'Budget assumption'!$C$4</f>
        <v>2000</v>
      </c>
      <c r="I1213" s="1656"/>
      <c r="J1213" s="40" t="s">
        <v>134</v>
      </c>
      <c r="K1213" s="91"/>
      <c r="L1213" s="364">
        <v>0</v>
      </c>
      <c r="M1213" s="364">
        <v>0</v>
      </c>
      <c r="N1213" s="364">
        <f>N1204*30%</f>
        <v>0</v>
      </c>
      <c r="O1213" s="364">
        <f>O1204*30%</f>
        <v>0</v>
      </c>
      <c r="P1213" s="364">
        <f>P1204*30%</f>
        <v>0</v>
      </c>
      <c r="Q1213" s="1475">
        <f>L1213*$H1213</f>
        <v>0</v>
      </c>
      <c r="R1213" s="1475">
        <f>M1213*$H1213</f>
        <v>0</v>
      </c>
      <c r="S1213" s="1475">
        <f>N1213*$H1213</f>
        <v>0</v>
      </c>
      <c r="T1213" s="1475">
        <f>O1213*$H1213</f>
        <v>0</v>
      </c>
      <c r="U1213" s="1475">
        <f>P1213*$H1213</f>
        <v>0</v>
      </c>
      <c r="V1213" s="1475">
        <f t="shared" si="629"/>
        <v>0</v>
      </c>
    </row>
    <row r="1214" spans="1:22" s="39" customFormat="1" ht="24" customHeight="1">
      <c r="A1214" s="1860">
        <v>2</v>
      </c>
      <c r="B1214" s="1860"/>
      <c r="C1214" s="1860"/>
      <c r="D1214" s="1860"/>
      <c r="E1214" s="1839"/>
      <c r="F1214" s="1841"/>
      <c r="G1214" s="1665"/>
      <c r="H1214" s="1668"/>
      <c r="I1214" s="1656"/>
      <c r="J1214" s="40" t="s">
        <v>82</v>
      </c>
      <c r="K1214" s="91"/>
      <c r="L1214" s="364">
        <v>30</v>
      </c>
      <c r="M1214" s="364">
        <v>0</v>
      </c>
      <c r="N1214" s="364">
        <v>0</v>
      </c>
      <c r="O1214" s="364">
        <v>0</v>
      </c>
      <c r="P1214" s="364">
        <v>0</v>
      </c>
      <c r="Q1214" s="1475">
        <f>L1214*$H1213</f>
        <v>60000</v>
      </c>
      <c r="R1214" s="1475">
        <f>M1214*$H1213</f>
        <v>0</v>
      </c>
      <c r="S1214" s="1475">
        <f>N1214*$H1213</f>
        <v>0</v>
      </c>
      <c r="T1214" s="1475">
        <f>O1214*$H1213</f>
        <v>0</v>
      </c>
      <c r="U1214" s="1475">
        <f>P1214*$H1213</f>
        <v>0</v>
      </c>
      <c r="V1214" s="1475">
        <f t="shared" si="629"/>
        <v>60000</v>
      </c>
    </row>
    <row r="1215" spans="1:22" s="39" customFormat="1" ht="24" customHeight="1">
      <c r="A1215" s="1860">
        <v>2</v>
      </c>
      <c r="B1215" s="1860"/>
      <c r="C1215" s="1860"/>
      <c r="D1215" s="1860"/>
      <c r="E1215" s="1839"/>
      <c r="F1215" s="1841"/>
      <c r="G1215" s="1665"/>
      <c r="H1215" s="1668"/>
      <c r="I1215" s="1656"/>
      <c r="J1215" s="40" t="s">
        <v>90</v>
      </c>
      <c r="K1215" s="91"/>
      <c r="L1215" s="364">
        <v>0</v>
      </c>
      <c r="M1215" s="364">
        <v>0</v>
      </c>
      <c r="N1215" s="364">
        <v>0</v>
      </c>
      <c r="O1215" s="364">
        <v>0</v>
      </c>
      <c r="P1215" s="364">
        <v>0</v>
      </c>
      <c r="Q1215" s="1475">
        <f>L1215*$H1213</f>
        <v>0</v>
      </c>
      <c r="R1215" s="1475">
        <f>M1215*$H1213</f>
        <v>0</v>
      </c>
      <c r="S1215" s="1475">
        <f>N1215*$H1213</f>
        <v>0</v>
      </c>
      <c r="T1215" s="1475">
        <f>O1215*$H1213</f>
        <v>0</v>
      </c>
      <c r="U1215" s="1475">
        <f>P1215*$H1213</f>
        <v>0</v>
      </c>
      <c r="V1215" s="1475">
        <f t="shared" si="629"/>
        <v>0</v>
      </c>
    </row>
    <row r="1216" spans="1:22" s="39" customFormat="1" ht="24" customHeight="1">
      <c r="A1216" s="1860">
        <v>2</v>
      </c>
      <c r="B1216" s="1860"/>
      <c r="C1216" s="1860"/>
      <c r="D1216" s="1860"/>
      <c r="E1216" s="1839"/>
      <c r="F1216" s="1841"/>
      <c r="G1216" s="1665"/>
      <c r="H1216" s="1668"/>
      <c r="I1216" s="1656"/>
      <c r="J1216" s="40" t="s">
        <v>83</v>
      </c>
      <c r="K1216" s="91"/>
      <c r="L1216" s="364">
        <v>0</v>
      </c>
      <c r="M1216" s="364">
        <v>0</v>
      </c>
      <c r="N1216" s="364">
        <v>0</v>
      </c>
      <c r="O1216" s="364">
        <v>0</v>
      </c>
      <c r="P1216" s="364">
        <v>0</v>
      </c>
      <c r="Q1216" s="1475">
        <f>L1216*$H1213</f>
        <v>0</v>
      </c>
      <c r="R1216" s="1475">
        <f>M1216*$H1213</f>
        <v>0</v>
      </c>
      <c r="S1216" s="1475">
        <f>N1216*$H1213</f>
        <v>0</v>
      </c>
      <c r="T1216" s="1475">
        <f>O1216*$H1213</f>
        <v>0</v>
      </c>
      <c r="U1216" s="1475">
        <f>P1216*$H1213</f>
        <v>0</v>
      </c>
      <c r="V1216" s="1475">
        <f t="shared" si="629"/>
        <v>0</v>
      </c>
    </row>
    <row r="1217" spans="1:22" s="39" customFormat="1" ht="24" customHeight="1" thickBot="1">
      <c r="A1217" s="1860">
        <v>2</v>
      </c>
      <c r="B1217" s="1860"/>
      <c r="C1217" s="1860"/>
      <c r="D1217" s="1860"/>
      <c r="E1217" s="1839"/>
      <c r="F1217" s="1841"/>
      <c r="G1217" s="1666"/>
      <c r="H1217" s="1669"/>
      <c r="I1217" s="1657"/>
      <c r="J1217" s="40" t="s">
        <v>84</v>
      </c>
      <c r="K1217" s="91"/>
      <c r="L1217" s="364">
        <f>L1208-L1209</f>
        <v>0</v>
      </c>
      <c r="M1217" s="364">
        <f t="shared" ref="M1217:P1217" si="636">M1208-M1209</f>
        <v>0</v>
      </c>
      <c r="N1217" s="364">
        <f t="shared" si="636"/>
        <v>0</v>
      </c>
      <c r="O1217" s="364">
        <f t="shared" si="636"/>
        <v>0</v>
      </c>
      <c r="P1217" s="364">
        <f t="shared" si="636"/>
        <v>0</v>
      </c>
      <c r="Q1217" s="1475">
        <f t="shared" ref="Q1217:U1217" si="637">Q1208-Q1209</f>
        <v>0</v>
      </c>
      <c r="R1217" s="1475">
        <f t="shared" si="637"/>
        <v>0</v>
      </c>
      <c r="S1217" s="1475">
        <f t="shared" si="637"/>
        <v>0</v>
      </c>
      <c r="T1217" s="1475">
        <f t="shared" si="637"/>
        <v>0</v>
      </c>
      <c r="U1217" s="1475">
        <f t="shared" si="637"/>
        <v>0</v>
      </c>
      <c r="V1217" s="1475">
        <f t="shared" si="629"/>
        <v>0</v>
      </c>
    </row>
    <row r="1218" spans="1:22" s="45" customFormat="1" ht="24" customHeight="1">
      <c r="A1218" s="1860">
        <v>2</v>
      </c>
      <c r="B1218" s="1860">
        <v>4</v>
      </c>
      <c r="C1218" s="1860">
        <v>1</v>
      </c>
      <c r="D1218" s="1860">
        <v>6</v>
      </c>
      <c r="E1218" s="1839" t="s">
        <v>49</v>
      </c>
      <c r="F1218" s="1841" t="str">
        <f>CONCATENATE(A1218,".",B1218,".",C1218,".",D1218,)</f>
        <v>2.4.1.6</v>
      </c>
      <c r="G1218" s="1664" t="s">
        <v>340</v>
      </c>
      <c r="H1218" s="1601" t="s">
        <v>247</v>
      </c>
      <c r="I1218" s="1655" t="s">
        <v>1424</v>
      </c>
      <c r="J1218" s="36" t="s">
        <v>79</v>
      </c>
      <c r="K1218" s="896"/>
      <c r="L1218" s="383">
        <v>3</v>
      </c>
      <c r="M1218" s="383">
        <v>3</v>
      </c>
      <c r="N1218" s="383">
        <v>3</v>
      </c>
      <c r="O1218" s="383">
        <v>3</v>
      </c>
      <c r="P1218" s="383">
        <v>3</v>
      </c>
      <c r="Q1218" s="1475">
        <f>L1218*H1223</f>
        <v>36540</v>
      </c>
      <c r="R1218" s="1475">
        <f>M1218*H1223</f>
        <v>36540</v>
      </c>
      <c r="S1218" s="1475">
        <f>N1218*H1223</f>
        <v>36540</v>
      </c>
      <c r="T1218" s="1475">
        <f>O1218*H1223</f>
        <v>36540</v>
      </c>
      <c r="U1218" s="1475">
        <f>P1218*H1223</f>
        <v>36540</v>
      </c>
      <c r="V1218" s="1475">
        <f t="shared" ref="V1218:V1227" si="638">SUM(Q1218:U1218)</f>
        <v>182700</v>
      </c>
    </row>
    <row r="1219" spans="1:22" s="39" customFormat="1" ht="24" customHeight="1">
      <c r="A1219" s="1860">
        <v>2</v>
      </c>
      <c r="B1219" s="1860"/>
      <c r="C1219" s="1860"/>
      <c r="D1219" s="1860"/>
      <c r="E1219" s="1839"/>
      <c r="F1219" s="1841"/>
      <c r="G1219" s="1665"/>
      <c r="H1219" s="1601"/>
      <c r="I1219" s="1656"/>
      <c r="J1219" s="40" t="s">
        <v>80</v>
      </c>
      <c r="K1219" s="91"/>
      <c r="L1219" s="364">
        <f t="shared" ref="L1219:P1219" si="639">SUM(L1220:L1226)</f>
        <v>3</v>
      </c>
      <c r="M1219" s="364">
        <f t="shared" si="639"/>
        <v>3</v>
      </c>
      <c r="N1219" s="364">
        <f t="shared" si="639"/>
        <v>3</v>
      </c>
      <c r="O1219" s="364">
        <f t="shared" si="639"/>
        <v>0</v>
      </c>
      <c r="P1219" s="364">
        <f t="shared" si="639"/>
        <v>0</v>
      </c>
      <c r="Q1219" s="1475">
        <f t="shared" ref="Q1219:U1219" si="640">SUM(Q1220:Q1226)</f>
        <v>36540</v>
      </c>
      <c r="R1219" s="1475">
        <f t="shared" si="640"/>
        <v>36540</v>
      </c>
      <c r="S1219" s="1475">
        <f t="shared" si="640"/>
        <v>36540</v>
      </c>
      <c r="T1219" s="1475">
        <f t="shared" si="640"/>
        <v>0</v>
      </c>
      <c r="U1219" s="1475">
        <f t="shared" si="640"/>
        <v>0</v>
      </c>
      <c r="V1219" s="1475">
        <f t="shared" si="638"/>
        <v>109620</v>
      </c>
    </row>
    <row r="1220" spans="1:22" s="39" customFormat="1" ht="24" customHeight="1">
      <c r="A1220" s="1860">
        <v>2</v>
      </c>
      <c r="B1220" s="1860"/>
      <c r="C1220" s="1860"/>
      <c r="D1220" s="1860"/>
      <c r="E1220" s="1839"/>
      <c r="F1220" s="1841"/>
      <c r="G1220" s="1665"/>
      <c r="H1220" s="1601"/>
      <c r="I1220" s="1656"/>
      <c r="J1220" s="40" t="s">
        <v>429</v>
      </c>
      <c r="K1220" s="91"/>
      <c r="L1220" s="364">
        <v>0</v>
      </c>
      <c r="M1220" s="364">
        <v>0</v>
      </c>
      <c r="N1220" s="364">
        <v>0</v>
      </c>
      <c r="O1220" s="364">
        <v>0</v>
      </c>
      <c r="P1220" s="364">
        <v>0</v>
      </c>
      <c r="Q1220" s="1475">
        <f>L1220*$H1223</f>
        <v>0</v>
      </c>
      <c r="R1220" s="1475">
        <f>M1220*$H1223</f>
        <v>0</v>
      </c>
      <c r="S1220" s="1475">
        <f>N1220*$H1223</f>
        <v>0</v>
      </c>
      <c r="T1220" s="1475">
        <f>O1220*$H1223</f>
        <v>0</v>
      </c>
      <c r="U1220" s="1475">
        <f>P1220*$H1223</f>
        <v>0</v>
      </c>
      <c r="V1220" s="1475">
        <f t="shared" si="638"/>
        <v>0</v>
      </c>
    </row>
    <row r="1221" spans="1:22" s="39" customFormat="1" ht="24" customHeight="1">
      <c r="A1221" s="1860">
        <v>2</v>
      </c>
      <c r="B1221" s="1860"/>
      <c r="C1221" s="1860"/>
      <c r="D1221" s="1860"/>
      <c r="E1221" s="1839"/>
      <c r="F1221" s="1841"/>
      <c r="G1221" s="1665"/>
      <c r="H1221" s="1601"/>
      <c r="I1221" s="1656"/>
      <c r="J1221" s="40" t="s">
        <v>133</v>
      </c>
      <c r="K1221" s="91"/>
      <c r="L1221" s="364">
        <v>0</v>
      </c>
      <c r="M1221" s="364">
        <v>0</v>
      </c>
      <c r="N1221" s="364">
        <v>0</v>
      </c>
      <c r="O1221" s="364">
        <v>0</v>
      </c>
      <c r="P1221" s="364">
        <v>0</v>
      </c>
      <c r="Q1221" s="1475">
        <f>L1221*$H1223</f>
        <v>0</v>
      </c>
      <c r="R1221" s="1475">
        <f>M1221*$H1223</f>
        <v>0</v>
      </c>
      <c r="S1221" s="1475">
        <f>N1221*$H1223</f>
        <v>0</v>
      </c>
      <c r="T1221" s="1475">
        <f>O1221*$H1223</f>
        <v>0</v>
      </c>
      <c r="U1221" s="1475">
        <f>P1221*$H1223</f>
        <v>0</v>
      </c>
      <c r="V1221" s="1475">
        <f t="shared" si="638"/>
        <v>0</v>
      </c>
    </row>
    <row r="1222" spans="1:22" s="39" customFormat="1" ht="24" customHeight="1">
      <c r="A1222" s="1860">
        <v>2</v>
      </c>
      <c r="B1222" s="1860"/>
      <c r="C1222" s="1860"/>
      <c r="D1222" s="1860"/>
      <c r="E1222" s="1839"/>
      <c r="F1222" s="1841"/>
      <c r="G1222" s="1665"/>
      <c r="H1222" s="1601"/>
      <c r="I1222" s="1656"/>
      <c r="J1222" s="40" t="s">
        <v>81</v>
      </c>
      <c r="K1222" s="91"/>
      <c r="L1222" s="364">
        <v>0</v>
      </c>
      <c r="M1222" s="364">
        <v>0</v>
      </c>
      <c r="N1222" s="364">
        <v>0</v>
      </c>
      <c r="O1222" s="364">
        <v>0</v>
      </c>
      <c r="P1222" s="364">
        <v>0</v>
      </c>
      <c r="Q1222" s="1475">
        <f>L1222*$H1223</f>
        <v>0</v>
      </c>
      <c r="R1222" s="1475">
        <f>M1222*$H1223</f>
        <v>0</v>
      </c>
      <c r="S1222" s="1475">
        <f>N1222*$H1223</f>
        <v>0</v>
      </c>
      <c r="T1222" s="1475">
        <f>O1222*$H1223</f>
        <v>0</v>
      </c>
      <c r="U1222" s="1475">
        <f>P1222*$H1223</f>
        <v>0</v>
      </c>
      <c r="V1222" s="1475">
        <f t="shared" si="638"/>
        <v>0</v>
      </c>
    </row>
    <row r="1223" spans="1:22" s="39" customFormat="1" ht="24" customHeight="1">
      <c r="A1223" s="1860">
        <v>2</v>
      </c>
      <c r="B1223" s="1860"/>
      <c r="C1223" s="1860"/>
      <c r="D1223" s="1860"/>
      <c r="E1223" s="1839"/>
      <c r="F1223" s="1841"/>
      <c r="G1223" s="1665"/>
      <c r="H1223" s="1667">
        <f>'Budget assumption'!G15</f>
        <v>12180</v>
      </c>
      <c r="I1223" s="1656"/>
      <c r="J1223" s="40" t="s">
        <v>134</v>
      </c>
      <c r="K1223" s="91"/>
      <c r="L1223" s="364">
        <v>0</v>
      </c>
      <c r="M1223" s="364">
        <v>0</v>
      </c>
      <c r="N1223" s="364">
        <f>N1214*30%</f>
        <v>0</v>
      </c>
      <c r="O1223" s="364">
        <f>O1214*30%</f>
        <v>0</v>
      </c>
      <c r="P1223" s="364">
        <f>P1214*30%</f>
        <v>0</v>
      </c>
      <c r="Q1223" s="1475">
        <f>L1223*$H1223</f>
        <v>0</v>
      </c>
      <c r="R1223" s="1475">
        <f>M1223*$H1223</f>
        <v>0</v>
      </c>
      <c r="S1223" s="1475">
        <f>N1223*$H1223</f>
        <v>0</v>
      </c>
      <c r="T1223" s="1475">
        <f>O1223*$H1223</f>
        <v>0</v>
      </c>
      <c r="U1223" s="1475">
        <f>P1223*$H1223</f>
        <v>0</v>
      </c>
      <c r="V1223" s="1475">
        <f t="shared" si="638"/>
        <v>0</v>
      </c>
    </row>
    <row r="1224" spans="1:22" s="39" customFormat="1" ht="24" customHeight="1">
      <c r="A1224" s="1860">
        <v>2</v>
      </c>
      <c r="B1224" s="1860"/>
      <c r="C1224" s="1860"/>
      <c r="D1224" s="1860"/>
      <c r="E1224" s="1839"/>
      <c r="F1224" s="1841"/>
      <c r="G1224" s="1665"/>
      <c r="H1224" s="1668"/>
      <c r="I1224" s="1656"/>
      <c r="J1224" s="40" t="s">
        <v>82</v>
      </c>
      <c r="K1224" s="91"/>
      <c r="L1224" s="364">
        <v>2</v>
      </c>
      <c r="M1224" s="364">
        <v>2</v>
      </c>
      <c r="N1224" s="364">
        <v>2</v>
      </c>
      <c r="O1224" s="364">
        <v>0</v>
      </c>
      <c r="P1224" s="364">
        <v>0</v>
      </c>
      <c r="Q1224" s="1475">
        <f>L1224*$H1223</f>
        <v>24360</v>
      </c>
      <c r="R1224" s="1475">
        <f>M1224*$H1223</f>
        <v>24360</v>
      </c>
      <c r="S1224" s="1475">
        <f>N1224*$H1223</f>
        <v>24360</v>
      </c>
      <c r="T1224" s="1475">
        <f>O1224*$H1223</f>
        <v>0</v>
      </c>
      <c r="U1224" s="1475">
        <f>P1224*$H1223</f>
        <v>0</v>
      </c>
      <c r="V1224" s="1475">
        <f t="shared" si="638"/>
        <v>73080</v>
      </c>
    </row>
    <row r="1225" spans="1:22" s="39" customFormat="1" ht="24" customHeight="1">
      <c r="A1225" s="1860">
        <v>2</v>
      </c>
      <c r="B1225" s="1860"/>
      <c r="C1225" s="1860"/>
      <c r="D1225" s="1860"/>
      <c r="E1225" s="1839"/>
      <c r="F1225" s="1841"/>
      <c r="G1225" s="1665"/>
      <c r="H1225" s="1668"/>
      <c r="I1225" s="1656"/>
      <c r="J1225" s="40" t="s">
        <v>90</v>
      </c>
      <c r="K1225" s="91"/>
      <c r="L1225" s="364">
        <v>1</v>
      </c>
      <c r="M1225" s="364">
        <v>1</v>
      </c>
      <c r="N1225" s="364">
        <v>1</v>
      </c>
      <c r="O1225" s="364">
        <v>0</v>
      </c>
      <c r="P1225" s="364">
        <v>0</v>
      </c>
      <c r="Q1225" s="1475">
        <f>L1225*$H1223</f>
        <v>12180</v>
      </c>
      <c r="R1225" s="1475">
        <f>M1225*$H1223</f>
        <v>12180</v>
      </c>
      <c r="S1225" s="1475">
        <f>N1225*$H1223</f>
        <v>12180</v>
      </c>
      <c r="T1225" s="1475">
        <f>O1225*$H1223</f>
        <v>0</v>
      </c>
      <c r="U1225" s="1475">
        <f>P1225*$H1223</f>
        <v>0</v>
      </c>
      <c r="V1225" s="1475">
        <f t="shared" si="638"/>
        <v>36540</v>
      </c>
    </row>
    <row r="1226" spans="1:22" s="39" customFormat="1" ht="24" customHeight="1">
      <c r="A1226" s="1860">
        <v>2</v>
      </c>
      <c r="B1226" s="1860"/>
      <c r="C1226" s="1860"/>
      <c r="D1226" s="1860"/>
      <c r="E1226" s="1839"/>
      <c r="F1226" s="1841"/>
      <c r="G1226" s="1665"/>
      <c r="H1226" s="1668"/>
      <c r="I1226" s="1656"/>
      <c r="J1226" s="40" t="s">
        <v>83</v>
      </c>
      <c r="K1226" s="91"/>
      <c r="L1226" s="364">
        <v>0</v>
      </c>
      <c r="M1226" s="364">
        <v>0</v>
      </c>
      <c r="N1226" s="364">
        <v>0</v>
      </c>
      <c r="O1226" s="364">
        <v>0</v>
      </c>
      <c r="P1226" s="364">
        <v>0</v>
      </c>
      <c r="Q1226" s="1475">
        <f>L1226*$H1223</f>
        <v>0</v>
      </c>
      <c r="R1226" s="1475">
        <f>M1226*$H1223</f>
        <v>0</v>
      </c>
      <c r="S1226" s="1475">
        <f>N1226*$H1223</f>
        <v>0</v>
      </c>
      <c r="T1226" s="1475">
        <f>O1226*$H1223</f>
        <v>0</v>
      </c>
      <c r="U1226" s="1475">
        <f>P1226*$H1223</f>
        <v>0</v>
      </c>
      <c r="V1226" s="1475">
        <f t="shared" si="638"/>
        <v>0</v>
      </c>
    </row>
    <row r="1227" spans="1:22" s="39" customFormat="1" ht="24" customHeight="1" thickBot="1">
      <c r="A1227" s="1860">
        <v>2</v>
      </c>
      <c r="B1227" s="1860"/>
      <c r="C1227" s="1860"/>
      <c r="D1227" s="1860"/>
      <c r="E1227" s="1839"/>
      <c r="F1227" s="1863"/>
      <c r="G1227" s="1665"/>
      <c r="H1227" s="1668"/>
      <c r="I1227" s="1656"/>
      <c r="J1227" s="40" t="s">
        <v>84</v>
      </c>
      <c r="K1227" s="91"/>
      <c r="L1227" s="364">
        <f>L1218-L1219</f>
        <v>0</v>
      </c>
      <c r="M1227" s="364">
        <f t="shared" ref="M1227:P1227" si="641">M1218-M1219</f>
        <v>0</v>
      </c>
      <c r="N1227" s="364">
        <f t="shared" si="641"/>
        <v>0</v>
      </c>
      <c r="O1227" s="364">
        <f t="shared" si="641"/>
        <v>3</v>
      </c>
      <c r="P1227" s="364">
        <f t="shared" si="641"/>
        <v>3</v>
      </c>
      <c r="Q1227" s="1475">
        <f t="shared" ref="Q1227:U1227" si="642">Q1218-Q1219</f>
        <v>0</v>
      </c>
      <c r="R1227" s="1475">
        <f t="shared" si="642"/>
        <v>0</v>
      </c>
      <c r="S1227" s="1475">
        <f t="shared" si="642"/>
        <v>0</v>
      </c>
      <c r="T1227" s="1475">
        <f t="shared" si="642"/>
        <v>36540</v>
      </c>
      <c r="U1227" s="1475">
        <f t="shared" si="642"/>
        <v>36540</v>
      </c>
      <c r="V1227" s="1475">
        <f t="shared" si="638"/>
        <v>73080</v>
      </c>
    </row>
    <row r="1228" spans="1:22" s="39" customFormat="1" ht="24" customHeight="1" thickBot="1">
      <c r="A1228" s="828">
        <v>2</v>
      </c>
      <c r="B1228" s="829">
        <v>4</v>
      </c>
      <c r="C1228" s="829">
        <v>2</v>
      </c>
      <c r="D1228" s="829"/>
      <c r="E1228" s="830" t="s">
        <v>13</v>
      </c>
      <c r="F1228" s="924" t="str">
        <f>CONCATENATE(A1228,".",B1228,".",C1228,)</f>
        <v>2.4.2</v>
      </c>
      <c r="G1228" s="1582" t="s">
        <v>312</v>
      </c>
      <c r="H1228" s="1583"/>
      <c r="I1228" s="1583"/>
      <c r="J1228" s="1584"/>
      <c r="K1228" s="924"/>
      <c r="L1228" s="925"/>
      <c r="M1228" s="925"/>
      <c r="N1228" s="925"/>
      <c r="O1228" s="925"/>
      <c r="P1228" s="925"/>
      <c r="Q1228" s="1529">
        <f>Q1230+Q1240+Q1250+Q1260+Q1270+Q1280+Q1290</f>
        <v>357682.6</v>
      </c>
      <c r="R1228" s="1529">
        <f t="shared" ref="R1228:U1228" si="643">R1230+R1240+R1250+R1260+R1270+R1280+R1290</f>
        <v>1817962.6</v>
      </c>
      <c r="S1228" s="1529">
        <f t="shared" si="643"/>
        <v>1777962.6</v>
      </c>
      <c r="T1228" s="1529">
        <f t="shared" si="643"/>
        <v>0</v>
      </c>
      <c r="U1228" s="1529">
        <f t="shared" si="643"/>
        <v>0</v>
      </c>
      <c r="V1228" s="1530">
        <f t="shared" ref="V1228:V1234" si="644">SUM(Q1228:U1228)</f>
        <v>3953607.8000000003</v>
      </c>
    </row>
    <row r="1229" spans="1:22" s="45" customFormat="1" ht="24" customHeight="1">
      <c r="A1229" s="1958">
        <v>2</v>
      </c>
      <c r="B1229" s="1873">
        <v>4</v>
      </c>
      <c r="C1229" s="1873">
        <v>2</v>
      </c>
      <c r="D1229" s="1873">
        <v>1</v>
      </c>
      <c r="E1229" s="1861" t="s">
        <v>49</v>
      </c>
      <c r="F1229" s="1840" t="str">
        <f>CONCATENATE(A1229,".",B1229,".",C1229,".",D1229,)</f>
        <v>2.4.2.1</v>
      </c>
      <c r="G1229" s="1677" t="s">
        <v>192</v>
      </c>
      <c r="H1229" s="1679" t="s">
        <v>196</v>
      </c>
      <c r="I1229" s="1673" t="s">
        <v>262</v>
      </c>
      <c r="J1229" s="262" t="s">
        <v>79</v>
      </c>
      <c r="K1229" s="908"/>
      <c r="L1229" s="914">
        <v>0</v>
      </c>
      <c r="M1229" s="914">
        <v>6</v>
      </c>
      <c r="N1229" s="914">
        <v>6</v>
      </c>
      <c r="O1229" s="914">
        <v>6</v>
      </c>
      <c r="P1229" s="914">
        <v>6</v>
      </c>
      <c r="Q1229" s="1484">
        <f>L1229*H1234</f>
        <v>0</v>
      </c>
      <c r="R1229" s="1484">
        <f>M1229*H1234</f>
        <v>1243200</v>
      </c>
      <c r="S1229" s="1484">
        <f>N1229*H1234</f>
        <v>1243200</v>
      </c>
      <c r="T1229" s="1484">
        <f>O1229*H1234</f>
        <v>1243200</v>
      </c>
      <c r="U1229" s="1484">
        <f>P1229*H1234</f>
        <v>1243200</v>
      </c>
      <c r="V1229" s="1526">
        <f t="shared" si="644"/>
        <v>4972800</v>
      </c>
    </row>
    <row r="1230" spans="1:22" s="39" customFormat="1" ht="24" customHeight="1">
      <c r="A1230" s="1959">
        <v>2</v>
      </c>
      <c r="B1230" s="1860"/>
      <c r="C1230" s="1860"/>
      <c r="D1230" s="1860"/>
      <c r="E1230" s="1839"/>
      <c r="F1230" s="1841"/>
      <c r="G1230" s="1665"/>
      <c r="H1230" s="1601"/>
      <c r="I1230" s="1615"/>
      <c r="J1230" s="40" t="s">
        <v>80</v>
      </c>
      <c r="K1230" s="91"/>
      <c r="L1230" s="364">
        <f>L1237+L1236+L1235+L1234+L1233+L1232+L1231</f>
        <v>0</v>
      </c>
      <c r="M1230" s="364">
        <f t="shared" ref="M1230:P1230" si="645">M1237+M1236+M1235+M1234+M1233+M1232+M1231</f>
        <v>6</v>
      </c>
      <c r="N1230" s="364">
        <f t="shared" si="645"/>
        <v>6</v>
      </c>
      <c r="O1230" s="364">
        <f t="shared" si="645"/>
        <v>0</v>
      </c>
      <c r="P1230" s="364">
        <f t="shared" si="645"/>
        <v>0</v>
      </c>
      <c r="Q1230" s="1475">
        <f t="shared" ref="Q1230:U1230" si="646">SUM(Q1231:Q1237)</f>
        <v>0</v>
      </c>
      <c r="R1230" s="1475">
        <f t="shared" si="646"/>
        <v>1243200</v>
      </c>
      <c r="S1230" s="1475">
        <f t="shared" si="646"/>
        <v>1243200</v>
      </c>
      <c r="T1230" s="1475">
        <f t="shared" si="646"/>
        <v>0</v>
      </c>
      <c r="U1230" s="1475">
        <f t="shared" si="646"/>
        <v>0</v>
      </c>
      <c r="V1230" s="1527">
        <f t="shared" si="644"/>
        <v>2486400</v>
      </c>
    </row>
    <row r="1231" spans="1:22" s="39" customFormat="1" ht="24" customHeight="1">
      <c r="A1231" s="1959">
        <v>2</v>
      </c>
      <c r="B1231" s="1860"/>
      <c r="C1231" s="1860"/>
      <c r="D1231" s="1860"/>
      <c r="E1231" s="1839"/>
      <c r="F1231" s="1841"/>
      <c r="G1231" s="1665"/>
      <c r="H1231" s="1601"/>
      <c r="I1231" s="1615"/>
      <c r="J1231" s="40" t="s">
        <v>429</v>
      </c>
      <c r="K1231" s="91"/>
      <c r="L1231" s="364">
        <v>0</v>
      </c>
      <c r="M1231" s="364">
        <v>0</v>
      </c>
      <c r="N1231" s="364">
        <v>0</v>
      </c>
      <c r="O1231" s="364">
        <v>0</v>
      </c>
      <c r="P1231" s="364">
        <v>0</v>
      </c>
      <c r="Q1231" s="1475">
        <f>L1231*$H1234</f>
        <v>0</v>
      </c>
      <c r="R1231" s="1475">
        <f>M1231*$H1234</f>
        <v>0</v>
      </c>
      <c r="S1231" s="1475">
        <f>N1231*$H1234</f>
        <v>0</v>
      </c>
      <c r="T1231" s="1475">
        <f>O1231*$H1234</f>
        <v>0</v>
      </c>
      <c r="U1231" s="1475">
        <f>P1231*$H1234</f>
        <v>0</v>
      </c>
      <c r="V1231" s="1527">
        <f t="shared" si="644"/>
        <v>0</v>
      </c>
    </row>
    <row r="1232" spans="1:22" s="39" customFormat="1" ht="24" customHeight="1">
      <c r="A1232" s="1959">
        <v>2</v>
      </c>
      <c r="B1232" s="1860"/>
      <c r="C1232" s="1860"/>
      <c r="D1232" s="1860"/>
      <c r="E1232" s="1839"/>
      <c r="F1232" s="1841"/>
      <c r="G1232" s="1665"/>
      <c r="H1232" s="1601"/>
      <c r="I1232" s="1615"/>
      <c r="J1232" s="40" t="s">
        <v>133</v>
      </c>
      <c r="K1232" s="91"/>
      <c r="L1232" s="364">
        <v>0</v>
      </c>
      <c r="M1232" s="364">
        <v>0</v>
      </c>
      <c r="N1232" s="364">
        <v>0</v>
      </c>
      <c r="O1232" s="364">
        <v>0</v>
      </c>
      <c r="P1232" s="364">
        <v>0</v>
      </c>
      <c r="Q1232" s="1475">
        <f>L1232*$H1234</f>
        <v>0</v>
      </c>
      <c r="R1232" s="1475">
        <f>M1232*$H1234</f>
        <v>0</v>
      </c>
      <c r="S1232" s="1475">
        <f>N1232*$H1234</f>
        <v>0</v>
      </c>
      <c r="T1232" s="1475">
        <f>O1232*$H1234</f>
        <v>0</v>
      </c>
      <c r="U1232" s="1475">
        <f>P1232*$H1234</f>
        <v>0</v>
      </c>
      <c r="V1232" s="1527">
        <f t="shared" si="644"/>
        <v>0</v>
      </c>
    </row>
    <row r="1233" spans="1:22" s="39" customFormat="1" ht="24" customHeight="1">
      <c r="A1233" s="1959">
        <v>2</v>
      </c>
      <c r="B1233" s="1860"/>
      <c r="C1233" s="1860"/>
      <c r="D1233" s="1860"/>
      <c r="E1233" s="1839"/>
      <c r="F1233" s="1841"/>
      <c r="G1233" s="1665"/>
      <c r="H1233" s="1601"/>
      <c r="I1233" s="1615"/>
      <c r="J1233" s="40" t="s">
        <v>81</v>
      </c>
      <c r="K1233" s="91"/>
      <c r="L1233" s="364">
        <v>0</v>
      </c>
      <c r="M1233" s="364">
        <v>0</v>
      </c>
      <c r="N1233" s="364">
        <v>0</v>
      </c>
      <c r="O1233" s="364">
        <v>0</v>
      </c>
      <c r="P1233" s="364">
        <v>0</v>
      </c>
      <c r="Q1233" s="1475">
        <f>L1233*$H1234</f>
        <v>0</v>
      </c>
      <c r="R1233" s="1475">
        <f>M1233*$H1234</f>
        <v>0</v>
      </c>
      <c r="S1233" s="1475">
        <f>N1233*$H1234</f>
        <v>0</v>
      </c>
      <c r="T1233" s="1475">
        <f>O1233*$H1234</f>
        <v>0</v>
      </c>
      <c r="U1233" s="1475">
        <f>P1233*$H1234</f>
        <v>0</v>
      </c>
      <c r="V1233" s="1527">
        <f t="shared" si="644"/>
        <v>0</v>
      </c>
    </row>
    <row r="1234" spans="1:22" s="39" customFormat="1" ht="24" customHeight="1">
      <c r="A1234" s="1959">
        <v>2</v>
      </c>
      <c r="B1234" s="1860"/>
      <c r="C1234" s="1860"/>
      <c r="D1234" s="1860"/>
      <c r="E1234" s="1839"/>
      <c r="F1234" s="1841"/>
      <c r="G1234" s="1665"/>
      <c r="H1234" s="1667">
        <f>'Budget assumption'!E290</f>
        <v>207200</v>
      </c>
      <c r="I1234" s="1615"/>
      <c r="J1234" s="40" t="s">
        <v>134</v>
      </c>
      <c r="K1234" s="91"/>
      <c r="L1234" s="364">
        <v>0</v>
      </c>
      <c r="M1234" s="364">
        <v>0</v>
      </c>
      <c r="N1234" s="364">
        <v>0</v>
      </c>
      <c r="O1234" s="364">
        <v>0</v>
      </c>
      <c r="P1234" s="364">
        <v>0</v>
      </c>
      <c r="Q1234" s="1475">
        <f>L1234*$H1234</f>
        <v>0</v>
      </c>
      <c r="R1234" s="1475">
        <f>M1234*$H1234</f>
        <v>0</v>
      </c>
      <c r="S1234" s="1475">
        <f>N1234*$H1234</f>
        <v>0</v>
      </c>
      <c r="T1234" s="1475">
        <f>O1234*$H1234</f>
        <v>0</v>
      </c>
      <c r="U1234" s="1475">
        <f>P1234*$H1234</f>
        <v>0</v>
      </c>
      <c r="V1234" s="1527">
        <f t="shared" si="644"/>
        <v>0</v>
      </c>
    </row>
    <row r="1235" spans="1:22" s="39" customFormat="1" ht="24" customHeight="1">
      <c r="A1235" s="1959">
        <v>2</v>
      </c>
      <c r="B1235" s="1860"/>
      <c r="C1235" s="1860"/>
      <c r="D1235" s="1860"/>
      <c r="E1235" s="1839"/>
      <c r="F1235" s="1841"/>
      <c r="G1235" s="1665"/>
      <c r="H1235" s="1668"/>
      <c r="I1235" s="1615"/>
      <c r="J1235" s="40" t="s">
        <v>82</v>
      </c>
      <c r="K1235" s="91"/>
      <c r="L1235" s="364">
        <v>0</v>
      </c>
      <c r="M1235" s="364">
        <v>5</v>
      </c>
      <c r="N1235" s="364">
        <v>5</v>
      </c>
      <c r="O1235" s="364">
        <v>0</v>
      </c>
      <c r="P1235" s="364">
        <v>0</v>
      </c>
      <c r="Q1235" s="1475">
        <f>L1235*$H1234</f>
        <v>0</v>
      </c>
      <c r="R1235" s="1475">
        <f>M1235*$H1234</f>
        <v>1036000</v>
      </c>
      <c r="S1235" s="1475">
        <f>N1235*$H1234</f>
        <v>1036000</v>
      </c>
      <c r="T1235" s="1475">
        <f>O1235*$H1234</f>
        <v>0</v>
      </c>
      <c r="U1235" s="1475">
        <f>P1235*$H1234</f>
        <v>0</v>
      </c>
      <c r="V1235" s="1527">
        <f t="shared" ref="V1235:V1329" si="647">SUM(Q1235:U1235)</f>
        <v>2072000</v>
      </c>
    </row>
    <row r="1236" spans="1:22" s="39" customFormat="1" ht="24" customHeight="1">
      <c r="A1236" s="1959">
        <v>2</v>
      </c>
      <c r="B1236" s="1860"/>
      <c r="C1236" s="1860"/>
      <c r="D1236" s="1860"/>
      <c r="E1236" s="1839"/>
      <c r="F1236" s="1841"/>
      <c r="G1236" s="1665"/>
      <c r="H1236" s="1668"/>
      <c r="I1236" s="1615"/>
      <c r="J1236" s="40" t="s">
        <v>90</v>
      </c>
      <c r="K1236" s="91"/>
      <c r="L1236" s="364">
        <v>0</v>
      </c>
      <c r="M1236" s="364">
        <v>1</v>
      </c>
      <c r="N1236" s="364">
        <v>1</v>
      </c>
      <c r="O1236" s="364">
        <v>0</v>
      </c>
      <c r="P1236" s="364">
        <v>0</v>
      </c>
      <c r="Q1236" s="1475">
        <f>L1236*$H1234</f>
        <v>0</v>
      </c>
      <c r="R1236" s="1475">
        <f>M1236*$H1234</f>
        <v>207200</v>
      </c>
      <c r="S1236" s="1475">
        <f>N1236*$H1234</f>
        <v>207200</v>
      </c>
      <c r="T1236" s="1475">
        <f>O1236*$H1234</f>
        <v>0</v>
      </c>
      <c r="U1236" s="1475">
        <f>P1236*$H1234</f>
        <v>0</v>
      </c>
      <c r="V1236" s="1527">
        <f t="shared" si="647"/>
        <v>414400</v>
      </c>
    </row>
    <row r="1237" spans="1:22" s="39" customFormat="1" ht="24" customHeight="1">
      <c r="A1237" s="1959">
        <v>2</v>
      </c>
      <c r="B1237" s="1860"/>
      <c r="C1237" s="1860"/>
      <c r="D1237" s="1860"/>
      <c r="E1237" s="1839"/>
      <c r="F1237" s="1841"/>
      <c r="G1237" s="1665"/>
      <c r="H1237" s="1668"/>
      <c r="I1237" s="1615"/>
      <c r="J1237" s="40" t="s">
        <v>83</v>
      </c>
      <c r="K1237" s="91"/>
      <c r="L1237" s="364">
        <v>0</v>
      </c>
      <c r="M1237" s="364">
        <v>0</v>
      </c>
      <c r="N1237" s="364">
        <v>0</v>
      </c>
      <c r="O1237" s="364">
        <v>0</v>
      </c>
      <c r="P1237" s="364">
        <v>0</v>
      </c>
      <c r="Q1237" s="1475">
        <f>L1237*$H1234</f>
        <v>0</v>
      </c>
      <c r="R1237" s="1475">
        <f>M1237*$H1234</f>
        <v>0</v>
      </c>
      <c r="S1237" s="1475">
        <f>N1237*$H1234</f>
        <v>0</v>
      </c>
      <c r="T1237" s="1475">
        <f>O1237*$H1234</f>
        <v>0</v>
      </c>
      <c r="U1237" s="1475">
        <f>P1237*$H1234</f>
        <v>0</v>
      </c>
      <c r="V1237" s="1527">
        <f t="shared" si="647"/>
        <v>0</v>
      </c>
    </row>
    <row r="1238" spans="1:22" s="39" customFormat="1" ht="24" customHeight="1" thickBot="1">
      <c r="A1238" s="1960">
        <v>2</v>
      </c>
      <c r="B1238" s="1874"/>
      <c r="C1238" s="1874"/>
      <c r="D1238" s="1874"/>
      <c r="E1238" s="1862"/>
      <c r="F1238" s="1842"/>
      <c r="G1238" s="1678"/>
      <c r="H1238" s="1793"/>
      <c r="I1238" s="1616"/>
      <c r="J1238" s="80" t="s">
        <v>84</v>
      </c>
      <c r="K1238" s="824"/>
      <c r="L1238" s="371">
        <f>L1229-L1230</f>
        <v>0</v>
      </c>
      <c r="M1238" s="371">
        <f t="shared" ref="M1238:N1238" si="648">M1229-M1230</f>
        <v>0</v>
      </c>
      <c r="N1238" s="371">
        <f t="shared" si="648"/>
        <v>0</v>
      </c>
      <c r="O1238" s="371">
        <v>6</v>
      </c>
      <c r="P1238" s="371">
        <v>6</v>
      </c>
      <c r="Q1238" s="1487">
        <f t="shared" ref="Q1238:U1238" si="649">Q1229-Q1230</f>
        <v>0</v>
      </c>
      <c r="R1238" s="1487">
        <f t="shared" si="649"/>
        <v>0</v>
      </c>
      <c r="S1238" s="1487">
        <f t="shared" si="649"/>
        <v>0</v>
      </c>
      <c r="T1238" s="1487">
        <f t="shared" si="649"/>
        <v>1243200</v>
      </c>
      <c r="U1238" s="1487">
        <f t="shared" si="649"/>
        <v>1243200</v>
      </c>
      <c r="V1238" s="1528">
        <f t="shared" si="647"/>
        <v>2486400</v>
      </c>
    </row>
    <row r="1239" spans="1:22" s="264" customFormat="1" ht="24" customHeight="1">
      <c r="A1239" s="1958">
        <v>2</v>
      </c>
      <c r="B1239" s="1873">
        <v>4</v>
      </c>
      <c r="C1239" s="1873">
        <v>2</v>
      </c>
      <c r="D1239" s="1873">
        <v>2</v>
      </c>
      <c r="E1239" s="1861" t="s">
        <v>49</v>
      </c>
      <c r="F1239" s="1840" t="str">
        <f>CONCATENATE(A1239,".",B1239,".",C1239,".",D1239,)</f>
        <v>2.4.2.2</v>
      </c>
      <c r="G1239" s="1677" t="s">
        <v>1046</v>
      </c>
      <c r="H1239" s="1679" t="s">
        <v>144</v>
      </c>
      <c r="I1239" s="1759" t="s">
        <v>766</v>
      </c>
      <c r="J1239" s="262" t="s">
        <v>79</v>
      </c>
      <c r="K1239" s="908"/>
      <c r="L1239" s="914">
        <v>1</v>
      </c>
      <c r="M1239" s="914">
        <v>1</v>
      </c>
      <c r="N1239" s="914">
        <v>1</v>
      </c>
      <c r="O1239" s="914">
        <v>1</v>
      </c>
      <c r="P1239" s="914">
        <v>1</v>
      </c>
      <c r="Q1239" s="1484">
        <f>L1239*H1244</f>
        <v>252000</v>
      </c>
      <c r="R1239" s="1484">
        <f>M1239*H1244</f>
        <v>252000</v>
      </c>
      <c r="S1239" s="1484">
        <f>N1239*H1244</f>
        <v>252000</v>
      </c>
      <c r="T1239" s="1484">
        <f>O1239*H1244</f>
        <v>252000</v>
      </c>
      <c r="U1239" s="1484">
        <f>P1239*H1244</f>
        <v>252000</v>
      </c>
      <c r="V1239" s="1526">
        <f t="shared" ref="V1239:V1248" si="650">SUM(Q1239:U1239)</f>
        <v>1260000</v>
      </c>
    </row>
    <row r="1240" spans="1:22" s="99" customFormat="1" ht="24" customHeight="1">
      <c r="A1240" s="1959">
        <v>2</v>
      </c>
      <c r="B1240" s="1860"/>
      <c r="C1240" s="1860"/>
      <c r="D1240" s="1860"/>
      <c r="E1240" s="1839"/>
      <c r="F1240" s="1841"/>
      <c r="G1240" s="1665"/>
      <c r="H1240" s="1601"/>
      <c r="I1240" s="1656"/>
      <c r="J1240" s="40" t="s">
        <v>80</v>
      </c>
      <c r="K1240" s="91"/>
      <c r="L1240" s="364">
        <f>L1241+L1242+L1243+L1244+L1245+L1246+L1247</f>
        <v>1</v>
      </c>
      <c r="M1240" s="364">
        <f t="shared" ref="M1240:P1240" si="651">M1241+M1242+M1243+M1244+M1245+M1246+M1247</f>
        <v>1</v>
      </c>
      <c r="N1240" s="364">
        <f t="shared" si="651"/>
        <v>1</v>
      </c>
      <c r="O1240" s="364">
        <f t="shared" si="651"/>
        <v>0</v>
      </c>
      <c r="P1240" s="364">
        <f t="shared" si="651"/>
        <v>0</v>
      </c>
      <c r="Q1240" s="1475">
        <f t="shared" ref="Q1240:U1240" si="652">SUM(Q1241:Q1247)</f>
        <v>252000</v>
      </c>
      <c r="R1240" s="1475">
        <f t="shared" si="652"/>
        <v>252000</v>
      </c>
      <c r="S1240" s="1475">
        <f t="shared" si="652"/>
        <v>252000</v>
      </c>
      <c r="T1240" s="1475">
        <f t="shared" si="652"/>
        <v>0</v>
      </c>
      <c r="U1240" s="1475">
        <f t="shared" si="652"/>
        <v>0</v>
      </c>
      <c r="V1240" s="1527">
        <f t="shared" si="650"/>
        <v>756000</v>
      </c>
    </row>
    <row r="1241" spans="1:22" s="99" customFormat="1" ht="24" customHeight="1">
      <c r="A1241" s="1959">
        <v>2</v>
      </c>
      <c r="B1241" s="1860"/>
      <c r="C1241" s="1860"/>
      <c r="D1241" s="1860"/>
      <c r="E1241" s="1839"/>
      <c r="F1241" s="1841"/>
      <c r="G1241" s="1665"/>
      <c r="H1241" s="1601"/>
      <c r="I1241" s="1656"/>
      <c r="J1241" s="40" t="s">
        <v>429</v>
      </c>
      <c r="K1241" s="91"/>
      <c r="L1241" s="364">
        <v>0</v>
      </c>
      <c r="M1241" s="364">
        <v>0</v>
      </c>
      <c r="N1241" s="364">
        <v>0</v>
      </c>
      <c r="O1241" s="364">
        <v>0</v>
      </c>
      <c r="P1241" s="364">
        <v>0</v>
      </c>
      <c r="Q1241" s="1475">
        <f>L1241*$H1244</f>
        <v>0</v>
      </c>
      <c r="R1241" s="1475">
        <f>M1241*$H1244</f>
        <v>0</v>
      </c>
      <c r="S1241" s="1475">
        <f>N1241*$H1244</f>
        <v>0</v>
      </c>
      <c r="T1241" s="1475">
        <f>O1241*$H1244</f>
        <v>0</v>
      </c>
      <c r="U1241" s="1475">
        <f>P1241*$H1244</f>
        <v>0</v>
      </c>
      <c r="V1241" s="1527">
        <f t="shared" si="650"/>
        <v>0</v>
      </c>
    </row>
    <row r="1242" spans="1:22" s="99" customFormat="1" ht="24" customHeight="1">
      <c r="A1242" s="1959">
        <v>2</v>
      </c>
      <c r="B1242" s="1860"/>
      <c r="C1242" s="1860"/>
      <c r="D1242" s="1860"/>
      <c r="E1242" s="1839"/>
      <c r="F1242" s="1841"/>
      <c r="G1242" s="1665"/>
      <c r="H1242" s="1601"/>
      <c r="I1242" s="1656"/>
      <c r="J1242" s="40" t="s">
        <v>133</v>
      </c>
      <c r="K1242" s="91"/>
      <c r="L1242" s="364">
        <v>0</v>
      </c>
      <c r="M1242" s="364">
        <v>0</v>
      </c>
      <c r="N1242" s="364">
        <v>0</v>
      </c>
      <c r="O1242" s="364">
        <v>0</v>
      </c>
      <c r="P1242" s="364">
        <v>0</v>
      </c>
      <c r="Q1242" s="1475">
        <f>L1242*$H1244</f>
        <v>0</v>
      </c>
      <c r="R1242" s="1475">
        <f>M1242*$H1244</f>
        <v>0</v>
      </c>
      <c r="S1242" s="1475">
        <f>N1242*$H1244</f>
        <v>0</v>
      </c>
      <c r="T1242" s="1475">
        <f>O1242*$H1244</f>
        <v>0</v>
      </c>
      <c r="U1242" s="1475">
        <f>P1242*$H1244</f>
        <v>0</v>
      </c>
      <c r="V1242" s="1527">
        <f t="shared" si="650"/>
        <v>0</v>
      </c>
    </row>
    <row r="1243" spans="1:22" s="99" customFormat="1" ht="24" customHeight="1">
      <c r="A1243" s="1959">
        <v>2</v>
      </c>
      <c r="B1243" s="1860"/>
      <c r="C1243" s="1860"/>
      <c r="D1243" s="1860"/>
      <c r="E1243" s="1839"/>
      <c r="F1243" s="1841"/>
      <c r="G1243" s="1665"/>
      <c r="H1243" s="1601"/>
      <c r="I1243" s="1656"/>
      <c r="J1243" s="40" t="s">
        <v>81</v>
      </c>
      <c r="K1243" s="91"/>
      <c r="L1243" s="364">
        <v>0</v>
      </c>
      <c r="M1243" s="364">
        <v>0</v>
      </c>
      <c r="N1243" s="364">
        <v>0</v>
      </c>
      <c r="O1243" s="364">
        <v>0</v>
      </c>
      <c r="P1243" s="364">
        <v>0</v>
      </c>
      <c r="Q1243" s="1475">
        <f>L1243*$H1244</f>
        <v>0</v>
      </c>
      <c r="R1243" s="1475">
        <f>M1243*$H1244</f>
        <v>0</v>
      </c>
      <c r="S1243" s="1475">
        <f>N1243*$H1244</f>
        <v>0</v>
      </c>
      <c r="T1243" s="1475">
        <f>O1243*$H1244</f>
        <v>0</v>
      </c>
      <c r="U1243" s="1475">
        <f>P1243*$H1244</f>
        <v>0</v>
      </c>
      <c r="V1243" s="1527">
        <f t="shared" si="650"/>
        <v>0</v>
      </c>
    </row>
    <row r="1244" spans="1:22" s="99" customFormat="1" ht="24" customHeight="1">
      <c r="A1244" s="1959">
        <v>2</v>
      </c>
      <c r="B1244" s="1860"/>
      <c r="C1244" s="1860"/>
      <c r="D1244" s="1860"/>
      <c r="E1244" s="1839"/>
      <c r="F1244" s="1841"/>
      <c r="G1244" s="1665"/>
      <c r="H1244" s="1667">
        <f>21000*12</f>
        <v>252000</v>
      </c>
      <c r="I1244" s="1656"/>
      <c r="J1244" s="40" t="s">
        <v>134</v>
      </c>
      <c r="K1244" s="91"/>
      <c r="L1244" s="364">
        <v>0</v>
      </c>
      <c r="M1244" s="364">
        <v>0</v>
      </c>
      <c r="N1244" s="364">
        <v>0</v>
      </c>
      <c r="O1244" s="364">
        <v>0</v>
      </c>
      <c r="P1244" s="364">
        <v>0</v>
      </c>
      <c r="Q1244" s="1475">
        <f>L1244*$H1244</f>
        <v>0</v>
      </c>
      <c r="R1244" s="1475">
        <f>M1244*$H1244</f>
        <v>0</v>
      </c>
      <c r="S1244" s="1475">
        <f>N1244*$H1244</f>
        <v>0</v>
      </c>
      <c r="T1244" s="1475">
        <f>O1244*$H1244</f>
        <v>0</v>
      </c>
      <c r="U1244" s="1475">
        <f>P1244*$H1244</f>
        <v>0</v>
      </c>
      <c r="V1244" s="1527">
        <f t="shared" si="650"/>
        <v>0</v>
      </c>
    </row>
    <row r="1245" spans="1:22" s="99" customFormat="1" ht="24" customHeight="1">
      <c r="A1245" s="1959">
        <v>2</v>
      </c>
      <c r="B1245" s="1860"/>
      <c r="C1245" s="1860"/>
      <c r="D1245" s="1860"/>
      <c r="E1245" s="1839"/>
      <c r="F1245" s="1841"/>
      <c r="G1245" s="1665"/>
      <c r="H1245" s="1668"/>
      <c r="I1245" s="1656"/>
      <c r="J1245" s="40" t="s">
        <v>82</v>
      </c>
      <c r="K1245" s="91"/>
      <c r="L1245" s="364">
        <v>1</v>
      </c>
      <c r="M1245" s="364">
        <v>1</v>
      </c>
      <c r="N1245" s="364">
        <v>1</v>
      </c>
      <c r="O1245" s="364">
        <v>0</v>
      </c>
      <c r="P1245" s="364">
        <v>0</v>
      </c>
      <c r="Q1245" s="1475">
        <f>L1245*$H1244</f>
        <v>252000</v>
      </c>
      <c r="R1245" s="1475">
        <f>M1245*$H1244</f>
        <v>252000</v>
      </c>
      <c r="S1245" s="1475">
        <f>N1245*$H1244</f>
        <v>252000</v>
      </c>
      <c r="T1245" s="1475">
        <f>O1245*$H1244</f>
        <v>0</v>
      </c>
      <c r="U1245" s="1475">
        <f>P1245*$H1244</f>
        <v>0</v>
      </c>
      <c r="V1245" s="1527">
        <f t="shared" si="650"/>
        <v>756000</v>
      </c>
    </row>
    <row r="1246" spans="1:22" s="99" customFormat="1" ht="24" customHeight="1">
      <c r="A1246" s="1959">
        <v>2</v>
      </c>
      <c r="B1246" s="1860"/>
      <c r="C1246" s="1860"/>
      <c r="D1246" s="1860"/>
      <c r="E1246" s="1839"/>
      <c r="F1246" s="1841"/>
      <c r="G1246" s="1665"/>
      <c r="H1246" s="1668"/>
      <c r="I1246" s="1656"/>
      <c r="J1246" s="40" t="s">
        <v>90</v>
      </c>
      <c r="K1246" s="91"/>
      <c r="L1246" s="364">
        <v>0</v>
      </c>
      <c r="M1246" s="364">
        <v>0</v>
      </c>
      <c r="N1246" s="364">
        <v>0</v>
      </c>
      <c r="O1246" s="364">
        <v>0</v>
      </c>
      <c r="P1246" s="364">
        <v>0</v>
      </c>
      <c r="Q1246" s="1475">
        <f>L1246*$H1244</f>
        <v>0</v>
      </c>
      <c r="R1246" s="1475">
        <f>M1246*$H1244</f>
        <v>0</v>
      </c>
      <c r="S1246" s="1475">
        <f>N1246*$H1244</f>
        <v>0</v>
      </c>
      <c r="T1246" s="1475">
        <f>O1246*$H1244</f>
        <v>0</v>
      </c>
      <c r="U1246" s="1475">
        <f>P1246*$H1244</f>
        <v>0</v>
      </c>
      <c r="V1246" s="1527">
        <f t="shared" si="650"/>
        <v>0</v>
      </c>
    </row>
    <row r="1247" spans="1:22" s="99" customFormat="1" ht="24" customHeight="1">
      <c r="A1247" s="1959">
        <v>2</v>
      </c>
      <c r="B1247" s="1860"/>
      <c r="C1247" s="1860"/>
      <c r="D1247" s="1860"/>
      <c r="E1247" s="1839"/>
      <c r="F1247" s="1841"/>
      <c r="G1247" s="1665"/>
      <c r="H1247" s="1668"/>
      <c r="I1247" s="1656"/>
      <c r="J1247" s="40" t="s">
        <v>83</v>
      </c>
      <c r="K1247" s="91"/>
      <c r="L1247" s="364">
        <v>0</v>
      </c>
      <c r="M1247" s="364">
        <v>0</v>
      </c>
      <c r="N1247" s="364">
        <v>0</v>
      </c>
      <c r="O1247" s="364">
        <v>0</v>
      </c>
      <c r="P1247" s="364">
        <v>0</v>
      </c>
      <c r="Q1247" s="1475">
        <f>L1247*$H1244</f>
        <v>0</v>
      </c>
      <c r="R1247" s="1475">
        <f>M1247*$H1244</f>
        <v>0</v>
      </c>
      <c r="S1247" s="1475">
        <f>N1247*$H1244</f>
        <v>0</v>
      </c>
      <c r="T1247" s="1475">
        <f>O1247*$H1244</f>
        <v>0</v>
      </c>
      <c r="U1247" s="1475">
        <f>P1247*$H1244</f>
        <v>0</v>
      </c>
      <c r="V1247" s="1527">
        <f t="shared" si="650"/>
        <v>0</v>
      </c>
    </row>
    <row r="1248" spans="1:22" s="99" customFormat="1" ht="24" customHeight="1" thickBot="1">
      <c r="A1248" s="1960">
        <v>2</v>
      </c>
      <c r="B1248" s="1874"/>
      <c r="C1248" s="1874"/>
      <c r="D1248" s="1874"/>
      <c r="E1248" s="1862"/>
      <c r="F1248" s="1842"/>
      <c r="G1248" s="1678"/>
      <c r="H1248" s="1793"/>
      <c r="I1248" s="1760"/>
      <c r="J1248" s="80" t="s">
        <v>84</v>
      </c>
      <c r="K1248" s="824"/>
      <c r="L1248" s="371">
        <f>L1239-L1240</f>
        <v>0</v>
      </c>
      <c r="M1248" s="371">
        <f t="shared" ref="M1248:U1248" si="653">M1239-M1240</f>
        <v>0</v>
      </c>
      <c r="N1248" s="371">
        <f t="shared" si="653"/>
        <v>0</v>
      </c>
      <c r="O1248" s="371">
        <f t="shared" si="653"/>
        <v>1</v>
      </c>
      <c r="P1248" s="371">
        <f t="shared" si="653"/>
        <v>1</v>
      </c>
      <c r="Q1248" s="1487">
        <f t="shared" si="653"/>
        <v>0</v>
      </c>
      <c r="R1248" s="1487">
        <f t="shared" si="653"/>
        <v>0</v>
      </c>
      <c r="S1248" s="1487">
        <f t="shared" si="653"/>
        <v>0</v>
      </c>
      <c r="T1248" s="1487">
        <f t="shared" si="653"/>
        <v>252000</v>
      </c>
      <c r="U1248" s="1487">
        <f t="shared" si="653"/>
        <v>252000</v>
      </c>
      <c r="V1248" s="1528">
        <f t="shared" si="650"/>
        <v>504000</v>
      </c>
    </row>
    <row r="1249" spans="1:22" s="45" customFormat="1" ht="24" customHeight="1">
      <c r="A1249" s="1959">
        <v>2</v>
      </c>
      <c r="B1249" s="1860">
        <v>4</v>
      </c>
      <c r="C1249" s="1860">
        <v>2</v>
      </c>
      <c r="D1249" s="1860">
        <v>3</v>
      </c>
      <c r="E1249" s="1839" t="s">
        <v>49</v>
      </c>
      <c r="F1249" s="1854" t="str">
        <f>CONCATENATE(A1249,".",B1249,".",C1249,".",D1249,)</f>
        <v>2.4.2.3</v>
      </c>
      <c r="G1249" s="1665" t="s">
        <v>193</v>
      </c>
      <c r="H1249" s="1628" t="s">
        <v>195</v>
      </c>
      <c r="I1249" s="1656" t="s">
        <v>1167</v>
      </c>
      <c r="J1249" s="815" t="s">
        <v>79</v>
      </c>
      <c r="K1249" s="898"/>
      <c r="L1249" s="923">
        <v>8</v>
      </c>
      <c r="M1249" s="923">
        <v>0</v>
      </c>
      <c r="N1249" s="923">
        <v>0</v>
      </c>
      <c r="O1249" s="923">
        <v>0</v>
      </c>
      <c r="P1249" s="923">
        <v>0</v>
      </c>
      <c r="Q1249" s="1489">
        <f>L1249*H1254</f>
        <v>16000</v>
      </c>
      <c r="R1249" s="1489">
        <f>M1249*H1254</f>
        <v>0</v>
      </c>
      <c r="S1249" s="1489">
        <f>N1249*H1254</f>
        <v>0</v>
      </c>
      <c r="T1249" s="1489">
        <f>O1249*H1254</f>
        <v>0</v>
      </c>
      <c r="U1249" s="1489">
        <f>P1249*H1254</f>
        <v>0</v>
      </c>
      <c r="V1249" s="1533">
        <f t="shared" si="647"/>
        <v>16000</v>
      </c>
    </row>
    <row r="1250" spans="1:22" s="39" customFormat="1" ht="24" customHeight="1">
      <c r="A1250" s="1959">
        <v>2</v>
      </c>
      <c r="B1250" s="1860"/>
      <c r="C1250" s="1860"/>
      <c r="D1250" s="1860"/>
      <c r="E1250" s="1839"/>
      <c r="F1250" s="1841"/>
      <c r="G1250" s="1665"/>
      <c r="H1250" s="1601"/>
      <c r="I1250" s="1656"/>
      <c r="J1250" s="40" t="s">
        <v>80</v>
      </c>
      <c r="K1250" s="91"/>
      <c r="L1250" s="364">
        <v>8</v>
      </c>
      <c r="M1250" s="364">
        <f t="shared" ref="M1250:U1250" si="654">SUM(M1251:M1257)</f>
        <v>0</v>
      </c>
      <c r="N1250" s="364">
        <f t="shared" si="654"/>
        <v>0</v>
      </c>
      <c r="O1250" s="364">
        <f t="shared" si="654"/>
        <v>0</v>
      </c>
      <c r="P1250" s="364">
        <f t="shared" si="654"/>
        <v>0</v>
      </c>
      <c r="Q1250" s="1475">
        <f t="shared" si="654"/>
        <v>16000</v>
      </c>
      <c r="R1250" s="1475">
        <f t="shared" si="654"/>
        <v>0</v>
      </c>
      <c r="S1250" s="1475">
        <f t="shared" si="654"/>
        <v>0</v>
      </c>
      <c r="T1250" s="1475">
        <f t="shared" si="654"/>
        <v>0</v>
      </c>
      <c r="U1250" s="1475">
        <f t="shared" si="654"/>
        <v>0</v>
      </c>
      <c r="V1250" s="1527">
        <f t="shared" si="647"/>
        <v>16000</v>
      </c>
    </row>
    <row r="1251" spans="1:22" s="39" customFormat="1" ht="24" customHeight="1">
      <c r="A1251" s="1959">
        <v>2</v>
      </c>
      <c r="B1251" s="1860"/>
      <c r="C1251" s="1860"/>
      <c r="D1251" s="1860"/>
      <c r="E1251" s="1839"/>
      <c r="F1251" s="1841"/>
      <c r="G1251" s="1665"/>
      <c r="H1251" s="1601"/>
      <c r="I1251" s="1656"/>
      <c r="J1251" s="40" t="s">
        <v>429</v>
      </c>
      <c r="K1251" s="91"/>
      <c r="L1251" s="364">
        <v>0</v>
      </c>
      <c r="M1251" s="364">
        <v>0</v>
      </c>
      <c r="N1251" s="364">
        <v>0</v>
      </c>
      <c r="O1251" s="364">
        <v>0</v>
      </c>
      <c r="P1251" s="364">
        <v>0</v>
      </c>
      <c r="Q1251" s="1475">
        <f>L1251*$H1254</f>
        <v>0</v>
      </c>
      <c r="R1251" s="1475">
        <f>M1251*$H1254</f>
        <v>0</v>
      </c>
      <c r="S1251" s="1475">
        <f>N1251*$H1254</f>
        <v>0</v>
      </c>
      <c r="T1251" s="1475">
        <f>O1251*$H1254</f>
        <v>0</v>
      </c>
      <c r="U1251" s="1475">
        <f>P1251*$H1254</f>
        <v>0</v>
      </c>
      <c r="V1251" s="1527">
        <f t="shared" si="647"/>
        <v>0</v>
      </c>
    </row>
    <row r="1252" spans="1:22" s="39" customFormat="1" ht="24" customHeight="1">
      <c r="A1252" s="1959">
        <v>2</v>
      </c>
      <c r="B1252" s="1860"/>
      <c r="C1252" s="1860"/>
      <c r="D1252" s="1860"/>
      <c r="E1252" s="1839"/>
      <c r="F1252" s="1841"/>
      <c r="G1252" s="1665"/>
      <c r="H1252" s="1601"/>
      <c r="I1252" s="1656"/>
      <c r="J1252" s="40" t="s">
        <v>133</v>
      </c>
      <c r="K1252" s="91"/>
      <c r="L1252" s="364">
        <v>0</v>
      </c>
      <c r="M1252" s="364">
        <v>0</v>
      </c>
      <c r="N1252" s="364">
        <v>0</v>
      </c>
      <c r="O1252" s="364">
        <v>0</v>
      </c>
      <c r="P1252" s="364">
        <v>0</v>
      </c>
      <c r="Q1252" s="1475">
        <f>L1252*$H1254</f>
        <v>0</v>
      </c>
      <c r="R1252" s="1475">
        <f>M1252*$H1254</f>
        <v>0</v>
      </c>
      <c r="S1252" s="1475">
        <f>N1252*$H1254</f>
        <v>0</v>
      </c>
      <c r="T1252" s="1475">
        <f>O1252*$H1254</f>
        <v>0</v>
      </c>
      <c r="U1252" s="1475">
        <f>P1252*$H1254</f>
        <v>0</v>
      </c>
      <c r="V1252" s="1527">
        <f t="shared" si="647"/>
        <v>0</v>
      </c>
    </row>
    <row r="1253" spans="1:22" s="39" customFormat="1" ht="24" customHeight="1">
      <c r="A1253" s="1959">
        <v>2</v>
      </c>
      <c r="B1253" s="1860"/>
      <c r="C1253" s="1860"/>
      <c r="D1253" s="1860"/>
      <c r="E1253" s="1839"/>
      <c r="F1253" s="1841"/>
      <c r="G1253" s="1665"/>
      <c r="H1253" s="1601"/>
      <c r="I1253" s="1656"/>
      <c r="J1253" s="40" t="s">
        <v>81</v>
      </c>
      <c r="K1253" s="91"/>
      <c r="L1253" s="364">
        <v>0</v>
      </c>
      <c r="M1253" s="364">
        <v>0</v>
      </c>
      <c r="N1253" s="364">
        <v>0</v>
      </c>
      <c r="O1253" s="364">
        <v>0</v>
      </c>
      <c r="P1253" s="364">
        <v>0</v>
      </c>
      <c r="Q1253" s="1475">
        <f>L1253*$H1254</f>
        <v>0</v>
      </c>
      <c r="R1253" s="1475">
        <f>M1253*$H1254</f>
        <v>0</v>
      </c>
      <c r="S1253" s="1475">
        <f>N1253*$H1254</f>
        <v>0</v>
      </c>
      <c r="T1253" s="1475">
        <f>O1253*$H1254</f>
        <v>0</v>
      </c>
      <c r="U1253" s="1475">
        <f>P1253*$H1254</f>
        <v>0</v>
      </c>
      <c r="V1253" s="1527">
        <f t="shared" si="647"/>
        <v>0</v>
      </c>
    </row>
    <row r="1254" spans="1:22" s="39" customFormat="1" ht="24" customHeight="1">
      <c r="A1254" s="1959">
        <v>2</v>
      </c>
      <c r="B1254" s="1860"/>
      <c r="C1254" s="1860"/>
      <c r="D1254" s="1860"/>
      <c r="E1254" s="1839"/>
      <c r="F1254" s="1841"/>
      <c r="G1254" s="1665"/>
      <c r="H1254" s="1667">
        <f>'Budget assumption'!$C$4</f>
        <v>2000</v>
      </c>
      <c r="I1254" s="1656"/>
      <c r="J1254" s="40" t="s">
        <v>134</v>
      </c>
      <c r="K1254" s="91"/>
      <c r="L1254" s="364">
        <v>0</v>
      </c>
      <c r="M1254" s="364">
        <v>0</v>
      </c>
      <c r="N1254" s="364">
        <v>0</v>
      </c>
      <c r="O1254" s="364">
        <v>0</v>
      </c>
      <c r="P1254" s="364">
        <v>0</v>
      </c>
      <c r="Q1254" s="1475">
        <f>L1254*$H1254</f>
        <v>0</v>
      </c>
      <c r="R1254" s="1475">
        <f>M1254*$H1254</f>
        <v>0</v>
      </c>
      <c r="S1254" s="1475">
        <f>N1254*$H1254</f>
        <v>0</v>
      </c>
      <c r="T1254" s="1475">
        <f>O1254*$H1254</f>
        <v>0</v>
      </c>
      <c r="U1254" s="1475">
        <f>P1254*$H1254</f>
        <v>0</v>
      </c>
      <c r="V1254" s="1527">
        <f t="shared" si="647"/>
        <v>0</v>
      </c>
    </row>
    <row r="1255" spans="1:22" s="39" customFormat="1" ht="24" customHeight="1">
      <c r="A1255" s="1959">
        <v>2</v>
      </c>
      <c r="B1255" s="1860"/>
      <c r="C1255" s="1860"/>
      <c r="D1255" s="1860"/>
      <c r="E1255" s="1839"/>
      <c r="F1255" s="1841"/>
      <c r="G1255" s="1665"/>
      <c r="H1255" s="1668"/>
      <c r="I1255" s="1656"/>
      <c r="J1255" s="40" t="s">
        <v>82</v>
      </c>
      <c r="K1255" s="91"/>
      <c r="L1255" s="364">
        <v>5</v>
      </c>
      <c r="M1255" s="364">
        <v>0</v>
      </c>
      <c r="N1255" s="364">
        <v>0</v>
      </c>
      <c r="O1255" s="364">
        <v>0</v>
      </c>
      <c r="P1255" s="364">
        <v>0</v>
      </c>
      <c r="Q1255" s="1475">
        <f>L1255*$H1254</f>
        <v>10000</v>
      </c>
      <c r="R1255" s="1475">
        <f>M1255*$H1254</f>
        <v>0</v>
      </c>
      <c r="S1255" s="1475">
        <f>N1255*$H1254</f>
        <v>0</v>
      </c>
      <c r="T1255" s="1475">
        <f>O1255*$H1254</f>
        <v>0</v>
      </c>
      <c r="U1255" s="1475">
        <f>P1255*$H1254</f>
        <v>0</v>
      </c>
      <c r="V1255" s="1527">
        <f t="shared" si="647"/>
        <v>10000</v>
      </c>
    </row>
    <row r="1256" spans="1:22" s="39" customFormat="1" ht="24" customHeight="1">
      <c r="A1256" s="1959">
        <v>2</v>
      </c>
      <c r="B1256" s="1860"/>
      <c r="C1256" s="1860"/>
      <c r="D1256" s="1860"/>
      <c r="E1256" s="1839"/>
      <c r="F1256" s="1841"/>
      <c r="G1256" s="1665"/>
      <c r="H1256" s="1668"/>
      <c r="I1256" s="1656"/>
      <c r="J1256" s="40" t="s">
        <v>90</v>
      </c>
      <c r="K1256" s="91"/>
      <c r="L1256" s="364">
        <v>3</v>
      </c>
      <c r="M1256" s="364">
        <v>0</v>
      </c>
      <c r="N1256" s="364">
        <v>0</v>
      </c>
      <c r="O1256" s="364">
        <v>0</v>
      </c>
      <c r="P1256" s="364">
        <v>0</v>
      </c>
      <c r="Q1256" s="1475">
        <f>L1256*$H1254</f>
        <v>6000</v>
      </c>
      <c r="R1256" s="1475">
        <f>M1256*$H1254</f>
        <v>0</v>
      </c>
      <c r="S1256" s="1475">
        <f>N1256*$H1254</f>
        <v>0</v>
      </c>
      <c r="T1256" s="1475">
        <f>O1256*$H1254</f>
        <v>0</v>
      </c>
      <c r="U1256" s="1475">
        <f>P1256*$H1254</f>
        <v>0</v>
      </c>
      <c r="V1256" s="1527">
        <f t="shared" si="647"/>
        <v>6000</v>
      </c>
    </row>
    <row r="1257" spans="1:22" s="39" customFormat="1" ht="24" customHeight="1">
      <c r="A1257" s="1959">
        <v>2</v>
      </c>
      <c r="B1257" s="1860"/>
      <c r="C1257" s="1860"/>
      <c r="D1257" s="1860"/>
      <c r="E1257" s="1839"/>
      <c r="F1257" s="1841"/>
      <c r="G1257" s="1665"/>
      <c r="H1257" s="1668"/>
      <c r="I1257" s="1656"/>
      <c r="J1257" s="40" t="s">
        <v>83</v>
      </c>
      <c r="K1257" s="91"/>
      <c r="L1257" s="364">
        <v>0</v>
      </c>
      <c r="M1257" s="364">
        <v>0</v>
      </c>
      <c r="N1257" s="364">
        <v>0</v>
      </c>
      <c r="O1257" s="364">
        <v>0</v>
      </c>
      <c r="P1257" s="364">
        <v>0</v>
      </c>
      <c r="Q1257" s="1475">
        <f>L1257*$H1254</f>
        <v>0</v>
      </c>
      <c r="R1257" s="1475">
        <f>M1257*$H1254</f>
        <v>0</v>
      </c>
      <c r="S1257" s="1475">
        <f>N1257*$H1254</f>
        <v>0</v>
      </c>
      <c r="T1257" s="1475">
        <f>O1257*$H1254</f>
        <v>0</v>
      </c>
      <c r="U1257" s="1475">
        <f>P1257*$H1254</f>
        <v>0</v>
      </c>
      <c r="V1257" s="1527">
        <f t="shared" si="647"/>
        <v>0</v>
      </c>
    </row>
    <row r="1258" spans="1:22" s="39" customFormat="1" ht="24" customHeight="1" thickBot="1">
      <c r="A1258" s="1959">
        <v>2</v>
      </c>
      <c r="B1258" s="1860"/>
      <c r="C1258" s="1860"/>
      <c r="D1258" s="1860"/>
      <c r="E1258" s="1839"/>
      <c r="F1258" s="1863"/>
      <c r="G1258" s="1665"/>
      <c r="H1258" s="1668"/>
      <c r="I1258" s="1656"/>
      <c r="J1258" s="40" t="s">
        <v>84</v>
      </c>
      <c r="K1258" s="91"/>
      <c r="L1258" s="364">
        <f>L1249-L1250</f>
        <v>0</v>
      </c>
      <c r="M1258" s="364">
        <f t="shared" ref="M1258:U1258" si="655">M1249-M1250</f>
        <v>0</v>
      </c>
      <c r="N1258" s="364">
        <f t="shared" si="655"/>
        <v>0</v>
      </c>
      <c r="O1258" s="364">
        <f t="shared" si="655"/>
        <v>0</v>
      </c>
      <c r="P1258" s="364">
        <f t="shared" si="655"/>
        <v>0</v>
      </c>
      <c r="Q1258" s="1475">
        <f t="shared" si="655"/>
        <v>0</v>
      </c>
      <c r="R1258" s="1475">
        <f t="shared" si="655"/>
        <v>0</v>
      </c>
      <c r="S1258" s="1475">
        <f t="shared" si="655"/>
        <v>0</v>
      </c>
      <c r="T1258" s="1475">
        <f t="shared" si="655"/>
        <v>0</v>
      </c>
      <c r="U1258" s="1475">
        <f t="shared" si="655"/>
        <v>0</v>
      </c>
      <c r="V1258" s="1527">
        <f t="shared" si="647"/>
        <v>0</v>
      </c>
    </row>
    <row r="1259" spans="1:22" s="45" customFormat="1" ht="24" customHeight="1">
      <c r="A1259" s="1958">
        <v>2</v>
      </c>
      <c r="B1259" s="1873">
        <v>4</v>
      </c>
      <c r="C1259" s="1873">
        <v>2</v>
      </c>
      <c r="D1259" s="1873">
        <v>4</v>
      </c>
      <c r="E1259" s="1861" t="s">
        <v>49</v>
      </c>
      <c r="F1259" s="1840" t="str">
        <f>CONCATENATE(A1259,".",B1259,".",C1259,".",D1259,)</f>
        <v>2.4.2.4</v>
      </c>
      <c r="G1259" s="1677" t="s">
        <v>1047</v>
      </c>
      <c r="H1259" s="1679" t="s">
        <v>142</v>
      </c>
      <c r="I1259" s="1673" t="s">
        <v>1166</v>
      </c>
      <c r="J1259" s="262" t="s">
        <v>79</v>
      </c>
      <c r="K1259" s="908"/>
      <c r="L1259" s="914">
        <v>2</v>
      </c>
      <c r="M1259" s="914">
        <v>2</v>
      </c>
      <c r="N1259" s="914">
        <v>2</v>
      </c>
      <c r="O1259" s="914">
        <v>2</v>
      </c>
      <c r="P1259" s="914">
        <v>2</v>
      </c>
      <c r="Q1259" s="1484">
        <f>L1259*H1264</f>
        <v>89682.6</v>
      </c>
      <c r="R1259" s="1484">
        <f>M1259*H1264</f>
        <v>89682.6</v>
      </c>
      <c r="S1259" s="1484">
        <f>N1259*H1264</f>
        <v>89682.6</v>
      </c>
      <c r="T1259" s="1484">
        <f>O1259*H1264</f>
        <v>89682.6</v>
      </c>
      <c r="U1259" s="1484">
        <f>P1259*H1264</f>
        <v>89682.6</v>
      </c>
      <c r="V1259" s="1526">
        <f t="shared" si="647"/>
        <v>448413</v>
      </c>
    </row>
    <row r="1260" spans="1:22" s="39" customFormat="1" ht="24" customHeight="1">
      <c r="A1260" s="1959">
        <v>2</v>
      </c>
      <c r="B1260" s="1860"/>
      <c r="C1260" s="1860"/>
      <c r="D1260" s="1860"/>
      <c r="E1260" s="1839"/>
      <c r="F1260" s="1841"/>
      <c r="G1260" s="1665"/>
      <c r="H1260" s="1601"/>
      <c r="I1260" s="1615"/>
      <c r="J1260" s="40" t="s">
        <v>80</v>
      </c>
      <c r="K1260" s="91"/>
      <c r="L1260" s="364">
        <f t="shared" ref="L1260:U1260" si="656">SUM(L1261:L1267)</f>
        <v>2</v>
      </c>
      <c r="M1260" s="364">
        <f t="shared" si="656"/>
        <v>2</v>
      </c>
      <c r="N1260" s="364">
        <f t="shared" si="656"/>
        <v>2</v>
      </c>
      <c r="O1260" s="364">
        <f t="shared" si="656"/>
        <v>0</v>
      </c>
      <c r="P1260" s="364">
        <f t="shared" si="656"/>
        <v>0</v>
      </c>
      <c r="Q1260" s="1475">
        <f t="shared" si="656"/>
        <v>89682.6</v>
      </c>
      <c r="R1260" s="1475">
        <f t="shared" si="656"/>
        <v>89682.6</v>
      </c>
      <c r="S1260" s="1475">
        <f t="shared" si="656"/>
        <v>89682.6</v>
      </c>
      <c r="T1260" s="1475">
        <f t="shared" si="656"/>
        <v>0</v>
      </c>
      <c r="U1260" s="1475">
        <f t="shared" si="656"/>
        <v>0</v>
      </c>
      <c r="V1260" s="1527">
        <f t="shared" si="647"/>
        <v>269047.80000000005</v>
      </c>
    </row>
    <row r="1261" spans="1:22" s="39" customFormat="1" ht="24" customHeight="1">
      <c r="A1261" s="1959">
        <v>2</v>
      </c>
      <c r="B1261" s="1860"/>
      <c r="C1261" s="1860"/>
      <c r="D1261" s="1860"/>
      <c r="E1261" s="1839"/>
      <c r="F1261" s="1841"/>
      <c r="G1261" s="1665"/>
      <c r="H1261" s="1601"/>
      <c r="I1261" s="1615"/>
      <c r="J1261" s="40" t="s">
        <v>429</v>
      </c>
      <c r="K1261" s="91"/>
      <c r="L1261" s="364">
        <v>0</v>
      </c>
      <c r="M1261" s="364">
        <v>0</v>
      </c>
      <c r="N1261" s="364">
        <v>0</v>
      </c>
      <c r="O1261" s="364">
        <v>0</v>
      </c>
      <c r="P1261" s="364">
        <v>0</v>
      </c>
      <c r="Q1261" s="1475">
        <f>L1261*$H1264</f>
        <v>0</v>
      </c>
      <c r="R1261" s="1475">
        <f>M1261*$H1264</f>
        <v>0</v>
      </c>
      <c r="S1261" s="1475">
        <f>N1261*$H1264</f>
        <v>0</v>
      </c>
      <c r="T1261" s="1475">
        <f>O1261*$H1264</f>
        <v>0</v>
      </c>
      <c r="U1261" s="1475">
        <f>P1261*$H1264</f>
        <v>0</v>
      </c>
      <c r="V1261" s="1527">
        <f t="shared" si="647"/>
        <v>0</v>
      </c>
    </row>
    <row r="1262" spans="1:22" s="39" customFormat="1" ht="24" customHeight="1">
      <c r="A1262" s="1959">
        <v>2</v>
      </c>
      <c r="B1262" s="1860"/>
      <c r="C1262" s="1860"/>
      <c r="D1262" s="1860"/>
      <c r="E1262" s="1839"/>
      <c r="F1262" s="1841"/>
      <c r="G1262" s="1665"/>
      <c r="H1262" s="1601"/>
      <c r="I1262" s="1615"/>
      <c r="J1262" s="40" t="s">
        <v>133</v>
      </c>
      <c r="K1262" s="91"/>
      <c r="L1262" s="364">
        <v>0</v>
      </c>
      <c r="M1262" s="364">
        <v>0</v>
      </c>
      <c r="N1262" s="364">
        <v>0</v>
      </c>
      <c r="O1262" s="364">
        <v>0</v>
      </c>
      <c r="P1262" s="364">
        <v>0</v>
      </c>
      <c r="Q1262" s="1475">
        <f>L1262*$H1264</f>
        <v>0</v>
      </c>
      <c r="R1262" s="1475">
        <f>M1262*$H1264</f>
        <v>0</v>
      </c>
      <c r="S1262" s="1475">
        <f>N1262*$H1264</f>
        <v>0</v>
      </c>
      <c r="T1262" s="1475">
        <f>O1262*$H1264</f>
        <v>0</v>
      </c>
      <c r="U1262" s="1475">
        <f>P1262*$H1264</f>
        <v>0</v>
      </c>
      <c r="V1262" s="1527">
        <f t="shared" si="647"/>
        <v>0</v>
      </c>
    </row>
    <row r="1263" spans="1:22" s="39" customFormat="1" ht="24" customHeight="1">
      <c r="A1263" s="1959">
        <v>2</v>
      </c>
      <c r="B1263" s="1860"/>
      <c r="C1263" s="1860"/>
      <c r="D1263" s="1860"/>
      <c r="E1263" s="1839"/>
      <c r="F1263" s="1841"/>
      <c r="G1263" s="1665"/>
      <c r="H1263" s="1601"/>
      <c r="I1263" s="1615"/>
      <c r="J1263" s="40" t="s">
        <v>81</v>
      </c>
      <c r="K1263" s="91"/>
      <c r="L1263" s="364">
        <v>0</v>
      </c>
      <c r="M1263" s="364">
        <v>0</v>
      </c>
      <c r="N1263" s="364">
        <v>0</v>
      </c>
      <c r="O1263" s="364">
        <v>0</v>
      </c>
      <c r="P1263" s="364">
        <v>0</v>
      </c>
      <c r="Q1263" s="1475">
        <f>L1263*$H1264</f>
        <v>0</v>
      </c>
      <c r="R1263" s="1475">
        <f>M1263*$H1264</f>
        <v>0</v>
      </c>
      <c r="S1263" s="1475">
        <f>N1263*$H1264</f>
        <v>0</v>
      </c>
      <c r="T1263" s="1475">
        <f>O1263*$H1264</f>
        <v>0</v>
      </c>
      <c r="U1263" s="1475">
        <f>P1263*$H1264</f>
        <v>0</v>
      </c>
      <c r="V1263" s="1527">
        <f t="shared" si="647"/>
        <v>0</v>
      </c>
    </row>
    <row r="1264" spans="1:22" s="39" customFormat="1" ht="24" customHeight="1">
      <c r="A1264" s="1959">
        <v>2</v>
      </c>
      <c r="B1264" s="1860"/>
      <c r="C1264" s="1860"/>
      <c r="D1264" s="1860"/>
      <c r="E1264" s="1839"/>
      <c r="F1264" s="1841"/>
      <c r="G1264" s="1665"/>
      <c r="H1264" s="1595">
        <f>'Budget assumption'!$H$43</f>
        <v>44841.3</v>
      </c>
      <c r="I1264" s="1615"/>
      <c r="J1264" s="40" t="s">
        <v>134</v>
      </c>
      <c r="K1264" s="91"/>
      <c r="L1264" s="364">
        <v>0</v>
      </c>
      <c r="M1264" s="364">
        <v>0</v>
      </c>
      <c r="N1264" s="364">
        <v>0</v>
      </c>
      <c r="O1264" s="364">
        <v>0</v>
      </c>
      <c r="P1264" s="364">
        <v>0</v>
      </c>
      <c r="Q1264" s="1475">
        <f>L1264*$H1264</f>
        <v>0</v>
      </c>
      <c r="R1264" s="1475">
        <f>M1264*$H1264</f>
        <v>0</v>
      </c>
      <c r="S1264" s="1475">
        <f>N1264*$H1264</f>
        <v>0</v>
      </c>
      <c r="T1264" s="1475">
        <f>O1264*$H1264</f>
        <v>0</v>
      </c>
      <c r="U1264" s="1475">
        <f>P1264*$H1264</f>
        <v>0</v>
      </c>
      <c r="V1264" s="1527">
        <f t="shared" si="647"/>
        <v>0</v>
      </c>
    </row>
    <row r="1265" spans="1:22" s="39" customFormat="1" ht="24" customHeight="1">
      <c r="A1265" s="1959">
        <v>2</v>
      </c>
      <c r="B1265" s="1860"/>
      <c r="C1265" s="1860"/>
      <c r="D1265" s="1860"/>
      <c r="E1265" s="1839"/>
      <c r="F1265" s="1841"/>
      <c r="G1265" s="1665"/>
      <c r="H1265" s="1596"/>
      <c r="I1265" s="1615"/>
      <c r="J1265" s="40" t="s">
        <v>82</v>
      </c>
      <c r="K1265" s="91"/>
      <c r="L1265" s="364">
        <v>2</v>
      </c>
      <c r="M1265" s="364">
        <v>2</v>
      </c>
      <c r="N1265" s="364">
        <v>2</v>
      </c>
      <c r="O1265" s="364">
        <v>0</v>
      </c>
      <c r="P1265" s="364">
        <v>0</v>
      </c>
      <c r="Q1265" s="1475">
        <f>L1265*$H1264</f>
        <v>89682.6</v>
      </c>
      <c r="R1265" s="1475">
        <f>M1265*$H1264</f>
        <v>89682.6</v>
      </c>
      <c r="S1265" s="1475">
        <f>N1265*$H1264</f>
        <v>89682.6</v>
      </c>
      <c r="T1265" s="1475">
        <f>O1265*$H1264</f>
        <v>0</v>
      </c>
      <c r="U1265" s="1475">
        <f>P1265*$H1264</f>
        <v>0</v>
      </c>
      <c r="V1265" s="1527">
        <f t="shared" si="647"/>
        <v>269047.80000000005</v>
      </c>
    </row>
    <row r="1266" spans="1:22" s="39" customFormat="1" ht="24" customHeight="1">
      <c r="A1266" s="1959">
        <v>2</v>
      </c>
      <c r="B1266" s="1860"/>
      <c r="C1266" s="1860"/>
      <c r="D1266" s="1860"/>
      <c r="E1266" s="1839"/>
      <c r="F1266" s="1841"/>
      <c r="G1266" s="1665"/>
      <c r="H1266" s="1596"/>
      <c r="I1266" s="1615"/>
      <c r="J1266" s="40" t="s">
        <v>90</v>
      </c>
      <c r="K1266" s="91"/>
      <c r="L1266" s="364">
        <v>0</v>
      </c>
      <c r="M1266" s="364">
        <v>0</v>
      </c>
      <c r="N1266" s="364">
        <v>0</v>
      </c>
      <c r="O1266" s="364">
        <v>0</v>
      </c>
      <c r="P1266" s="364">
        <v>0</v>
      </c>
      <c r="Q1266" s="1475">
        <f>L1266*$H1264</f>
        <v>0</v>
      </c>
      <c r="R1266" s="1475">
        <f>M1266*$H1264</f>
        <v>0</v>
      </c>
      <c r="S1266" s="1475">
        <f>N1266*$H1264</f>
        <v>0</v>
      </c>
      <c r="T1266" s="1475">
        <f>O1266*$H1264</f>
        <v>0</v>
      </c>
      <c r="U1266" s="1475">
        <f>P1266*$H1264</f>
        <v>0</v>
      </c>
      <c r="V1266" s="1527">
        <f t="shared" si="647"/>
        <v>0</v>
      </c>
    </row>
    <row r="1267" spans="1:22" s="39" customFormat="1" ht="24" customHeight="1">
      <c r="A1267" s="1959">
        <v>2</v>
      </c>
      <c r="B1267" s="1860"/>
      <c r="C1267" s="1860"/>
      <c r="D1267" s="1860"/>
      <c r="E1267" s="1839"/>
      <c r="F1267" s="1841"/>
      <c r="G1267" s="1665"/>
      <c r="H1267" s="1596"/>
      <c r="I1267" s="1615"/>
      <c r="J1267" s="40" t="s">
        <v>83</v>
      </c>
      <c r="K1267" s="91"/>
      <c r="L1267" s="364">
        <v>0</v>
      </c>
      <c r="M1267" s="364">
        <v>0</v>
      </c>
      <c r="N1267" s="364">
        <v>0</v>
      </c>
      <c r="O1267" s="364">
        <v>0</v>
      </c>
      <c r="P1267" s="364">
        <v>0</v>
      </c>
      <c r="Q1267" s="1475">
        <f>L1267*$H1264</f>
        <v>0</v>
      </c>
      <c r="R1267" s="1475">
        <f>M1267*$H1264</f>
        <v>0</v>
      </c>
      <c r="S1267" s="1475">
        <f>N1267*$H1264</f>
        <v>0</v>
      </c>
      <c r="T1267" s="1475">
        <f>O1267*$H1264</f>
        <v>0</v>
      </c>
      <c r="U1267" s="1475">
        <f>P1267*$H1264</f>
        <v>0</v>
      </c>
      <c r="V1267" s="1527">
        <f t="shared" si="647"/>
        <v>0</v>
      </c>
    </row>
    <row r="1268" spans="1:22" s="39" customFormat="1" ht="24" customHeight="1" thickBot="1">
      <c r="A1268" s="1960">
        <v>2</v>
      </c>
      <c r="B1268" s="1874"/>
      <c r="C1268" s="1874"/>
      <c r="D1268" s="1874"/>
      <c r="E1268" s="1862"/>
      <c r="F1268" s="1842"/>
      <c r="G1268" s="1678"/>
      <c r="H1268" s="1597"/>
      <c r="I1268" s="1616"/>
      <c r="J1268" s="80" t="s">
        <v>84</v>
      </c>
      <c r="K1268" s="824"/>
      <c r="L1268" s="371">
        <f>L1259-L1260</f>
        <v>0</v>
      </c>
      <c r="M1268" s="371">
        <f t="shared" ref="M1268:U1268" si="657">M1259-M1260</f>
        <v>0</v>
      </c>
      <c r="N1268" s="371">
        <f t="shared" si="657"/>
        <v>0</v>
      </c>
      <c r="O1268" s="371">
        <f t="shared" si="657"/>
        <v>2</v>
      </c>
      <c r="P1268" s="371">
        <f t="shared" si="657"/>
        <v>2</v>
      </c>
      <c r="Q1268" s="1487">
        <f t="shared" si="657"/>
        <v>0</v>
      </c>
      <c r="R1268" s="1487">
        <f t="shared" si="657"/>
        <v>0</v>
      </c>
      <c r="S1268" s="1487">
        <f t="shared" si="657"/>
        <v>0</v>
      </c>
      <c r="T1268" s="1487">
        <f t="shared" si="657"/>
        <v>89682.6</v>
      </c>
      <c r="U1268" s="1487">
        <f t="shared" si="657"/>
        <v>89682.6</v>
      </c>
      <c r="V1268" s="1528">
        <f t="shared" si="647"/>
        <v>179365.2</v>
      </c>
    </row>
    <row r="1269" spans="1:22" s="45" customFormat="1" ht="24" customHeight="1">
      <c r="A1269" s="1959">
        <v>2</v>
      </c>
      <c r="B1269" s="1860">
        <v>4</v>
      </c>
      <c r="C1269" s="1860">
        <v>2</v>
      </c>
      <c r="D1269" s="1860">
        <v>5</v>
      </c>
      <c r="E1269" s="1839" t="s">
        <v>49</v>
      </c>
      <c r="F1269" s="1854" t="str">
        <f>CONCATENATE(A1269,".",B1269,".",C1269,".",D1269,)</f>
        <v>2.4.2.5</v>
      </c>
      <c r="G1269" s="1665" t="s">
        <v>327</v>
      </c>
      <c r="H1269" s="1628" t="s">
        <v>195</v>
      </c>
      <c r="I1269" s="1615" t="s">
        <v>1048</v>
      </c>
      <c r="J1269" s="815" t="s">
        <v>79</v>
      </c>
      <c r="K1269" s="898"/>
      <c r="L1269" s="923">
        <v>0</v>
      </c>
      <c r="M1269" s="923">
        <v>20</v>
      </c>
      <c r="N1269" s="923">
        <v>0</v>
      </c>
      <c r="O1269" s="923">
        <v>0</v>
      </c>
      <c r="P1269" s="923">
        <v>0</v>
      </c>
      <c r="Q1269" s="1489">
        <f>L1269*H1274</f>
        <v>0</v>
      </c>
      <c r="R1269" s="1489">
        <f>M1269*H1274</f>
        <v>40000</v>
      </c>
      <c r="S1269" s="1489">
        <f>N1269*H1274</f>
        <v>0</v>
      </c>
      <c r="T1269" s="1489">
        <f>O1269*H1274</f>
        <v>0</v>
      </c>
      <c r="U1269" s="1489">
        <f>P1269*H1274</f>
        <v>0</v>
      </c>
      <c r="V1269" s="1533">
        <f t="shared" ref="V1269:V1278" si="658">SUM(Q1269:U1269)</f>
        <v>40000</v>
      </c>
    </row>
    <row r="1270" spans="1:22" s="39" customFormat="1" ht="24" customHeight="1">
      <c r="A1270" s="1959">
        <v>2</v>
      </c>
      <c r="B1270" s="1860"/>
      <c r="C1270" s="1860"/>
      <c r="D1270" s="1860"/>
      <c r="E1270" s="1839"/>
      <c r="F1270" s="1841"/>
      <c r="G1270" s="1665"/>
      <c r="H1270" s="1601"/>
      <c r="I1270" s="1615"/>
      <c r="J1270" s="40" t="s">
        <v>80</v>
      </c>
      <c r="K1270" s="91"/>
      <c r="L1270" s="364">
        <f t="shared" ref="L1270:U1270" si="659">SUM(L1271:L1277)</f>
        <v>0</v>
      </c>
      <c r="M1270" s="364">
        <f t="shared" si="659"/>
        <v>20</v>
      </c>
      <c r="N1270" s="364">
        <f t="shared" si="659"/>
        <v>0</v>
      </c>
      <c r="O1270" s="364">
        <f t="shared" si="659"/>
        <v>0</v>
      </c>
      <c r="P1270" s="364">
        <f t="shared" si="659"/>
        <v>0</v>
      </c>
      <c r="Q1270" s="1475">
        <f t="shared" si="659"/>
        <v>0</v>
      </c>
      <c r="R1270" s="1475">
        <f t="shared" si="659"/>
        <v>40000</v>
      </c>
      <c r="S1270" s="1475">
        <f t="shared" si="659"/>
        <v>0</v>
      </c>
      <c r="T1270" s="1475">
        <f t="shared" si="659"/>
        <v>0</v>
      </c>
      <c r="U1270" s="1475">
        <f t="shared" si="659"/>
        <v>0</v>
      </c>
      <c r="V1270" s="1527">
        <f t="shared" si="658"/>
        <v>40000</v>
      </c>
    </row>
    <row r="1271" spans="1:22" s="39" customFormat="1" ht="24" customHeight="1">
      <c r="A1271" s="1959">
        <v>2</v>
      </c>
      <c r="B1271" s="1860"/>
      <c r="C1271" s="1860"/>
      <c r="D1271" s="1860"/>
      <c r="E1271" s="1839"/>
      <c r="F1271" s="1841"/>
      <c r="G1271" s="1665"/>
      <c r="H1271" s="1601"/>
      <c r="I1271" s="1615"/>
      <c r="J1271" s="40" t="s">
        <v>429</v>
      </c>
      <c r="K1271" s="91"/>
      <c r="L1271" s="364">
        <v>0</v>
      </c>
      <c r="M1271" s="364">
        <v>0</v>
      </c>
      <c r="N1271" s="364">
        <v>0</v>
      </c>
      <c r="O1271" s="364">
        <v>0</v>
      </c>
      <c r="P1271" s="364">
        <v>0</v>
      </c>
      <c r="Q1271" s="1475">
        <f>L1271*$H1274</f>
        <v>0</v>
      </c>
      <c r="R1271" s="1475">
        <f>M1271*$H1274</f>
        <v>0</v>
      </c>
      <c r="S1271" s="1475">
        <f>N1271*$H1274</f>
        <v>0</v>
      </c>
      <c r="T1271" s="1475">
        <f>O1271*$H1274</f>
        <v>0</v>
      </c>
      <c r="U1271" s="1475">
        <f>P1271*$H1274</f>
        <v>0</v>
      </c>
      <c r="V1271" s="1527">
        <f t="shared" si="658"/>
        <v>0</v>
      </c>
    </row>
    <row r="1272" spans="1:22" s="39" customFormat="1" ht="24" customHeight="1">
      <c r="A1272" s="1959">
        <v>2</v>
      </c>
      <c r="B1272" s="1860"/>
      <c r="C1272" s="1860"/>
      <c r="D1272" s="1860"/>
      <c r="E1272" s="1839"/>
      <c r="F1272" s="1841"/>
      <c r="G1272" s="1665"/>
      <c r="H1272" s="1601"/>
      <c r="I1272" s="1615"/>
      <c r="J1272" s="40" t="s">
        <v>133</v>
      </c>
      <c r="K1272" s="91"/>
      <c r="L1272" s="364">
        <v>0</v>
      </c>
      <c r="M1272" s="364">
        <v>0</v>
      </c>
      <c r="N1272" s="364">
        <v>0</v>
      </c>
      <c r="O1272" s="364">
        <v>0</v>
      </c>
      <c r="P1272" s="364">
        <v>0</v>
      </c>
      <c r="Q1272" s="1475">
        <f>L1272*$H1274</f>
        <v>0</v>
      </c>
      <c r="R1272" s="1475">
        <f>M1272*$H1274</f>
        <v>0</v>
      </c>
      <c r="S1272" s="1475">
        <f>N1272*$H1274</f>
        <v>0</v>
      </c>
      <c r="T1272" s="1475">
        <f>O1272*$H1274</f>
        <v>0</v>
      </c>
      <c r="U1272" s="1475">
        <f>P1272*$H1274</f>
        <v>0</v>
      </c>
      <c r="V1272" s="1527">
        <f t="shared" si="658"/>
        <v>0</v>
      </c>
    </row>
    <row r="1273" spans="1:22" s="39" customFormat="1" ht="24" customHeight="1">
      <c r="A1273" s="1959">
        <v>2</v>
      </c>
      <c r="B1273" s="1860"/>
      <c r="C1273" s="1860"/>
      <c r="D1273" s="1860"/>
      <c r="E1273" s="1839"/>
      <c r="F1273" s="1841"/>
      <c r="G1273" s="1665"/>
      <c r="H1273" s="1601"/>
      <c r="I1273" s="1615"/>
      <c r="J1273" s="40" t="s">
        <v>81</v>
      </c>
      <c r="K1273" s="91"/>
      <c r="L1273" s="364">
        <v>0</v>
      </c>
      <c r="M1273" s="364">
        <v>0</v>
      </c>
      <c r="N1273" s="364">
        <v>0</v>
      </c>
      <c r="O1273" s="364">
        <v>0</v>
      </c>
      <c r="P1273" s="364">
        <v>0</v>
      </c>
      <c r="Q1273" s="1475">
        <f>L1273*$H1274</f>
        <v>0</v>
      </c>
      <c r="R1273" s="1475">
        <f>M1273*$H1274</f>
        <v>0</v>
      </c>
      <c r="S1273" s="1475">
        <f>N1273*$H1274</f>
        <v>0</v>
      </c>
      <c r="T1273" s="1475">
        <f>O1273*$H1274</f>
        <v>0</v>
      </c>
      <c r="U1273" s="1475">
        <f>P1273*$H1274</f>
        <v>0</v>
      </c>
      <c r="V1273" s="1527">
        <f t="shared" si="658"/>
        <v>0</v>
      </c>
    </row>
    <row r="1274" spans="1:22" s="39" customFormat="1" ht="24" customHeight="1">
      <c r="A1274" s="1959">
        <v>2</v>
      </c>
      <c r="B1274" s="1860"/>
      <c r="C1274" s="1860"/>
      <c r="D1274" s="1860"/>
      <c r="E1274" s="1839"/>
      <c r="F1274" s="1841"/>
      <c r="G1274" s="1665"/>
      <c r="H1274" s="1595">
        <f>'Budget assumption'!$C$4</f>
        <v>2000</v>
      </c>
      <c r="I1274" s="1615"/>
      <c r="J1274" s="40" t="s">
        <v>134</v>
      </c>
      <c r="K1274" s="91"/>
      <c r="L1274" s="364">
        <v>0</v>
      </c>
      <c r="M1274" s="364">
        <v>0</v>
      </c>
      <c r="N1274" s="364">
        <v>0</v>
      </c>
      <c r="O1274" s="364">
        <v>0</v>
      </c>
      <c r="P1274" s="364">
        <v>0</v>
      </c>
      <c r="Q1274" s="1475">
        <f>L1274*$H1274</f>
        <v>0</v>
      </c>
      <c r="R1274" s="1475">
        <f>M1274*$H1274</f>
        <v>0</v>
      </c>
      <c r="S1274" s="1475">
        <f>N1274*$H1274</f>
        <v>0</v>
      </c>
      <c r="T1274" s="1475">
        <f>O1274*$H1274</f>
        <v>0</v>
      </c>
      <c r="U1274" s="1475">
        <f>P1274*$H1274</f>
        <v>0</v>
      </c>
      <c r="V1274" s="1527">
        <f t="shared" si="658"/>
        <v>0</v>
      </c>
    </row>
    <row r="1275" spans="1:22" s="39" customFormat="1" ht="24" customHeight="1">
      <c r="A1275" s="1959">
        <v>2</v>
      </c>
      <c r="B1275" s="1860"/>
      <c r="C1275" s="1860"/>
      <c r="D1275" s="1860"/>
      <c r="E1275" s="1839"/>
      <c r="F1275" s="1841"/>
      <c r="G1275" s="1665"/>
      <c r="H1275" s="1596"/>
      <c r="I1275" s="1615"/>
      <c r="J1275" s="40" t="s">
        <v>82</v>
      </c>
      <c r="K1275" s="91"/>
      <c r="L1275" s="364">
        <v>0</v>
      </c>
      <c r="M1275" s="364">
        <v>20</v>
      </c>
      <c r="N1275" s="364">
        <v>0</v>
      </c>
      <c r="O1275" s="364">
        <v>0</v>
      </c>
      <c r="P1275" s="364">
        <v>0</v>
      </c>
      <c r="Q1275" s="1475">
        <f>L1275*$H1274</f>
        <v>0</v>
      </c>
      <c r="R1275" s="1475">
        <f>M1275*$H1274</f>
        <v>40000</v>
      </c>
      <c r="S1275" s="1475">
        <f>N1275*$H1274</f>
        <v>0</v>
      </c>
      <c r="T1275" s="1475">
        <f>O1275*$H1274</f>
        <v>0</v>
      </c>
      <c r="U1275" s="1475">
        <f>P1275*$H1274</f>
        <v>0</v>
      </c>
      <c r="V1275" s="1527">
        <f t="shared" si="658"/>
        <v>40000</v>
      </c>
    </row>
    <row r="1276" spans="1:22" s="39" customFormat="1" ht="24" customHeight="1">
      <c r="A1276" s="1959">
        <v>2</v>
      </c>
      <c r="B1276" s="1860"/>
      <c r="C1276" s="1860"/>
      <c r="D1276" s="1860"/>
      <c r="E1276" s="1839"/>
      <c r="F1276" s="1841"/>
      <c r="G1276" s="1665"/>
      <c r="H1276" s="1596"/>
      <c r="I1276" s="1615"/>
      <c r="J1276" s="40" t="s">
        <v>90</v>
      </c>
      <c r="K1276" s="91"/>
      <c r="L1276" s="364">
        <v>0</v>
      </c>
      <c r="M1276" s="364">
        <v>0</v>
      </c>
      <c r="N1276" s="364">
        <v>0</v>
      </c>
      <c r="O1276" s="364">
        <v>0</v>
      </c>
      <c r="P1276" s="364">
        <v>0</v>
      </c>
      <c r="Q1276" s="1475">
        <f>L1276*$H1274</f>
        <v>0</v>
      </c>
      <c r="R1276" s="1475">
        <f>M1276*$H1274</f>
        <v>0</v>
      </c>
      <c r="S1276" s="1475">
        <f>N1276*$H1274</f>
        <v>0</v>
      </c>
      <c r="T1276" s="1475">
        <f>O1276*$H1274</f>
        <v>0</v>
      </c>
      <c r="U1276" s="1475">
        <f>P1276*$H1274</f>
        <v>0</v>
      </c>
      <c r="V1276" s="1527">
        <f t="shared" si="658"/>
        <v>0</v>
      </c>
    </row>
    <row r="1277" spans="1:22" s="39" customFormat="1" ht="24" customHeight="1">
      <c r="A1277" s="1959">
        <v>2</v>
      </c>
      <c r="B1277" s="1860"/>
      <c r="C1277" s="1860"/>
      <c r="D1277" s="1860"/>
      <c r="E1277" s="1839"/>
      <c r="F1277" s="1841"/>
      <c r="G1277" s="1665"/>
      <c r="H1277" s="1596"/>
      <c r="I1277" s="1615"/>
      <c r="J1277" s="40" t="s">
        <v>83</v>
      </c>
      <c r="K1277" s="91"/>
      <c r="L1277" s="364">
        <v>0</v>
      </c>
      <c r="M1277" s="364">
        <v>0</v>
      </c>
      <c r="N1277" s="364">
        <v>0</v>
      </c>
      <c r="O1277" s="364">
        <v>0</v>
      </c>
      <c r="P1277" s="364">
        <v>0</v>
      </c>
      <c r="Q1277" s="1475">
        <f>L1277*$H1274</f>
        <v>0</v>
      </c>
      <c r="R1277" s="1475">
        <f>M1277*$H1274</f>
        <v>0</v>
      </c>
      <c r="S1277" s="1475">
        <f>N1277*$H1274</f>
        <v>0</v>
      </c>
      <c r="T1277" s="1475">
        <f>O1277*$H1274</f>
        <v>0</v>
      </c>
      <c r="U1277" s="1475">
        <f>P1277*$H1274</f>
        <v>0</v>
      </c>
      <c r="V1277" s="1527">
        <f t="shared" si="658"/>
        <v>0</v>
      </c>
    </row>
    <row r="1278" spans="1:22" s="39" customFormat="1" ht="24" customHeight="1" thickBot="1">
      <c r="A1278" s="1959">
        <v>2</v>
      </c>
      <c r="B1278" s="1860"/>
      <c r="C1278" s="1860"/>
      <c r="D1278" s="1860"/>
      <c r="E1278" s="1839"/>
      <c r="F1278" s="1863"/>
      <c r="G1278" s="1665"/>
      <c r="H1278" s="1596"/>
      <c r="I1278" s="1615"/>
      <c r="J1278" s="40" t="s">
        <v>84</v>
      </c>
      <c r="K1278" s="91"/>
      <c r="L1278" s="364">
        <f>L1269-L1270</f>
        <v>0</v>
      </c>
      <c r="M1278" s="364">
        <f t="shared" ref="M1278:U1278" si="660">M1269-M1270</f>
        <v>0</v>
      </c>
      <c r="N1278" s="364">
        <f t="shared" si="660"/>
        <v>0</v>
      </c>
      <c r="O1278" s="364">
        <f t="shared" si="660"/>
        <v>0</v>
      </c>
      <c r="P1278" s="364">
        <f t="shared" si="660"/>
        <v>0</v>
      </c>
      <c r="Q1278" s="1475">
        <f t="shared" si="660"/>
        <v>0</v>
      </c>
      <c r="R1278" s="1475">
        <f t="shared" si="660"/>
        <v>0</v>
      </c>
      <c r="S1278" s="1475">
        <f t="shared" si="660"/>
        <v>0</v>
      </c>
      <c r="T1278" s="1475">
        <f t="shared" si="660"/>
        <v>0</v>
      </c>
      <c r="U1278" s="1475">
        <f t="shared" si="660"/>
        <v>0</v>
      </c>
      <c r="V1278" s="1527">
        <f t="shared" si="658"/>
        <v>0</v>
      </c>
    </row>
    <row r="1279" spans="1:22" s="45" customFormat="1" ht="24" customHeight="1">
      <c r="A1279" s="1958">
        <v>2</v>
      </c>
      <c r="B1279" s="1873">
        <v>4</v>
      </c>
      <c r="C1279" s="1873">
        <v>2</v>
      </c>
      <c r="D1279" s="1873">
        <v>6</v>
      </c>
      <c r="E1279" s="1861" t="s">
        <v>49</v>
      </c>
      <c r="F1279" s="1840" t="str">
        <f>CONCATENATE(A1279,".",B1279,".",C1279,".",D1279,)</f>
        <v>2.4.2.6</v>
      </c>
      <c r="G1279" s="1677" t="s">
        <v>328</v>
      </c>
      <c r="H1279" s="1679" t="s">
        <v>349</v>
      </c>
      <c r="I1279" s="1673" t="s">
        <v>262</v>
      </c>
      <c r="J1279" s="262" t="s">
        <v>79</v>
      </c>
      <c r="K1279" s="908"/>
      <c r="L1279" s="914">
        <v>0</v>
      </c>
      <c r="M1279" s="914">
        <v>6</v>
      </c>
      <c r="N1279" s="914">
        <v>6</v>
      </c>
      <c r="O1279" s="914">
        <v>6</v>
      </c>
      <c r="P1279" s="914">
        <v>6</v>
      </c>
      <c r="Q1279" s="1484">
        <f>L1279*H1284</f>
        <v>0</v>
      </c>
      <c r="R1279" s="1484">
        <f>M1279*H1284</f>
        <v>120000</v>
      </c>
      <c r="S1279" s="1484">
        <f>N1279*H1284</f>
        <v>120000</v>
      </c>
      <c r="T1279" s="1484">
        <f>O1279*H1284</f>
        <v>120000</v>
      </c>
      <c r="U1279" s="1484">
        <f>P1279*H1284</f>
        <v>120000</v>
      </c>
      <c r="V1279" s="1526">
        <f t="shared" ref="V1279:V1288" si="661">SUM(Q1279:U1279)</f>
        <v>480000</v>
      </c>
    </row>
    <row r="1280" spans="1:22" s="39" customFormat="1" ht="24" customHeight="1">
      <c r="A1280" s="1959">
        <v>2</v>
      </c>
      <c r="B1280" s="1860"/>
      <c r="C1280" s="1860"/>
      <c r="D1280" s="1860"/>
      <c r="E1280" s="1839"/>
      <c r="F1280" s="1841"/>
      <c r="G1280" s="1665"/>
      <c r="H1280" s="1601"/>
      <c r="I1280" s="1615"/>
      <c r="J1280" s="40" t="s">
        <v>80</v>
      </c>
      <c r="K1280" s="91"/>
      <c r="L1280" s="364">
        <f t="shared" ref="L1280:U1280" si="662">SUM(L1281:L1287)</f>
        <v>0</v>
      </c>
      <c r="M1280" s="364">
        <f>SUM(M1281:M1287)</f>
        <v>6</v>
      </c>
      <c r="N1280" s="364">
        <f t="shared" si="662"/>
        <v>6</v>
      </c>
      <c r="O1280" s="364">
        <f t="shared" si="662"/>
        <v>0</v>
      </c>
      <c r="P1280" s="364">
        <f t="shared" si="662"/>
        <v>0</v>
      </c>
      <c r="Q1280" s="1475">
        <f t="shared" si="662"/>
        <v>0</v>
      </c>
      <c r="R1280" s="1475">
        <f t="shared" si="662"/>
        <v>120000</v>
      </c>
      <c r="S1280" s="1475">
        <f t="shared" si="662"/>
        <v>120000</v>
      </c>
      <c r="T1280" s="1475">
        <f t="shared" si="662"/>
        <v>0</v>
      </c>
      <c r="U1280" s="1475">
        <f t="shared" si="662"/>
        <v>0</v>
      </c>
      <c r="V1280" s="1527">
        <f t="shared" si="661"/>
        <v>240000</v>
      </c>
    </row>
    <row r="1281" spans="1:22" s="39" customFormat="1" ht="24" customHeight="1">
      <c r="A1281" s="1959">
        <v>2</v>
      </c>
      <c r="B1281" s="1860"/>
      <c r="C1281" s="1860"/>
      <c r="D1281" s="1860"/>
      <c r="E1281" s="1839"/>
      <c r="F1281" s="1841"/>
      <c r="G1281" s="1665"/>
      <c r="H1281" s="1601"/>
      <c r="I1281" s="1615"/>
      <c r="J1281" s="40" t="s">
        <v>429</v>
      </c>
      <c r="K1281" s="91"/>
      <c r="L1281" s="364">
        <v>0</v>
      </c>
      <c r="M1281" s="364">
        <v>0</v>
      </c>
      <c r="N1281" s="364">
        <v>0</v>
      </c>
      <c r="O1281" s="364">
        <v>0</v>
      </c>
      <c r="P1281" s="364">
        <v>0</v>
      </c>
      <c r="Q1281" s="1475">
        <f>L1281*$H1284</f>
        <v>0</v>
      </c>
      <c r="R1281" s="1475">
        <f>M1281*$H1284</f>
        <v>0</v>
      </c>
      <c r="S1281" s="1475">
        <f>N1281*$H1284</f>
        <v>0</v>
      </c>
      <c r="T1281" s="1475">
        <f>O1281*$H1284</f>
        <v>0</v>
      </c>
      <c r="U1281" s="1475">
        <f>P1281*$H1284</f>
        <v>0</v>
      </c>
      <c r="V1281" s="1527">
        <f t="shared" si="661"/>
        <v>0</v>
      </c>
    </row>
    <row r="1282" spans="1:22" s="39" customFormat="1" ht="24" customHeight="1">
      <c r="A1282" s="1959">
        <v>2</v>
      </c>
      <c r="B1282" s="1860"/>
      <c r="C1282" s="1860"/>
      <c r="D1282" s="1860"/>
      <c r="E1282" s="1839"/>
      <c r="F1282" s="1841"/>
      <c r="G1282" s="1665"/>
      <c r="H1282" s="1601"/>
      <c r="I1282" s="1615"/>
      <c r="J1282" s="40" t="s">
        <v>133</v>
      </c>
      <c r="K1282" s="91"/>
      <c r="L1282" s="364">
        <v>0</v>
      </c>
      <c r="M1282" s="364">
        <v>0</v>
      </c>
      <c r="N1282" s="364">
        <v>0</v>
      </c>
      <c r="O1282" s="364">
        <v>0</v>
      </c>
      <c r="P1282" s="364">
        <v>0</v>
      </c>
      <c r="Q1282" s="1475">
        <f>L1282*$H1284</f>
        <v>0</v>
      </c>
      <c r="R1282" s="1475">
        <f>M1282*$H1284</f>
        <v>0</v>
      </c>
      <c r="S1282" s="1475">
        <f>N1282*$H1284</f>
        <v>0</v>
      </c>
      <c r="T1282" s="1475">
        <f>O1282*$H1284</f>
        <v>0</v>
      </c>
      <c r="U1282" s="1475">
        <f>P1282*$H1284</f>
        <v>0</v>
      </c>
      <c r="V1282" s="1527">
        <f t="shared" si="661"/>
        <v>0</v>
      </c>
    </row>
    <row r="1283" spans="1:22" s="39" customFormat="1" ht="24" customHeight="1">
      <c r="A1283" s="1959">
        <v>2</v>
      </c>
      <c r="B1283" s="1860"/>
      <c r="C1283" s="1860"/>
      <c r="D1283" s="1860"/>
      <c r="E1283" s="1839"/>
      <c r="F1283" s="1841"/>
      <c r="G1283" s="1665"/>
      <c r="H1283" s="1601"/>
      <c r="I1283" s="1615"/>
      <c r="J1283" s="40" t="s">
        <v>81</v>
      </c>
      <c r="K1283" s="91"/>
      <c r="L1283" s="364">
        <v>0</v>
      </c>
      <c r="M1283" s="364">
        <v>0</v>
      </c>
      <c r="N1283" s="364">
        <v>0</v>
      </c>
      <c r="O1283" s="364">
        <v>0</v>
      </c>
      <c r="P1283" s="364">
        <v>0</v>
      </c>
      <c r="Q1283" s="1475">
        <f>L1283*$H1284</f>
        <v>0</v>
      </c>
      <c r="R1283" s="1475">
        <f>M1283*$H1284</f>
        <v>0</v>
      </c>
      <c r="S1283" s="1475">
        <f>N1283*$H1284</f>
        <v>0</v>
      </c>
      <c r="T1283" s="1475">
        <f>O1283*$H1284</f>
        <v>0</v>
      </c>
      <c r="U1283" s="1475">
        <f>P1283*$H1284</f>
        <v>0</v>
      </c>
      <c r="V1283" s="1527">
        <f t="shared" si="661"/>
        <v>0</v>
      </c>
    </row>
    <row r="1284" spans="1:22" s="39" customFormat="1" ht="24" customHeight="1">
      <c r="A1284" s="1959">
        <v>2</v>
      </c>
      <c r="B1284" s="1860"/>
      <c r="C1284" s="1860"/>
      <c r="D1284" s="1860"/>
      <c r="E1284" s="1839"/>
      <c r="F1284" s="1841"/>
      <c r="G1284" s="1665"/>
      <c r="H1284" s="1595">
        <f>'Budget assumption'!$E$295</f>
        <v>20000</v>
      </c>
      <c r="I1284" s="1615"/>
      <c r="J1284" s="40" t="s">
        <v>134</v>
      </c>
      <c r="K1284" s="91"/>
      <c r="L1284" s="364">
        <v>0</v>
      </c>
      <c r="M1284" s="364">
        <v>0</v>
      </c>
      <c r="N1284" s="364">
        <v>0</v>
      </c>
      <c r="O1284" s="364">
        <v>0</v>
      </c>
      <c r="P1284" s="364">
        <v>0</v>
      </c>
      <c r="Q1284" s="1475">
        <f>L1284*$H1284</f>
        <v>0</v>
      </c>
      <c r="R1284" s="1475">
        <f>M1284*$H1284</f>
        <v>0</v>
      </c>
      <c r="S1284" s="1475">
        <f>N1284*$H1284</f>
        <v>0</v>
      </c>
      <c r="T1284" s="1475">
        <f>O1284*$H1284</f>
        <v>0</v>
      </c>
      <c r="U1284" s="1475">
        <f>P1284*$H1284</f>
        <v>0</v>
      </c>
      <c r="V1284" s="1527">
        <f t="shared" si="661"/>
        <v>0</v>
      </c>
    </row>
    <row r="1285" spans="1:22" s="39" customFormat="1" ht="24" customHeight="1">
      <c r="A1285" s="1959">
        <v>2</v>
      </c>
      <c r="B1285" s="1860"/>
      <c r="C1285" s="1860"/>
      <c r="D1285" s="1860"/>
      <c r="E1285" s="1839"/>
      <c r="F1285" s="1841"/>
      <c r="G1285" s="1665"/>
      <c r="H1285" s="1596"/>
      <c r="I1285" s="1615"/>
      <c r="J1285" s="40" t="s">
        <v>82</v>
      </c>
      <c r="K1285" s="91"/>
      <c r="L1285" s="364">
        <v>0</v>
      </c>
      <c r="M1285" s="364">
        <v>5</v>
      </c>
      <c r="N1285" s="364">
        <v>5</v>
      </c>
      <c r="O1285" s="364">
        <v>0</v>
      </c>
      <c r="P1285" s="364">
        <v>0</v>
      </c>
      <c r="Q1285" s="1475">
        <f>L1285*$H1284</f>
        <v>0</v>
      </c>
      <c r="R1285" s="1475">
        <f>M1285*$H1284</f>
        <v>100000</v>
      </c>
      <c r="S1285" s="1475">
        <f>N1285*$H1284</f>
        <v>100000</v>
      </c>
      <c r="T1285" s="1475">
        <f>O1285*$H1284</f>
        <v>0</v>
      </c>
      <c r="U1285" s="1475">
        <f>P1285*$H1284</f>
        <v>0</v>
      </c>
      <c r="V1285" s="1527">
        <f t="shared" si="661"/>
        <v>200000</v>
      </c>
    </row>
    <row r="1286" spans="1:22" s="39" customFormat="1" ht="24" customHeight="1">
      <c r="A1286" s="1959">
        <v>2</v>
      </c>
      <c r="B1286" s="1860"/>
      <c r="C1286" s="1860"/>
      <c r="D1286" s="1860"/>
      <c r="E1286" s="1839"/>
      <c r="F1286" s="1841"/>
      <c r="G1286" s="1665"/>
      <c r="H1286" s="1596"/>
      <c r="I1286" s="1615"/>
      <c r="J1286" s="40" t="s">
        <v>90</v>
      </c>
      <c r="K1286" s="91"/>
      <c r="L1286" s="364">
        <v>0</v>
      </c>
      <c r="M1286" s="364">
        <v>1</v>
      </c>
      <c r="N1286" s="364">
        <v>1</v>
      </c>
      <c r="O1286" s="364">
        <v>0</v>
      </c>
      <c r="P1286" s="364">
        <v>0</v>
      </c>
      <c r="Q1286" s="1475">
        <f>L1286*$H1284</f>
        <v>0</v>
      </c>
      <c r="R1286" s="1475">
        <f>M1286*$H1284</f>
        <v>20000</v>
      </c>
      <c r="S1286" s="1475">
        <f>N1286*$H1284</f>
        <v>20000</v>
      </c>
      <c r="T1286" s="1475">
        <f>O1286*$H1284</f>
        <v>0</v>
      </c>
      <c r="U1286" s="1475">
        <f>P1286*$H1284</f>
        <v>0</v>
      </c>
      <c r="V1286" s="1527">
        <f t="shared" si="661"/>
        <v>40000</v>
      </c>
    </row>
    <row r="1287" spans="1:22" s="39" customFormat="1" ht="24" customHeight="1">
      <c r="A1287" s="1959">
        <v>2</v>
      </c>
      <c r="B1287" s="1860"/>
      <c r="C1287" s="1860"/>
      <c r="D1287" s="1860"/>
      <c r="E1287" s="1839"/>
      <c r="F1287" s="1841"/>
      <c r="G1287" s="1665"/>
      <c r="H1287" s="1596"/>
      <c r="I1287" s="1615"/>
      <c r="J1287" s="40" t="s">
        <v>83</v>
      </c>
      <c r="K1287" s="91"/>
      <c r="L1287" s="364">
        <v>0</v>
      </c>
      <c r="M1287" s="364">
        <v>0</v>
      </c>
      <c r="N1287" s="364">
        <v>0</v>
      </c>
      <c r="O1287" s="364">
        <v>0</v>
      </c>
      <c r="P1287" s="364">
        <v>0</v>
      </c>
      <c r="Q1287" s="1475">
        <f>L1287*$H1284</f>
        <v>0</v>
      </c>
      <c r="R1287" s="1475">
        <f>M1287*$H1284</f>
        <v>0</v>
      </c>
      <c r="S1287" s="1475">
        <f>N1287*$H1284</f>
        <v>0</v>
      </c>
      <c r="T1287" s="1475">
        <f>O1287*$H1284</f>
        <v>0</v>
      </c>
      <c r="U1287" s="1475">
        <f>P1287*$H1284</f>
        <v>0</v>
      </c>
      <c r="V1287" s="1527">
        <f t="shared" si="661"/>
        <v>0</v>
      </c>
    </row>
    <row r="1288" spans="1:22" s="39" customFormat="1" ht="24" customHeight="1" thickBot="1">
      <c r="A1288" s="1960">
        <v>2</v>
      </c>
      <c r="B1288" s="1874"/>
      <c r="C1288" s="1874"/>
      <c r="D1288" s="1874"/>
      <c r="E1288" s="1862"/>
      <c r="F1288" s="1842"/>
      <c r="G1288" s="1678"/>
      <c r="H1288" s="1597"/>
      <c r="I1288" s="1616"/>
      <c r="J1288" s="80" t="s">
        <v>84</v>
      </c>
      <c r="K1288" s="824"/>
      <c r="L1288" s="371">
        <f>L1279-L1280</f>
        <v>0</v>
      </c>
      <c r="M1288" s="371">
        <f t="shared" ref="M1288:U1288" si="663">M1279-M1280</f>
        <v>0</v>
      </c>
      <c r="N1288" s="371">
        <f t="shared" si="663"/>
        <v>0</v>
      </c>
      <c r="O1288" s="371">
        <f t="shared" si="663"/>
        <v>6</v>
      </c>
      <c r="P1288" s="371">
        <f t="shared" si="663"/>
        <v>6</v>
      </c>
      <c r="Q1288" s="1487">
        <f t="shared" si="663"/>
        <v>0</v>
      </c>
      <c r="R1288" s="1487">
        <f t="shared" si="663"/>
        <v>0</v>
      </c>
      <c r="S1288" s="1487">
        <f t="shared" si="663"/>
        <v>0</v>
      </c>
      <c r="T1288" s="1487">
        <f t="shared" si="663"/>
        <v>120000</v>
      </c>
      <c r="U1288" s="1487">
        <f t="shared" si="663"/>
        <v>120000</v>
      </c>
      <c r="V1288" s="1528">
        <f t="shared" si="661"/>
        <v>240000</v>
      </c>
    </row>
    <row r="1289" spans="1:22" s="45" customFormat="1" ht="24" customHeight="1">
      <c r="A1289" s="1959">
        <v>2</v>
      </c>
      <c r="B1289" s="1860">
        <v>4</v>
      </c>
      <c r="C1289" s="1860">
        <v>2</v>
      </c>
      <c r="D1289" s="1860">
        <v>7</v>
      </c>
      <c r="E1289" s="1839" t="s">
        <v>49</v>
      </c>
      <c r="F1289" s="1854" t="str">
        <f>CONCATENATE(A1289,".",B1289,".",C1289,".",D1289,)</f>
        <v>2.4.2.7</v>
      </c>
      <c r="G1289" s="1780" t="s">
        <v>340</v>
      </c>
      <c r="H1289" s="1628" t="s">
        <v>247</v>
      </c>
      <c r="I1289" s="1615" t="s">
        <v>767</v>
      </c>
      <c r="J1289" s="815" t="s">
        <v>79</v>
      </c>
      <c r="K1289" s="898"/>
      <c r="L1289" s="923">
        <v>0</v>
      </c>
      <c r="M1289" s="923">
        <v>6</v>
      </c>
      <c r="N1289" s="923">
        <v>6</v>
      </c>
      <c r="O1289" s="923">
        <v>6</v>
      </c>
      <c r="P1289" s="923">
        <v>6</v>
      </c>
      <c r="Q1289" s="1489">
        <f>L1289*H1294</f>
        <v>0</v>
      </c>
      <c r="R1289" s="1489">
        <f>M1289*H1294</f>
        <v>73080</v>
      </c>
      <c r="S1289" s="1489">
        <f>N1289*H1294</f>
        <v>73080</v>
      </c>
      <c r="T1289" s="1489">
        <f>O1289*H1294</f>
        <v>73080</v>
      </c>
      <c r="U1289" s="1489">
        <f>P1289*H1294</f>
        <v>73080</v>
      </c>
      <c r="V1289" s="1533">
        <f t="shared" ref="V1289:V1298" si="664">SUM(Q1289:U1289)</f>
        <v>292320</v>
      </c>
    </row>
    <row r="1290" spans="1:22" s="39" customFormat="1" ht="24" customHeight="1">
      <c r="A1290" s="1959">
        <v>2</v>
      </c>
      <c r="B1290" s="1860"/>
      <c r="C1290" s="1860"/>
      <c r="D1290" s="1860"/>
      <c r="E1290" s="1839"/>
      <c r="F1290" s="1841"/>
      <c r="G1290" s="1780"/>
      <c r="H1290" s="1601"/>
      <c r="I1290" s="1615"/>
      <c r="J1290" s="40" t="s">
        <v>80</v>
      </c>
      <c r="K1290" s="91"/>
      <c r="L1290" s="364">
        <f t="shared" ref="L1290:U1290" si="665">SUM(L1291:L1297)</f>
        <v>0</v>
      </c>
      <c r="M1290" s="364">
        <f t="shared" si="665"/>
        <v>6</v>
      </c>
      <c r="N1290" s="364">
        <f t="shared" si="665"/>
        <v>6</v>
      </c>
      <c r="O1290" s="364">
        <f t="shared" si="665"/>
        <v>0</v>
      </c>
      <c r="P1290" s="364">
        <f t="shared" si="665"/>
        <v>0</v>
      </c>
      <c r="Q1290" s="1475">
        <f t="shared" si="665"/>
        <v>0</v>
      </c>
      <c r="R1290" s="1475">
        <f t="shared" si="665"/>
        <v>73080</v>
      </c>
      <c r="S1290" s="1475">
        <f t="shared" si="665"/>
        <v>73080</v>
      </c>
      <c r="T1290" s="1475">
        <f t="shared" si="665"/>
        <v>0</v>
      </c>
      <c r="U1290" s="1475">
        <f t="shared" si="665"/>
        <v>0</v>
      </c>
      <c r="V1290" s="1527">
        <f t="shared" si="664"/>
        <v>146160</v>
      </c>
    </row>
    <row r="1291" spans="1:22" s="39" customFormat="1" ht="24" customHeight="1">
      <c r="A1291" s="1959">
        <v>2</v>
      </c>
      <c r="B1291" s="1860"/>
      <c r="C1291" s="1860"/>
      <c r="D1291" s="1860"/>
      <c r="E1291" s="1839"/>
      <c r="F1291" s="1841"/>
      <c r="G1291" s="1780"/>
      <c r="H1291" s="1601"/>
      <c r="I1291" s="1615"/>
      <c r="J1291" s="40" t="s">
        <v>429</v>
      </c>
      <c r="K1291" s="91"/>
      <c r="L1291" s="364">
        <v>0</v>
      </c>
      <c r="M1291" s="364">
        <v>0</v>
      </c>
      <c r="N1291" s="364">
        <v>0</v>
      </c>
      <c r="O1291" s="364">
        <v>0</v>
      </c>
      <c r="P1291" s="364">
        <v>0</v>
      </c>
      <c r="Q1291" s="1475">
        <f>L1291*$H1294</f>
        <v>0</v>
      </c>
      <c r="R1291" s="1475">
        <f>M1291*$H1294</f>
        <v>0</v>
      </c>
      <c r="S1291" s="1475">
        <f>N1291*$H1294</f>
        <v>0</v>
      </c>
      <c r="T1291" s="1475">
        <f>O1291*$H1294</f>
        <v>0</v>
      </c>
      <c r="U1291" s="1475">
        <f>P1291*$H1294</f>
        <v>0</v>
      </c>
      <c r="V1291" s="1527">
        <f t="shared" si="664"/>
        <v>0</v>
      </c>
    </row>
    <row r="1292" spans="1:22" s="39" customFormat="1" ht="24" customHeight="1">
      <c r="A1292" s="1959">
        <v>2</v>
      </c>
      <c r="B1292" s="1860"/>
      <c r="C1292" s="1860"/>
      <c r="D1292" s="1860"/>
      <c r="E1292" s="1839"/>
      <c r="F1292" s="1841"/>
      <c r="G1292" s="1780"/>
      <c r="H1292" s="1601"/>
      <c r="I1292" s="1615"/>
      <c r="J1292" s="40" t="s">
        <v>133</v>
      </c>
      <c r="K1292" s="91"/>
      <c r="L1292" s="364">
        <v>0</v>
      </c>
      <c r="M1292" s="364">
        <v>0</v>
      </c>
      <c r="N1292" s="364">
        <v>0</v>
      </c>
      <c r="O1292" s="364">
        <v>0</v>
      </c>
      <c r="P1292" s="364">
        <v>0</v>
      </c>
      <c r="Q1292" s="1475">
        <f>L1292*$H1294</f>
        <v>0</v>
      </c>
      <c r="R1292" s="1475">
        <f>M1292*$H1294</f>
        <v>0</v>
      </c>
      <c r="S1292" s="1475">
        <f>N1292*$H1294</f>
        <v>0</v>
      </c>
      <c r="T1292" s="1475">
        <f>O1292*$H1294</f>
        <v>0</v>
      </c>
      <c r="U1292" s="1475">
        <f>P1292*$H1294</f>
        <v>0</v>
      </c>
      <c r="V1292" s="1527">
        <f t="shared" si="664"/>
        <v>0</v>
      </c>
    </row>
    <row r="1293" spans="1:22" s="39" customFormat="1" ht="24" customHeight="1">
      <c r="A1293" s="1959">
        <v>2</v>
      </c>
      <c r="B1293" s="1860"/>
      <c r="C1293" s="1860"/>
      <c r="D1293" s="1860"/>
      <c r="E1293" s="1839"/>
      <c r="F1293" s="1841"/>
      <c r="G1293" s="1780"/>
      <c r="H1293" s="1601"/>
      <c r="I1293" s="1615"/>
      <c r="J1293" s="40" t="s">
        <v>81</v>
      </c>
      <c r="K1293" s="91"/>
      <c r="L1293" s="364">
        <v>0</v>
      </c>
      <c r="M1293" s="364">
        <v>0</v>
      </c>
      <c r="N1293" s="364">
        <v>0</v>
      </c>
      <c r="O1293" s="364">
        <v>0</v>
      </c>
      <c r="P1293" s="364">
        <v>0</v>
      </c>
      <c r="Q1293" s="1475">
        <f>L1293*$H1294</f>
        <v>0</v>
      </c>
      <c r="R1293" s="1475">
        <f>M1293*$H1294</f>
        <v>0</v>
      </c>
      <c r="S1293" s="1475">
        <f>N1293*$H1294</f>
        <v>0</v>
      </c>
      <c r="T1293" s="1475">
        <f>O1293*$H1294</f>
        <v>0</v>
      </c>
      <c r="U1293" s="1475">
        <f>P1293*$H1294</f>
        <v>0</v>
      </c>
      <c r="V1293" s="1527">
        <f t="shared" si="664"/>
        <v>0</v>
      </c>
    </row>
    <row r="1294" spans="1:22" s="39" customFormat="1" ht="24" customHeight="1">
      <c r="A1294" s="1959">
        <v>2</v>
      </c>
      <c r="B1294" s="1860"/>
      <c r="C1294" s="1860"/>
      <c r="D1294" s="1860"/>
      <c r="E1294" s="1839"/>
      <c r="F1294" s="1841"/>
      <c r="G1294" s="1780"/>
      <c r="H1294" s="1667">
        <f>'Budget assumption'!$G$15</f>
        <v>12180</v>
      </c>
      <c r="I1294" s="1615"/>
      <c r="J1294" s="40" t="s">
        <v>134</v>
      </c>
      <c r="K1294" s="91"/>
      <c r="L1294" s="364">
        <v>0</v>
      </c>
      <c r="M1294" s="364">
        <v>0</v>
      </c>
      <c r="N1294" s="364">
        <v>0</v>
      </c>
      <c r="O1294" s="364">
        <v>0</v>
      </c>
      <c r="P1294" s="364">
        <v>0</v>
      </c>
      <c r="Q1294" s="1475">
        <f>L1294*$H1294</f>
        <v>0</v>
      </c>
      <c r="R1294" s="1475">
        <f>M1294*$H1294</f>
        <v>0</v>
      </c>
      <c r="S1294" s="1475">
        <f>N1294*$H1294</f>
        <v>0</v>
      </c>
      <c r="T1294" s="1475">
        <f>O1294*$H1294</f>
        <v>0</v>
      </c>
      <c r="U1294" s="1475">
        <f>P1294*$H1294</f>
        <v>0</v>
      </c>
      <c r="V1294" s="1527">
        <f t="shared" si="664"/>
        <v>0</v>
      </c>
    </row>
    <row r="1295" spans="1:22" s="39" customFormat="1" ht="24" customHeight="1">
      <c r="A1295" s="1959">
        <v>2</v>
      </c>
      <c r="B1295" s="1860"/>
      <c r="C1295" s="1860"/>
      <c r="D1295" s="1860"/>
      <c r="E1295" s="1839"/>
      <c r="F1295" s="1841"/>
      <c r="G1295" s="1780"/>
      <c r="H1295" s="1668"/>
      <c r="I1295" s="1615"/>
      <c r="J1295" s="40" t="s">
        <v>82</v>
      </c>
      <c r="K1295" s="91"/>
      <c r="L1295" s="364">
        <v>0</v>
      </c>
      <c r="M1295" s="364">
        <v>6</v>
      </c>
      <c r="N1295" s="364">
        <v>6</v>
      </c>
      <c r="O1295" s="364">
        <v>0</v>
      </c>
      <c r="P1295" s="364">
        <v>0</v>
      </c>
      <c r="Q1295" s="1475">
        <f>L1295*$H1294</f>
        <v>0</v>
      </c>
      <c r="R1295" s="1475">
        <f>M1295*$H1294</f>
        <v>73080</v>
      </c>
      <c r="S1295" s="1475">
        <f>N1295*$H1294</f>
        <v>73080</v>
      </c>
      <c r="T1295" s="1475">
        <f>O1295*$H1294</f>
        <v>0</v>
      </c>
      <c r="U1295" s="1475">
        <f>P1295*$H1294</f>
        <v>0</v>
      </c>
      <c r="V1295" s="1527">
        <f t="shared" si="664"/>
        <v>146160</v>
      </c>
    </row>
    <row r="1296" spans="1:22" s="39" customFormat="1" ht="24" customHeight="1">
      <c r="A1296" s="1959">
        <v>2</v>
      </c>
      <c r="B1296" s="1860"/>
      <c r="C1296" s="1860"/>
      <c r="D1296" s="1860"/>
      <c r="E1296" s="1839"/>
      <c r="F1296" s="1841"/>
      <c r="G1296" s="1780"/>
      <c r="H1296" s="1668"/>
      <c r="I1296" s="1615"/>
      <c r="J1296" s="40" t="s">
        <v>90</v>
      </c>
      <c r="K1296" s="91"/>
      <c r="L1296" s="364">
        <v>0</v>
      </c>
      <c r="M1296" s="364">
        <v>0</v>
      </c>
      <c r="N1296" s="364">
        <v>0</v>
      </c>
      <c r="O1296" s="364">
        <v>0</v>
      </c>
      <c r="P1296" s="364">
        <v>0</v>
      </c>
      <c r="Q1296" s="1475">
        <f>L1296*$H1294</f>
        <v>0</v>
      </c>
      <c r="R1296" s="1475">
        <f>M1296*$H1294</f>
        <v>0</v>
      </c>
      <c r="S1296" s="1475">
        <f>N1296*$H1294</f>
        <v>0</v>
      </c>
      <c r="T1296" s="1475">
        <f>O1296*$H1294</f>
        <v>0</v>
      </c>
      <c r="U1296" s="1475">
        <f>P1296*$H1294</f>
        <v>0</v>
      </c>
      <c r="V1296" s="1527">
        <f t="shared" si="664"/>
        <v>0</v>
      </c>
    </row>
    <row r="1297" spans="1:22" s="39" customFormat="1" ht="24" customHeight="1">
      <c r="A1297" s="1959">
        <v>2</v>
      </c>
      <c r="B1297" s="1860"/>
      <c r="C1297" s="1860"/>
      <c r="D1297" s="1860"/>
      <c r="E1297" s="1839"/>
      <c r="F1297" s="1841"/>
      <c r="G1297" s="1780"/>
      <c r="H1297" s="1668"/>
      <c r="I1297" s="1615"/>
      <c r="J1297" s="40" t="s">
        <v>83</v>
      </c>
      <c r="K1297" s="91"/>
      <c r="L1297" s="364">
        <v>0</v>
      </c>
      <c r="M1297" s="364">
        <v>0</v>
      </c>
      <c r="N1297" s="364">
        <v>0</v>
      </c>
      <c r="O1297" s="364">
        <v>0</v>
      </c>
      <c r="P1297" s="364">
        <v>0</v>
      </c>
      <c r="Q1297" s="1475">
        <f>L1297*$H1294</f>
        <v>0</v>
      </c>
      <c r="R1297" s="1475">
        <f>M1297*$H1294</f>
        <v>0</v>
      </c>
      <c r="S1297" s="1475">
        <f>N1297*$H1294</f>
        <v>0</v>
      </c>
      <c r="T1297" s="1475">
        <f>O1297*$H1294</f>
        <v>0</v>
      </c>
      <c r="U1297" s="1475">
        <f>P1297*$H1294</f>
        <v>0</v>
      </c>
      <c r="V1297" s="1527">
        <f t="shared" si="664"/>
        <v>0</v>
      </c>
    </row>
    <row r="1298" spans="1:22" s="39" customFormat="1" ht="24" customHeight="1" thickBot="1">
      <c r="A1298" s="1960">
        <v>2</v>
      </c>
      <c r="B1298" s="1874"/>
      <c r="C1298" s="1874"/>
      <c r="D1298" s="1874"/>
      <c r="E1298" s="1862"/>
      <c r="F1298" s="1842"/>
      <c r="G1298" s="1781"/>
      <c r="H1298" s="1793"/>
      <c r="I1298" s="1616"/>
      <c r="J1298" s="80" t="s">
        <v>84</v>
      </c>
      <c r="K1298" s="824"/>
      <c r="L1298" s="371">
        <f>L1289-L1290</f>
        <v>0</v>
      </c>
      <c r="M1298" s="371">
        <f t="shared" ref="M1298:U1298" si="666">M1289-M1290</f>
        <v>0</v>
      </c>
      <c r="N1298" s="371">
        <f t="shared" si="666"/>
        <v>0</v>
      </c>
      <c r="O1298" s="371">
        <f t="shared" si="666"/>
        <v>6</v>
      </c>
      <c r="P1298" s="371">
        <f t="shared" si="666"/>
        <v>6</v>
      </c>
      <c r="Q1298" s="1487">
        <f t="shared" si="666"/>
        <v>0</v>
      </c>
      <c r="R1298" s="1487">
        <f t="shared" si="666"/>
        <v>0</v>
      </c>
      <c r="S1298" s="1487">
        <f t="shared" si="666"/>
        <v>0</v>
      </c>
      <c r="T1298" s="1487">
        <f t="shared" si="666"/>
        <v>73080</v>
      </c>
      <c r="U1298" s="1487">
        <f t="shared" si="666"/>
        <v>73080</v>
      </c>
      <c r="V1298" s="1528">
        <f t="shared" si="664"/>
        <v>146160</v>
      </c>
    </row>
    <row r="1299" spans="1:22" s="39" customFormat="1" ht="30" customHeight="1" thickBot="1">
      <c r="A1299" s="825">
        <v>2</v>
      </c>
      <c r="B1299" s="826">
        <v>4</v>
      </c>
      <c r="C1299" s="826">
        <v>3</v>
      </c>
      <c r="D1299" s="826"/>
      <c r="E1299" s="827" t="s">
        <v>13</v>
      </c>
      <c r="F1299" s="977" t="str">
        <f>CONCATENATE(A1299,".",B1299,".",C1299,)</f>
        <v>2.4.3</v>
      </c>
      <c r="G1299" s="1588" t="s">
        <v>313</v>
      </c>
      <c r="H1299" s="1571"/>
      <c r="I1299" s="1571"/>
      <c r="J1299" s="1572"/>
      <c r="K1299" s="831"/>
      <c r="L1299" s="832"/>
      <c r="M1299" s="832"/>
      <c r="N1299" s="832"/>
      <c r="O1299" s="832"/>
      <c r="P1299" s="832"/>
      <c r="Q1299" s="1534">
        <f>Q1301+Q1311+Q1321+Q1331</f>
        <v>72180</v>
      </c>
      <c r="R1299" s="1534">
        <f t="shared" ref="R1299:U1299" si="667">R1301+R1311+R1321+R1331</f>
        <v>52180</v>
      </c>
      <c r="S1299" s="1534">
        <f t="shared" si="667"/>
        <v>20000</v>
      </c>
      <c r="T1299" s="1534">
        <f t="shared" si="667"/>
        <v>0</v>
      </c>
      <c r="U1299" s="1534">
        <f t="shared" si="667"/>
        <v>0</v>
      </c>
      <c r="V1299" s="1535">
        <f t="shared" si="647"/>
        <v>144360</v>
      </c>
    </row>
    <row r="1300" spans="1:22" s="39" customFormat="1" ht="24" customHeight="1">
      <c r="A1300" s="1860">
        <v>2</v>
      </c>
      <c r="B1300" s="1860">
        <v>4</v>
      </c>
      <c r="C1300" s="1860">
        <v>3</v>
      </c>
      <c r="D1300" s="1860">
        <v>1</v>
      </c>
      <c r="E1300" s="1839" t="s">
        <v>15</v>
      </c>
      <c r="F1300" s="1854" t="str">
        <f>CONCATENATE(A1300,".",B1300,".",C1300,".",D1300,)</f>
        <v>2.4.3.1</v>
      </c>
      <c r="G1300" s="1665" t="s">
        <v>314</v>
      </c>
      <c r="H1300" s="1628" t="s">
        <v>195</v>
      </c>
      <c r="I1300" s="1615" t="s">
        <v>1165</v>
      </c>
      <c r="J1300" s="815" t="s">
        <v>79</v>
      </c>
      <c r="K1300" s="898"/>
      <c r="L1300" s="923">
        <v>0</v>
      </c>
      <c r="M1300" s="923">
        <v>20</v>
      </c>
      <c r="N1300" s="923">
        <v>10</v>
      </c>
      <c r="O1300" s="923">
        <v>0</v>
      </c>
      <c r="P1300" s="923">
        <v>0</v>
      </c>
      <c r="Q1300" s="1489">
        <f>L1300*H1305</f>
        <v>0</v>
      </c>
      <c r="R1300" s="1489">
        <f>M1300*H1305</f>
        <v>40000</v>
      </c>
      <c r="S1300" s="1489">
        <f>N1300*H1305</f>
        <v>20000</v>
      </c>
      <c r="T1300" s="1489">
        <f>O1300*H1305</f>
        <v>0</v>
      </c>
      <c r="U1300" s="1489">
        <f>P1300*H1305</f>
        <v>0</v>
      </c>
      <c r="V1300" s="1489">
        <f t="shared" ref="V1300:V1319" si="668">SUM(Q1300:U1300)</f>
        <v>60000</v>
      </c>
    </row>
    <row r="1301" spans="1:22" s="39" customFormat="1" ht="24" customHeight="1">
      <c r="A1301" s="1860">
        <v>2</v>
      </c>
      <c r="B1301" s="1860"/>
      <c r="C1301" s="1860"/>
      <c r="D1301" s="1860"/>
      <c r="E1301" s="1839"/>
      <c r="F1301" s="1841"/>
      <c r="G1301" s="1665"/>
      <c r="H1301" s="1601"/>
      <c r="I1301" s="1615"/>
      <c r="J1301" s="40" t="s">
        <v>80</v>
      </c>
      <c r="K1301" s="91"/>
      <c r="L1301" s="364">
        <f t="shared" ref="L1301:U1301" si="669">SUM(L1302:L1308)</f>
        <v>0</v>
      </c>
      <c r="M1301" s="364">
        <f t="shared" si="669"/>
        <v>20</v>
      </c>
      <c r="N1301" s="364">
        <f t="shared" si="669"/>
        <v>10</v>
      </c>
      <c r="O1301" s="364">
        <f t="shared" si="669"/>
        <v>0</v>
      </c>
      <c r="P1301" s="364">
        <f t="shared" si="669"/>
        <v>0</v>
      </c>
      <c r="Q1301" s="1475">
        <f t="shared" si="669"/>
        <v>0</v>
      </c>
      <c r="R1301" s="1475">
        <f t="shared" si="669"/>
        <v>40000</v>
      </c>
      <c r="S1301" s="1475">
        <f t="shared" si="669"/>
        <v>20000</v>
      </c>
      <c r="T1301" s="1475">
        <f t="shared" si="669"/>
        <v>0</v>
      </c>
      <c r="U1301" s="1475">
        <f t="shared" si="669"/>
        <v>0</v>
      </c>
      <c r="V1301" s="1475">
        <f t="shared" si="668"/>
        <v>60000</v>
      </c>
    </row>
    <row r="1302" spans="1:22" s="39" customFormat="1" ht="24" customHeight="1">
      <c r="A1302" s="1860">
        <v>2</v>
      </c>
      <c r="B1302" s="1860"/>
      <c r="C1302" s="1860"/>
      <c r="D1302" s="1860"/>
      <c r="E1302" s="1839"/>
      <c r="F1302" s="1841"/>
      <c r="G1302" s="1665"/>
      <c r="H1302" s="1601"/>
      <c r="I1302" s="1615"/>
      <c r="J1302" s="40" t="s">
        <v>429</v>
      </c>
      <c r="K1302" s="91"/>
      <c r="L1302" s="364">
        <v>0</v>
      </c>
      <c r="M1302" s="364">
        <v>0</v>
      </c>
      <c r="N1302" s="364">
        <v>0</v>
      </c>
      <c r="O1302" s="364">
        <v>0</v>
      </c>
      <c r="P1302" s="364">
        <v>0</v>
      </c>
      <c r="Q1302" s="1475">
        <f>L1302*$H1305</f>
        <v>0</v>
      </c>
      <c r="R1302" s="1475">
        <f>M1302*$H1305</f>
        <v>0</v>
      </c>
      <c r="S1302" s="1475">
        <f>N1302*$H1305</f>
        <v>0</v>
      </c>
      <c r="T1302" s="1475">
        <f>O1302*$H1305</f>
        <v>0</v>
      </c>
      <c r="U1302" s="1475">
        <f>P1302*$H1305</f>
        <v>0</v>
      </c>
      <c r="V1302" s="1475">
        <f t="shared" si="668"/>
        <v>0</v>
      </c>
    </row>
    <row r="1303" spans="1:22" s="39" customFormat="1" ht="24" customHeight="1">
      <c r="A1303" s="1860">
        <v>2</v>
      </c>
      <c r="B1303" s="1860"/>
      <c r="C1303" s="1860"/>
      <c r="D1303" s="1860"/>
      <c r="E1303" s="1839"/>
      <c r="F1303" s="1841"/>
      <c r="G1303" s="1665"/>
      <c r="H1303" s="1601"/>
      <c r="I1303" s="1615"/>
      <c r="J1303" s="40" t="s">
        <v>133</v>
      </c>
      <c r="K1303" s="91"/>
      <c r="L1303" s="364">
        <v>0</v>
      </c>
      <c r="M1303" s="364">
        <v>0</v>
      </c>
      <c r="N1303" s="364">
        <v>0</v>
      </c>
      <c r="O1303" s="364">
        <v>0</v>
      </c>
      <c r="P1303" s="364">
        <v>0</v>
      </c>
      <c r="Q1303" s="1475">
        <f>L1303*$H1305</f>
        <v>0</v>
      </c>
      <c r="R1303" s="1475">
        <f>M1303*$H1305</f>
        <v>0</v>
      </c>
      <c r="S1303" s="1475">
        <f>N1303*$H1305</f>
        <v>0</v>
      </c>
      <c r="T1303" s="1475">
        <f>O1303*$H1305</f>
        <v>0</v>
      </c>
      <c r="U1303" s="1475">
        <f>P1303*$H1305</f>
        <v>0</v>
      </c>
      <c r="V1303" s="1475">
        <f t="shared" si="668"/>
        <v>0</v>
      </c>
    </row>
    <row r="1304" spans="1:22" s="39" customFormat="1" ht="24" customHeight="1">
      <c r="A1304" s="1860">
        <v>2</v>
      </c>
      <c r="B1304" s="1860"/>
      <c r="C1304" s="1860"/>
      <c r="D1304" s="1860"/>
      <c r="E1304" s="1839"/>
      <c r="F1304" s="1841"/>
      <c r="G1304" s="1665"/>
      <c r="H1304" s="1601"/>
      <c r="I1304" s="1615"/>
      <c r="J1304" s="40" t="s">
        <v>81</v>
      </c>
      <c r="K1304" s="91"/>
      <c r="L1304" s="364">
        <v>0</v>
      </c>
      <c r="M1304" s="364">
        <v>0</v>
      </c>
      <c r="N1304" s="364">
        <v>0</v>
      </c>
      <c r="O1304" s="364">
        <v>0</v>
      </c>
      <c r="P1304" s="364">
        <v>0</v>
      </c>
      <c r="Q1304" s="1475">
        <f>L1304*$H1305</f>
        <v>0</v>
      </c>
      <c r="R1304" s="1475">
        <f>M1304*$H1305</f>
        <v>0</v>
      </c>
      <c r="S1304" s="1475">
        <f>N1304*$H1305</f>
        <v>0</v>
      </c>
      <c r="T1304" s="1475">
        <f>O1304*$H1305</f>
        <v>0</v>
      </c>
      <c r="U1304" s="1475">
        <f>P1304*$H1305</f>
        <v>0</v>
      </c>
      <c r="V1304" s="1475">
        <f t="shared" si="668"/>
        <v>0</v>
      </c>
    </row>
    <row r="1305" spans="1:22" s="39" customFormat="1" ht="24" customHeight="1">
      <c r="A1305" s="1860">
        <v>2</v>
      </c>
      <c r="B1305" s="1860"/>
      <c r="C1305" s="1860"/>
      <c r="D1305" s="1860"/>
      <c r="E1305" s="1839"/>
      <c r="F1305" s="1841"/>
      <c r="G1305" s="1665"/>
      <c r="H1305" s="1667">
        <f>'Budget assumption'!$C$4</f>
        <v>2000</v>
      </c>
      <c r="I1305" s="1615"/>
      <c r="J1305" s="40" t="s">
        <v>134</v>
      </c>
      <c r="K1305" s="91"/>
      <c r="L1305" s="364">
        <v>0</v>
      </c>
      <c r="M1305" s="364">
        <v>0</v>
      </c>
      <c r="N1305" s="364">
        <v>0</v>
      </c>
      <c r="O1305" s="364">
        <v>0</v>
      </c>
      <c r="P1305" s="364">
        <v>0</v>
      </c>
      <c r="Q1305" s="1475">
        <f>L1305*$H1305</f>
        <v>0</v>
      </c>
      <c r="R1305" s="1475">
        <f>M1305*$H1305</f>
        <v>0</v>
      </c>
      <c r="S1305" s="1475">
        <f>N1305*$H1305</f>
        <v>0</v>
      </c>
      <c r="T1305" s="1475">
        <f>O1305*$H1305</f>
        <v>0</v>
      </c>
      <c r="U1305" s="1475">
        <f>P1305*$H1305</f>
        <v>0</v>
      </c>
      <c r="V1305" s="1475">
        <f t="shared" si="668"/>
        <v>0</v>
      </c>
    </row>
    <row r="1306" spans="1:22" s="39" customFormat="1" ht="24" customHeight="1">
      <c r="A1306" s="1860">
        <v>2</v>
      </c>
      <c r="B1306" s="1860"/>
      <c r="C1306" s="1860"/>
      <c r="D1306" s="1860"/>
      <c r="E1306" s="1839"/>
      <c r="F1306" s="1841"/>
      <c r="G1306" s="1665"/>
      <c r="H1306" s="1668"/>
      <c r="I1306" s="1615"/>
      <c r="J1306" s="40" t="s">
        <v>82</v>
      </c>
      <c r="K1306" s="91"/>
      <c r="L1306" s="364">
        <v>0</v>
      </c>
      <c r="M1306" s="364">
        <v>20</v>
      </c>
      <c r="N1306" s="364">
        <v>10</v>
      </c>
      <c r="O1306" s="364">
        <v>0</v>
      </c>
      <c r="P1306" s="364">
        <v>0</v>
      </c>
      <c r="Q1306" s="1475">
        <f>L1306*$H1305</f>
        <v>0</v>
      </c>
      <c r="R1306" s="1475">
        <f>M1306*$H1305</f>
        <v>40000</v>
      </c>
      <c r="S1306" s="1475">
        <f>N1306*$H1305</f>
        <v>20000</v>
      </c>
      <c r="T1306" s="1475">
        <f>O1306*$H1305</f>
        <v>0</v>
      </c>
      <c r="U1306" s="1475">
        <f>P1306*$H1305</f>
        <v>0</v>
      </c>
      <c r="V1306" s="1475">
        <f t="shared" si="668"/>
        <v>60000</v>
      </c>
    </row>
    <row r="1307" spans="1:22" s="39" customFormat="1" ht="24" customHeight="1">
      <c r="A1307" s="1860">
        <v>2</v>
      </c>
      <c r="B1307" s="1860"/>
      <c r="C1307" s="1860"/>
      <c r="D1307" s="1860"/>
      <c r="E1307" s="1839"/>
      <c r="F1307" s="1841"/>
      <c r="G1307" s="1665"/>
      <c r="H1307" s="1668"/>
      <c r="I1307" s="1615"/>
      <c r="J1307" s="40" t="s">
        <v>90</v>
      </c>
      <c r="K1307" s="91"/>
      <c r="L1307" s="364">
        <v>0</v>
      </c>
      <c r="M1307" s="364">
        <v>0</v>
      </c>
      <c r="N1307" s="364">
        <v>0</v>
      </c>
      <c r="O1307" s="364">
        <v>0</v>
      </c>
      <c r="P1307" s="364">
        <v>0</v>
      </c>
      <c r="Q1307" s="1475">
        <f>L1307*$H1305</f>
        <v>0</v>
      </c>
      <c r="R1307" s="1475">
        <f>M1307*$H1305</f>
        <v>0</v>
      </c>
      <c r="S1307" s="1475">
        <f>N1307*$H1305</f>
        <v>0</v>
      </c>
      <c r="T1307" s="1475">
        <f>O1307*$H1305</f>
        <v>0</v>
      </c>
      <c r="U1307" s="1475">
        <f>P1307*$H1305</f>
        <v>0</v>
      </c>
      <c r="V1307" s="1475">
        <f t="shared" si="668"/>
        <v>0</v>
      </c>
    </row>
    <row r="1308" spans="1:22" s="39" customFormat="1" ht="24" customHeight="1">
      <c r="A1308" s="1860">
        <v>2</v>
      </c>
      <c r="B1308" s="1860"/>
      <c r="C1308" s="1860"/>
      <c r="D1308" s="1860"/>
      <c r="E1308" s="1839"/>
      <c r="F1308" s="1841"/>
      <c r="G1308" s="1665"/>
      <c r="H1308" s="1668"/>
      <c r="I1308" s="1615"/>
      <c r="J1308" s="40" t="s">
        <v>83</v>
      </c>
      <c r="K1308" s="91"/>
      <c r="L1308" s="364">
        <v>0</v>
      </c>
      <c r="M1308" s="364">
        <v>0</v>
      </c>
      <c r="N1308" s="364">
        <v>0</v>
      </c>
      <c r="O1308" s="364">
        <v>0</v>
      </c>
      <c r="P1308" s="364">
        <v>0</v>
      </c>
      <c r="Q1308" s="1475">
        <f>L1308*$H1305</f>
        <v>0</v>
      </c>
      <c r="R1308" s="1475">
        <f>M1308*$H1305</f>
        <v>0</v>
      </c>
      <c r="S1308" s="1475">
        <f>N1308*$H1305</f>
        <v>0</v>
      </c>
      <c r="T1308" s="1475">
        <f>O1308*$H1305</f>
        <v>0</v>
      </c>
      <c r="U1308" s="1475">
        <f>P1308*$H1305</f>
        <v>0</v>
      </c>
      <c r="V1308" s="1475">
        <f t="shared" si="668"/>
        <v>0</v>
      </c>
    </row>
    <row r="1309" spans="1:22" s="39" customFormat="1" ht="24" customHeight="1" thickBot="1">
      <c r="A1309" s="1860">
        <v>2</v>
      </c>
      <c r="B1309" s="1860"/>
      <c r="C1309" s="1860"/>
      <c r="D1309" s="1860"/>
      <c r="E1309" s="1839"/>
      <c r="F1309" s="1841"/>
      <c r="G1309" s="1666"/>
      <c r="H1309" s="1669"/>
      <c r="I1309" s="1617"/>
      <c r="J1309" s="40" t="s">
        <v>84</v>
      </c>
      <c r="K1309" s="91"/>
      <c r="L1309" s="364">
        <f>L1300-L1301</f>
        <v>0</v>
      </c>
      <c r="M1309" s="364">
        <f t="shared" ref="M1309:U1309" si="670">M1300-M1301</f>
        <v>0</v>
      </c>
      <c r="N1309" s="364">
        <f t="shared" si="670"/>
        <v>0</v>
      </c>
      <c r="O1309" s="364">
        <f t="shared" si="670"/>
        <v>0</v>
      </c>
      <c r="P1309" s="364">
        <f t="shared" si="670"/>
        <v>0</v>
      </c>
      <c r="Q1309" s="1475">
        <f t="shared" si="670"/>
        <v>0</v>
      </c>
      <c r="R1309" s="1475">
        <f t="shared" si="670"/>
        <v>0</v>
      </c>
      <c r="S1309" s="1475">
        <f t="shared" si="670"/>
        <v>0</v>
      </c>
      <c r="T1309" s="1475">
        <f t="shared" si="670"/>
        <v>0</v>
      </c>
      <c r="U1309" s="1475">
        <f t="shared" si="670"/>
        <v>0</v>
      </c>
      <c r="V1309" s="1475">
        <f t="shared" si="668"/>
        <v>0</v>
      </c>
    </row>
    <row r="1310" spans="1:22" s="39" customFormat="1" ht="24" customHeight="1">
      <c r="A1310" s="1860">
        <v>2</v>
      </c>
      <c r="B1310" s="1860">
        <v>4</v>
      </c>
      <c r="C1310" s="1860">
        <v>3</v>
      </c>
      <c r="D1310" s="1860">
        <v>2</v>
      </c>
      <c r="E1310" s="1839" t="s">
        <v>15</v>
      </c>
      <c r="F1310" s="1841" t="str">
        <f>CONCATENATE(A1310,".",B1310,".",C1310,".",D1310,)</f>
        <v>2.4.3.2</v>
      </c>
      <c r="G1310" s="1664" t="s">
        <v>202</v>
      </c>
      <c r="H1310" s="1601" t="s">
        <v>195</v>
      </c>
      <c r="I1310" s="1614" t="s">
        <v>742</v>
      </c>
      <c r="J1310" s="36" t="s">
        <v>79</v>
      </c>
      <c r="K1310" s="896"/>
      <c r="L1310" s="383">
        <f>2*10</f>
        <v>20</v>
      </c>
      <c r="M1310" s="383">
        <v>0</v>
      </c>
      <c r="N1310" s="383">
        <v>0</v>
      </c>
      <c r="O1310" s="383">
        <v>0</v>
      </c>
      <c r="P1310" s="383">
        <v>0</v>
      </c>
      <c r="Q1310" s="1475">
        <f>L1310*H1315</f>
        <v>40000</v>
      </c>
      <c r="R1310" s="1475">
        <f>M1310*H1315</f>
        <v>0</v>
      </c>
      <c r="S1310" s="1475">
        <f>N1310*H1315</f>
        <v>0</v>
      </c>
      <c r="T1310" s="1475">
        <f>O1310*H1315</f>
        <v>0</v>
      </c>
      <c r="U1310" s="1475">
        <f>P1310*H1315</f>
        <v>0</v>
      </c>
      <c r="V1310" s="1475">
        <f t="shared" si="668"/>
        <v>40000</v>
      </c>
    </row>
    <row r="1311" spans="1:22" s="39" customFormat="1" ht="24" customHeight="1">
      <c r="A1311" s="1860">
        <v>2</v>
      </c>
      <c r="B1311" s="1860"/>
      <c r="C1311" s="1860"/>
      <c r="D1311" s="1860"/>
      <c r="E1311" s="1839"/>
      <c r="F1311" s="1841"/>
      <c r="G1311" s="1665"/>
      <c r="H1311" s="1601"/>
      <c r="I1311" s="1615"/>
      <c r="J1311" s="40" t="s">
        <v>80</v>
      </c>
      <c r="K1311" s="91"/>
      <c r="L1311" s="364">
        <f t="shared" ref="L1311:U1311" si="671">SUM(L1312:L1318)</f>
        <v>20</v>
      </c>
      <c r="M1311" s="364">
        <f t="shared" si="671"/>
        <v>0</v>
      </c>
      <c r="N1311" s="364">
        <f t="shared" si="671"/>
        <v>0</v>
      </c>
      <c r="O1311" s="364">
        <f t="shared" si="671"/>
        <v>0</v>
      </c>
      <c r="P1311" s="364">
        <f t="shared" si="671"/>
        <v>0</v>
      </c>
      <c r="Q1311" s="1475">
        <f t="shared" si="671"/>
        <v>40000</v>
      </c>
      <c r="R1311" s="1475">
        <f t="shared" si="671"/>
        <v>0</v>
      </c>
      <c r="S1311" s="1475">
        <f t="shared" si="671"/>
        <v>0</v>
      </c>
      <c r="T1311" s="1475">
        <f t="shared" si="671"/>
        <v>0</v>
      </c>
      <c r="U1311" s="1475">
        <f t="shared" si="671"/>
        <v>0</v>
      </c>
      <c r="V1311" s="1475">
        <f t="shared" si="668"/>
        <v>40000</v>
      </c>
    </row>
    <row r="1312" spans="1:22" s="39" customFormat="1" ht="24" customHeight="1">
      <c r="A1312" s="1860">
        <v>2</v>
      </c>
      <c r="B1312" s="1860"/>
      <c r="C1312" s="1860"/>
      <c r="D1312" s="1860"/>
      <c r="E1312" s="1839"/>
      <c r="F1312" s="1841"/>
      <c r="G1312" s="1665"/>
      <c r="H1312" s="1601"/>
      <c r="I1312" s="1615"/>
      <c r="J1312" s="40" t="s">
        <v>429</v>
      </c>
      <c r="K1312" s="91"/>
      <c r="L1312" s="364">
        <v>0</v>
      </c>
      <c r="M1312" s="364">
        <v>0</v>
      </c>
      <c r="N1312" s="364">
        <v>0</v>
      </c>
      <c r="O1312" s="364">
        <v>0</v>
      </c>
      <c r="P1312" s="364">
        <v>0</v>
      </c>
      <c r="Q1312" s="1475">
        <f>L1312*$H1315</f>
        <v>0</v>
      </c>
      <c r="R1312" s="1475">
        <f>M1312*$H1315</f>
        <v>0</v>
      </c>
      <c r="S1312" s="1475">
        <f>N1312*$H1315</f>
        <v>0</v>
      </c>
      <c r="T1312" s="1475">
        <f>O1312*$H1315</f>
        <v>0</v>
      </c>
      <c r="U1312" s="1475">
        <f>P1312*$H1315</f>
        <v>0</v>
      </c>
      <c r="V1312" s="1475">
        <f t="shared" si="668"/>
        <v>0</v>
      </c>
    </row>
    <row r="1313" spans="1:22" s="39" customFormat="1" ht="24" customHeight="1">
      <c r="A1313" s="1860">
        <v>2</v>
      </c>
      <c r="B1313" s="1860"/>
      <c r="C1313" s="1860"/>
      <c r="D1313" s="1860"/>
      <c r="E1313" s="1839"/>
      <c r="F1313" s="1841"/>
      <c r="G1313" s="1665"/>
      <c r="H1313" s="1601"/>
      <c r="I1313" s="1615"/>
      <c r="J1313" s="40" t="s">
        <v>133</v>
      </c>
      <c r="K1313" s="91"/>
      <c r="L1313" s="364">
        <v>0</v>
      </c>
      <c r="M1313" s="364">
        <v>0</v>
      </c>
      <c r="N1313" s="364">
        <v>0</v>
      </c>
      <c r="O1313" s="364">
        <v>0</v>
      </c>
      <c r="P1313" s="364">
        <v>0</v>
      </c>
      <c r="Q1313" s="1475">
        <f>L1313*$H1315</f>
        <v>0</v>
      </c>
      <c r="R1313" s="1475">
        <f>M1313*$H1315</f>
        <v>0</v>
      </c>
      <c r="S1313" s="1475">
        <f>N1313*$H1315</f>
        <v>0</v>
      </c>
      <c r="T1313" s="1475">
        <f>O1313*$H1315</f>
        <v>0</v>
      </c>
      <c r="U1313" s="1475">
        <f>P1313*$H1315</f>
        <v>0</v>
      </c>
      <c r="V1313" s="1475">
        <f t="shared" si="668"/>
        <v>0</v>
      </c>
    </row>
    <row r="1314" spans="1:22" s="39" customFormat="1" ht="24" customHeight="1">
      <c r="A1314" s="1860">
        <v>2</v>
      </c>
      <c r="B1314" s="1860"/>
      <c r="C1314" s="1860"/>
      <c r="D1314" s="1860"/>
      <c r="E1314" s="1839"/>
      <c r="F1314" s="1841"/>
      <c r="G1314" s="1665"/>
      <c r="H1314" s="1601"/>
      <c r="I1314" s="1615"/>
      <c r="J1314" s="40" t="s">
        <v>81</v>
      </c>
      <c r="K1314" s="91"/>
      <c r="L1314" s="364">
        <v>0</v>
      </c>
      <c r="M1314" s="364">
        <v>0</v>
      </c>
      <c r="N1314" s="364">
        <v>0</v>
      </c>
      <c r="O1314" s="364">
        <v>0</v>
      </c>
      <c r="P1314" s="364">
        <v>0</v>
      </c>
      <c r="Q1314" s="1475">
        <f>L1314*$H1315</f>
        <v>0</v>
      </c>
      <c r="R1314" s="1475">
        <f>M1314*$H1315</f>
        <v>0</v>
      </c>
      <c r="S1314" s="1475">
        <f>N1314*$H1315</f>
        <v>0</v>
      </c>
      <c r="T1314" s="1475">
        <f>O1314*$H1315</f>
        <v>0</v>
      </c>
      <c r="U1314" s="1475">
        <f>P1314*$H1315</f>
        <v>0</v>
      </c>
      <c r="V1314" s="1475">
        <f t="shared" si="668"/>
        <v>0</v>
      </c>
    </row>
    <row r="1315" spans="1:22" s="39" customFormat="1" ht="24" customHeight="1">
      <c r="A1315" s="1860">
        <v>2</v>
      </c>
      <c r="B1315" s="1860"/>
      <c r="C1315" s="1860"/>
      <c r="D1315" s="1860"/>
      <c r="E1315" s="1839"/>
      <c r="F1315" s="1841"/>
      <c r="G1315" s="1665"/>
      <c r="H1315" s="1667">
        <f>'Budget assumption'!$C$4</f>
        <v>2000</v>
      </c>
      <c r="I1315" s="1615"/>
      <c r="J1315" s="40" t="s">
        <v>134</v>
      </c>
      <c r="K1315" s="91"/>
      <c r="L1315" s="364">
        <v>0</v>
      </c>
      <c r="M1315" s="364">
        <v>0</v>
      </c>
      <c r="N1315" s="364">
        <v>0</v>
      </c>
      <c r="O1315" s="364">
        <v>0</v>
      </c>
      <c r="P1315" s="364">
        <v>0</v>
      </c>
      <c r="Q1315" s="1475">
        <f>L1315*$H1315</f>
        <v>0</v>
      </c>
      <c r="R1315" s="1475">
        <f>M1315*$H1315</f>
        <v>0</v>
      </c>
      <c r="S1315" s="1475">
        <f>N1315*$H1315</f>
        <v>0</v>
      </c>
      <c r="T1315" s="1475">
        <f>O1315*$H1315</f>
        <v>0</v>
      </c>
      <c r="U1315" s="1475">
        <f>P1315*$H1315</f>
        <v>0</v>
      </c>
      <c r="V1315" s="1475">
        <f t="shared" si="668"/>
        <v>0</v>
      </c>
    </row>
    <row r="1316" spans="1:22" s="39" customFormat="1" ht="24" customHeight="1">
      <c r="A1316" s="1860">
        <v>2</v>
      </c>
      <c r="B1316" s="1860"/>
      <c r="C1316" s="1860"/>
      <c r="D1316" s="1860"/>
      <c r="E1316" s="1839"/>
      <c r="F1316" s="1841"/>
      <c r="G1316" s="1665"/>
      <c r="H1316" s="1668"/>
      <c r="I1316" s="1615"/>
      <c r="J1316" s="40" t="s">
        <v>82</v>
      </c>
      <c r="K1316" s="91"/>
      <c r="L1316" s="364">
        <v>20</v>
      </c>
      <c r="M1316" s="364">
        <v>0</v>
      </c>
      <c r="N1316" s="364">
        <v>0</v>
      </c>
      <c r="O1316" s="364">
        <v>0</v>
      </c>
      <c r="P1316" s="364">
        <v>0</v>
      </c>
      <c r="Q1316" s="1475">
        <f>L1316*$H1315</f>
        <v>40000</v>
      </c>
      <c r="R1316" s="1475">
        <f>M1316*$H1315</f>
        <v>0</v>
      </c>
      <c r="S1316" s="1475">
        <f>N1316*$H1315</f>
        <v>0</v>
      </c>
      <c r="T1316" s="1475">
        <f>O1316*$H1315</f>
        <v>0</v>
      </c>
      <c r="U1316" s="1475">
        <f>P1316*$H1315</f>
        <v>0</v>
      </c>
      <c r="V1316" s="1475">
        <f t="shared" si="668"/>
        <v>40000</v>
      </c>
    </row>
    <row r="1317" spans="1:22" s="39" customFormat="1" ht="24" customHeight="1">
      <c r="A1317" s="1860">
        <v>2</v>
      </c>
      <c r="B1317" s="1860"/>
      <c r="C1317" s="1860"/>
      <c r="D1317" s="1860"/>
      <c r="E1317" s="1839"/>
      <c r="F1317" s="1841"/>
      <c r="G1317" s="1665"/>
      <c r="H1317" s="1668"/>
      <c r="I1317" s="1615"/>
      <c r="J1317" s="40" t="s">
        <v>90</v>
      </c>
      <c r="K1317" s="91"/>
      <c r="L1317" s="364">
        <v>0</v>
      </c>
      <c r="M1317" s="364">
        <v>0</v>
      </c>
      <c r="N1317" s="364">
        <v>0</v>
      </c>
      <c r="O1317" s="364">
        <v>0</v>
      </c>
      <c r="P1317" s="364">
        <v>0</v>
      </c>
      <c r="Q1317" s="1475">
        <f>L1317*$H1315</f>
        <v>0</v>
      </c>
      <c r="R1317" s="1475">
        <f>M1317*$H1315</f>
        <v>0</v>
      </c>
      <c r="S1317" s="1475">
        <f>N1317*$H1315</f>
        <v>0</v>
      </c>
      <c r="T1317" s="1475">
        <f>O1317*$H1315</f>
        <v>0</v>
      </c>
      <c r="U1317" s="1475">
        <f>P1317*$H1315</f>
        <v>0</v>
      </c>
      <c r="V1317" s="1475">
        <f t="shared" si="668"/>
        <v>0</v>
      </c>
    </row>
    <row r="1318" spans="1:22" s="39" customFormat="1" ht="24" customHeight="1">
      <c r="A1318" s="1860">
        <v>2</v>
      </c>
      <c r="B1318" s="1860"/>
      <c r="C1318" s="1860"/>
      <c r="D1318" s="1860"/>
      <c r="E1318" s="1839"/>
      <c r="F1318" s="1841"/>
      <c r="G1318" s="1665"/>
      <c r="H1318" s="1668"/>
      <c r="I1318" s="1615"/>
      <c r="J1318" s="40" t="s">
        <v>83</v>
      </c>
      <c r="K1318" s="91"/>
      <c r="L1318" s="364">
        <v>0</v>
      </c>
      <c r="M1318" s="364">
        <v>0</v>
      </c>
      <c r="N1318" s="364">
        <v>0</v>
      </c>
      <c r="O1318" s="364">
        <v>0</v>
      </c>
      <c r="P1318" s="364">
        <v>0</v>
      </c>
      <c r="Q1318" s="1475">
        <f>L1318*$H1315</f>
        <v>0</v>
      </c>
      <c r="R1318" s="1475">
        <f>M1318*$H1315</f>
        <v>0</v>
      </c>
      <c r="S1318" s="1475">
        <f>N1318*$H1315</f>
        <v>0</v>
      </c>
      <c r="T1318" s="1475">
        <f>O1318*$H1315</f>
        <v>0</v>
      </c>
      <c r="U1318" s="1475">
        <f>P1318*$H1315</f>
        <v>0</v>
      </c>
      <c r="V1318" s="1475">
        <f t="shared" si="668"/>
        <v>0</v>
      </c>
    </row>
    <row r="1319" spans="1:22" s="39" customFormat="1" ht="24" customHeight="1" thickBot="1">
      <c r="A1319" s="1860">
        <v>2</v>
      </c>
      <c r="B1319" s="1860"/>
      <c r="C1319" s="1860"/>
      <c r="D1319" s="1860"/>
      <c r="E1319" s="1839"/>
      <c r="F1319" s="1841"/>
      <c r="G1319" s="1666"/>
      <c r="H1319" s="1669"/>
      <c r="I1319" s="1617"/>
      <c r="J1319" s="40" t="s">
        <v>84</v>
      </c>
      <c r="K1319" s="91"/>
      <c r="L1319" s="364">
        <f>L1310-L1311</f>
        <v>0</v>
      </c>
      <c r="M1319" s="364">
        <f t="shared" ref="M1319:U1319" si="672">M1310-M1311</f>
        <v>0</v>
      </c>
      <c r="N1319" s="364">
        <f t="shared" si="672"/>
        <v>0</v>
      </c>
      <c r="O1319" s="364">
        <f t="shared" si="672"/>
        <v>0</v>
      </c>
      <c r="P1319" s="364">
        <f t="shared" si="672"/>
        <v>0</v>
      </c>
      <c r="Q1319" s="1475">
        <f t="shared" si="672"/>
        <v>0</v>
      </c>
      <c r="R1319" s="1475">
        <f t="shared" si="672"/>
        <v>0</v>
      </c>
      <c r="S1319" s="1475">
        <f t="shared" si="672"/>
        <v>0</v>
      </c>
      <c r="T1319" s="1475">
        <f t="shared" si="672"/>
        <v>0</v>
      </c>
      <c r="U1319" s="1475">
        <f t="shared" si="672"/>
        <v>0</v>
      </c>
      <c r="V1319" s="1475">
        <f t="shared" si="668"/>
        <v>0</v>
      </c>
    </row>
    <row r="1320" spans="1:22" s="39" customFormat="1" ht="24" customHeight="1">
      <c r="A1320" s="1860">
        <v>2</v>
      </c>
      <c r="B1320" s="1860">
        <v>4</v>
      </c>
      <c r="C1320" s="1860">
        <v>3</v>
      </c>
      <c r="D1320" s="1860">
        <v>3</v>
      </c>
      <c r="E1320" s="1839" t="s">
        <v>15</v>
      </c>
      <c r="F1320" s="1841" t="str">
        <f>CONCATENATE(A1320,".",B1320,".",C1320,".",D1320,)</f>
        <v>2.4.3.3</v>
      </c>
      <c r="G1320" s="1664" t="s">
        <v>199</v>
      </c>
      <c r="H1320" s="1601" t="s">
        <v>195</v>
      </c>
      <c r="I1320" s="1614" t="s">
        <v>1174</v>
      </c>
      <c r="J1320" s="36" t="s">
        <v>79</v>
      </c>
      <c r="K1320" s="896"/>
      <c r="L1320" s="383">
        <v>10</v>
      </c>
      <c r="M1320" s="383">
        <v>0</v>
      </c>
      <c r="N1320" s="383">
        <v>0</v>
      </c>
      <c r="O1320" s="383">
        <v>0</v>
      </c>
      <c r="P1320" s="383">
        <v>0</v>
      </c>
      <c r="Q1320" s="1475">
        <f>L1320*H1325</f>
        <v>20000</v>
      </c>
      <c r="R1320" s="1475">
        <f>M1320*H1325</f>
        <v>0</v>
      </c>
      <c r="S1320" s="1475">
        <f>N1320*H1325</f>
        <v>0</v>
      </c>
      <c r="T1320" s="1475">
        <f>O1320*H1325</f>
        <v>0</v>
      </c>
      <c r="U1320" s="1475">
        <f>P1320*H1325</f>
        <v>0</v>
      </c>
      <c r="V1320" s="1475">
        <f t="shared" si="647"/>
        <v>20000</v>
      </c>
    </row>
    <row r="1321" spans="1:22" s="39" customFormat="1" ht="24" customHeight="1">
      <c r="A1321" s="1860">
        <v>2</v>
      </c>
      <c r="B1321" s="1860"/>
      <c r="C1321" s="1860"/>
      <c r="D1321" s="1860"/>
      <c r="E1321" s="1839"/>
      <c r="F1321" s="1841"/>
      <c r="G1321" s="1665"/>
      <c r="H1321" s="1601"/>
      <c r="I1321" s="1615"/>
      <c r="J1321" s="40" t="s">
        <v>80</v>
      </c>
      <c r="K1321" s="91"/>
      <c r="L1321" s="364">
        <f t="shared" ref="L1321:U1321" si="673">SUM(L1322:L1328)</f>
        <v>10</v>
      </c>
      <c r="M1321" s="364">
        <f t="shared" si="673"/>
        <v>0</v>
      </c>
      <c r="N1321" s="364">
        <f t="shared" si="673"/>
        <v>0</v>
      </c>
      <c r="O1321" s="364">
        <f t="shared" si="673"/>
        <v>0</v>
      </c>
      <c r="P1321" s="364">
        <f t="shared" si="673"/>
        <v>0</v>
      </c>
      <c r="Q1321" s="1475">
        <f t="shared" si="673"/>
        <v>20000</v>
      </c>
      <c r="R1321" s="1475">
        <f t="shared" si="673"/>
        <v>0</v>
      </c>
      <c r="S1321" s="1475">
        <f t="shared" si="673"/>
        <v>0</v>
      </c>
      <c r="T1321" s="1475">
        <f t="shared" si="673"/>
        <v>0</v>
      </c>
      <c r="U1321" s="1475">
        <f t="shared" si="673"/>
        <v>0</v>
      </c>
      <c r="V1321" s="1475">
        <f t="shared" si="647"/>
        <v>20000</v>
      </c>
    </row>
    <row r="1322" spans="1:22" s="39" customFormat="1" ht="24" customHeight="1">
      <c r="A1322" s="1860">
        <v>2</v>
      </c>
      <c r="B1322" s="1860"/>
      <c r="C1322" s="1860"/>
      <c r="D1322" s="1860"/>
      <c r="E1322" s="1839"/>
      <c r="F1322" s="1841"/>
      <c r="G1322" s="1665"/>
      <c r="H1322" s="1601"/>
      <c r="I1322" s="1615"/>
      <c r="J1322" s="40" t="s">
        <v>429</v>
      </c>
      <c r="K1322" s="91"/>
      <c r="L1322" s="364">
        <v>0</v>
      </c>
      <c r="M1322" s="364">
        <v>0</v>
      </c>
      <c r="N1322" s="364">
        <v>0</v>
      </c>
      <c r="O1322" s="364">
        <v>0</v>
      </c>
      <c r="P1322" s="364">
        <v>0</v>
      </c>
      <c r="Q1322" s="1475">
        <f>L1322*$H1325</f>
        <v>0</v>
      </c>
      <c r="R1322" s="1475">
        <f>M1322*$H1325</f>
        <v>0</v>
      </c>
      <c r="S1322" s="1475">
        <f>N1322*$H1325</f>
        <v>0</v>
      </c>
      <c r="T1322" s="1475">
        <f>O1322*$H1325</f>
        <v>0</v>
      </c>
      <c r="U1322" s="1475">
        <f>P1322*$H1325</f>
        <v>0</v>
      </c>
      <c r="V1322" s="1475">
        <f t="shared" si="647"/>
        <v>0</v>
      </c>
    </row>
    <row r="1323" spans="1:22" s="39" customFormat="1" ht="24" customHeight="1">
      <c r="A1323" s="1860">
        <v>2</v>
      </c>
      <c r="B1323" s="1860"/>
      <c r="C1323" s="1860"/>
      <c r="D1323" s="1860"/>
      <c r="E1323" s="1839"/>
      <c r="F1323" s="1841"/>
      <c r="G1323" s="1665"/>
      <c r="H1323" s="1601"/>
      <c r="I1323" s="1615"/>
      <c r="J1323" s="40" t="s">
        <v>133</v>
      </c>
      <c r="K1323" s="91"/>
      <c r="L1323" s="364">
        <v>0</v>
      </c>
      <c r="M1323" s="364">
        <v>0</v>
      </c>
      <c r="N1323" s="364">
        <v>0</v>
      </c>
      <c r="O1323" s="364">
        <v>0</v>
      </c>
      <c r="P1323" s="364">
        <v>0</v>
      </c>
      <c r="Q1323" s="1475">
        <f>L1323*$H1325</f>
        <v>0</v>
      </c>
      <c r="R1323" s="1475">
        <f>M1323*$H1325</f>
        <v>0</v>
      </c>
      <c r="S1323" s="1475">
        <f>N1323*$H1325</f>
        <v>0</v>
      </c>
      <c r="T1323" s="1475">
        <f>O1323*$H1325</f>
        <v>0</v>
      </c>
      <c r="U1323" s="1475">
        <f>P1323*$H1325</f>
        <v>0</v>
      </c>
      <c r="V1323" s="1475">
        <f t="shared" si="647"/>
        <v>0</v>
      </c>
    </row>
    <row r="1324" spans="1:22" s="39" customFormat="1" ht="24" customHeight="1">
      <c r="A1324" s="1860">
        <v>2</v>
      </c>
      <c r="B1324" s="1860"/>
      <c r="C1324" s="1860"/>
      <c r="D1324" s="1860"/>
      <c r="E1324" s="1839"/>
      <c r="F1324" s="1841"/>
      <c r="G1324" s="1665"/>
      <c r="H1324" s="1601"/>
      <c r="I1324" s="1615"/>
      <c r="J1324" s="40" t="s">
        <v>81</v>
      </c>
      <c r="K1324" s="91"/>
      <c r="L1324" s="364">
        <v>0</v>
      </c>
      <c r="M1324" s="364">
        <v>0</v>
      </c>
      <c r="N1324" s="364">
        <v>0</v>
      </c>
      <c r="O1324" s="364">
        <v>0</v>
      </c>
      <c r="P1324" s="364">
        <v>0</v>
      </c>
      <c r="Q1324" s="1475">
        <f>L1324*$H1325</f>
        <v>0</v>
      </c>
      <c r="R1324" s="1475">
        <f>M1324*$H1325</f>
        <v>0</v>
      </c>
      <c r="S1324" s="1475">
        <f>N1324*$H1325</f>
        <v>0</v>
      </c>
      <c r="T1324" s="1475">
        <f>O1324*$H1325</f>
        <v>0</v>
      </c>
      <c r="U1324" s="1475">
        <f>P1324*$H1325</f>
        <v>0</v>
      </c>
      <c r="V1324" s="1475">
        <f t="shared" si="647"/>
        <v>0</v>
      </c>
    </row>
    <row r="1325" spans="1:22" s="39" customFormat="1" ht="24" customHeight="1">
      <c r="A1325" s="1860">
        <v>2</v>
      </c>
      <c r="B1325" s="1860"/>
      <c r="C1325" s="1860"/>
      <c r="D1325" s="1860"/>
      <c r="E1325" s="1839"/>
      <c r="F1325" s="1841"/>
      <c r="G1325" s="1665"/>
      <c r="H1325" s="1667">
        <f>'Budget assumption'!$C$4</f>
        <v>2000</v>
      </c>
      <c r="I1325" s="1615"/>
      <c r="J1325" s="40" t="s">
        <v>134</v>
      </c>
      <c r="K1325" s="91"/>
      <c r="L1325" s="364">
        <v>0</v>
      </c>
      <c r="M1325" s="364">
        <v>0</v>
      </c>
      <c r="N1325" s="364">
        <v>0</v>
      </c>
      <c r="O1325" s="364">
        <v>0</v>
      </c>
      <c r="P1325" s="364">
        <v>0</v>
      </c>
      <c r="Q1325" s="1475">
        <f>L1325*$H1325</f>
        <v>0</v>
      </c>
      <c r="R1325" s="1475">
        <f>M1325*$H1325</f>
        <v>0</v>
      </c>
      <c r="S1325" s="1475">
        <f>N1325*$H1325</f>
        <v>0</v>
      </c>
      <c r="T1325" s="1475">
        <f>O1325*$H1325</f>
        <v>0</v>
      </c>
      <c r="U1325" s="1475">
        <f>P1325*$H1325</f>
        <v>0</v>
      </c>
      <c r="V1325" s="1475">
        <f t="shared" si="647"/>
        <v>0</v>
      </c>
    </row>
    <row r="1326" spans="1:22" s="39" customFormat="1" ht="24" customHeight="1">
      <c r="A1326" s="1860">
        <v>2</v>
      </c>
      <c r="B1326" s="1860"/>
      <c r="C1326" s="1860"/>
      <c r="D1326" s="1860"/>
      <c r="E1326" s="1839"/>
      <c r="F1326" s="1841"/>
      <c r="G1326" s="1665"/>
      <c r="H1326" s="1668"/>
      <c r="I1326" s="1615"/>
      <c r="J1326" s="40" t="s">
        <v>82</v>
      </c>
      <c r="K1326" s="91"/>
      <c r="L1326" s="364">
        <v>10</v>
      </c>
      <c r="M1326" s="364">
        <v>0</v>
      </c>
      <c r="N1326" s="364">
        <v>0</v>
      </c>
      <c r="O1326" s="364">
        <v>0</v>
      </c>
      <c r="P1326" s="364">
        <v>0</v>
      </c>
      <c r="Q1326" s="1475">
        <f>L1326*$H1325</f>
        <v>20000</v>
      </c>
      <c r="R1326" s="1475">
        <f>M1326*$H1325</f>
        <v>0</v>
      </c>
      <c r="S1326" s="1475">
        <f>N1326*$H1325</f>
        <v>0</v>
      </c>
      <c r="T1326" s="1475">
        <f>O1326*$H1325</f>
        <v>0</v>
      </c>
      <c r="U1326" s="1475">
        <f>P1326*$H1325</f>
        <v>0</v>
      </c>
      <c r="V1326" s="1475">
        <f t="shared" si="647"/>
        <v>20000</v>
      </c>
    </row>
    <row r="1327" spans="1:22" s="39" customFormat="1" ht="24" customHeight="1">
      <c r="A1327" s="1860">
        <v>2</v>
      </c>
      <c r="B1327" s="1860"/>
      <c r="C1327" s="1860"/>
      <c r="D1327" s="1860"/>
      <c r="E1327" s="1839"/>
      <c r="F1327" s="1841"/>
      <c r="G1327" s="1665"/>
      <c r="H1327" s="1668"/>
      <c r="I1327" s="1615"/>
      <c r="J1327" s="40" t="s">
        <v>90</v>
      </c>
      <c r="K1327" s="91"/>
      <c r="L1327" s="364">
        <v>0</v>
      </c>
      <c r="M1327" s="364">
        <v>0</v>
      </c>
      <c r="N1327" s="364">
        <v>0</v>
      </c>
      <c r="O1327" s="364">
        <v>0</v>
      </c>
      <c r="P1327" s="364">
        <v>0</v>
      </c>
      <c r="Q1327" s="1475">
        <f>L1327*$H1325</f>
        <v>0</v>
      </c>
      <c r="R1327" s="1475">
        <f>M1327*$H1325</f>
        <v>0</v>
      </c>
      <c r="S1327" s="1475">
        <f>N1327*$H1325</f>
        <v>0</v>
      </c>
      <c r="T1327" s="1475">
        <f>O1327*$H1325</f>
        <v>0</v>
      </c>
      <c r="U1327" s="1475">
        <f>P1327*$H1325</f>
        <v>0</v>
      </c>
      <c r="V1327" s="1475">
        <f t="shared" si="647"/>
        <v>0</v>
      </c>
    </row>
    <row r="1328" spans="1:22" s="39" customFormat="1" ht="24" customHeight="1">
      <c r="A1328" s="1860">
        <v>2</v>
      </c>
      <c r="B1328" s="1860"/>
      <c r="C1328" s="1860"/>
      <c r="D1328" s="1860"/>
      <c r="E1328" s="1839"/>
      <c r="F1328" s="1841"/>
      <c r="G1328" s="1665"/>
      <c r="H1328" s="1668"/>
      <c r="I1328" s="1615"/>
      <c r="J1328" s="40" t="s">
        <v>83</v>
      </c>
      <c r="K1328" s="91"/>
      <c r="L1328" s="364">
        <v>0</v>
      </c>
      <c r="M1328" s="364">
        <v>0</v>
      </c>
      <c r="N1328" s="364">
        <v>0</v>
      </c>
      <c r="O1328" s="364">
        <v>0</v>
      </c>
      <c r="P1328" s="364">
        <v>0</v>
      </c>
      <c r="Q1328" s="1475">
        <f>L1328*$H1325</f>
        <v>0</v>
      </c>
      <c r="R1328" s="1475">
        <f>M1328*$H1325</f>
        <v>0</v>
      </c>
      <c r="S1328" s="1475">
        <f>N1328*$H1325</f>
        <v>0</v>
      </c>
      <c r="T1328" s="1475">
        <f>O1328*$H1325</f>
        <v>0</v>
      </c>
      <c r="U1328" s="1475">
        <f>P1328*$H1325</f>
        <v>0</v>
      </c>
      <c r="V1328" s="1475">
        <f t="shared" si="647"/>
        <v>0</v>
      </c>
    </row>
    <row r="1329" spans="1:22" s="39" customFormat="1" ht="51" customHeight="1" thickBot="1">
      <c r="A1329" s="1860">
        <v>2</v>
      </c>
      <c r="B1329" s="1860"/>
      <c r="C1329" s="1860"/>
      <c r="D1329" s="1860"/>
      <c r="E1329" s="1839"/>
      <c r="F1329" s="1841"/>
      <c r="G1329" s="1666"/>
      <c r="H1329" s="1669"/>
      <c r="I1329" s="1617"/>
      <c r="J1329" s="40" t="s">
        <v>84</v>
      </c>
      <c r="K1329" s="91"/>
      <c r="L1329" s="364">
        <f>L1320-L1321</f>
        <v>0</v>
      </c>
      <c r="M1329" s="364">
        <f t="shared" ref="M1329:U1329" si="674">M1320-M1321</f>
        <v>0</v>
      </c>
      <c r="N1329" s="364">
        <f t="shared" si="674"/>
        <v>0</v>
      </c>
      <c r="O1329" s="364">
        <f t="shared" si="674"/>
        <v>0</v>
      </c>
      <c r="P1329" s="364">
        <f t="shared" si="674"/>
        <v>0</v>
      </c>
      <c r="Q1329" s="1475">
        <f t="shared" si="674"/>
        <v>0</v>
      </c>
      <c r="R1329" s="1475">
        <f t="shared" si="674"/>
        <v>0</v>
      </c>
      <c r="S1329" s="1475">
        <f t="shared" si="674"/>
        <v>0</v>
      </c>
      <c r="T1329" s="1475">
        <f t="shared" si="674"/>
        <v>0</v>
      </c>
      <c r="U1329" s="1475">
        <f t="shared" si="674"/>
        <v>0</v>
      </c>
      <c r="V1329" s="1475">
        <f t="shared" si="647"/>
        <v>0</v>
      </c>
    </row>
    <row r="1330" spans="1:22" s="45" customFormat="1" ht="24" customHeight="1">
      <c r="A1330" s="1860">
        <v>2</v>
      </c>
      <c r="B1330" s="1860">
        <v>4</v>
      </c>
      <c r="C1330" s="1860">
        <v>3</v>
      </c>
      <c r="D1330" s="1860">
        <v>4</v>
      </c>
      <c r="E1330" s="1839" t="s">
        <v>49</v>
      </c>
      <c r="F1330" s="1841" t="str">
        <f>CONCATENATE(A1330,".",B1330,".",C1330,".",D1330,)</f>
        <v>2.4.3.4</v>
      </c>
      <c r="G1330" s="1664" t="s">
        <v>340</v>
      </c>
      <c r="H1330" s="1601" t="s">
        <v>247</v>
      </c>
      <c r="I1330" s="1614" t="s">
        <v>353</v>
      </c>
      <c r="J1330" s="36" t="s">
        <v>79</v>
      </c>
      <c r="K1330" s="896"/>
      <c r="L1330" s="383">
        <v>1</v>
      </c>
      <c r="M1330" s="383">
        <v>1</v>
      </c>
      <c r="N1330" s="383">
        <v>0</v>
      </c>
      <c r="O1330" s="383">
        <v>0</v>
      </c>
      <c r="P1330" s="383">
        <v>0</v>
      </c>
      <c r="Q1330" s="1475">
        <f>L1330*H1335</f>
        <v>12180</v>
      </c>
      <c r="R1330" s="1475">
        <f>M1330*H1335</f>
        <v>12180</v>
      </c>
      <c r="S1330" s="1475">
        <f>N1330*H1335</f>
        <v>0</v>
      </c>
      <c r="T1330" s="1475">
        <f>O1330*H1335</f>
        <v>0</v>
      </c>
      <c r="U1330" s="1475">
        <f>P1330*H1335</f>
        <v>0</v>
      </c>
      <c r="V1330" s="1475">
        <f t="shared" ref="V1330:V1339" si="675">SUM(Q1330:U1330)</f>
        <v>24360</v>
      </c>
    </row>
    <row r="1331" spans="1:22" s="39" customFormat="1" ht="24" customHeight="1">
      <c r="A1331" s="1860">
        <v>2</v>
      </c>
      <c r="B1331" s="1860"/>
      <c r="C1331" s="1860"/>
      <c r="D1331" s="1860"/>
      <c r="E1331" s="1839"/>
      <c r="F1331" s="1841"/>
      <c r="G1331" s="1665"/>
      <c r="H1331" s="1601"/>
      <c r="I1331" s="1615"/>
      <c r="J1331" s="40" t="s">
        <v>80</v>
      </c>
      <c r="K1331" s="91"/>
      <c r="L1331" s="364">
        <f t="shared" ref="L1331:U1331" si="676">SUM(L1332:L1338)</f>
        <v>1</v>
      </c>
      <c r="M1331" s="364">
        <f t="shared" si="676"/>
        <v>1</v>
      </c>
      <c r="N1331" s="364">
        <f t="shared" si="676"/>
        <v>0</v>
      </c>
      <c r="O1331" s="364">
        <f t="shared" si="676"/>
        <v>0</v>
      </c>
      <c r="P1331" s="364">
        <f t="shared" si="676"/>
        <v>0</v>
      </c>
      <c r="Q1331" s="1475">
        <f t="shared" si="676"/>
        <v>12180</v>
      </c>
      <c r="R1331" s="1475">
        <f t="shared" si="676"/>
        <v>12180</v>
      </c>
      <c r="S1331" s="1475">
        <f t="shared" si="676"/>
        <v>0</v>
      </c>
      <c r="T1331" s="1475">
        <f t="shared" si="676"/>
        <v>0</v>
      </c>
      <c r="U1331" s="1475">
        <f t="shared" si="676"/>
        <v>0</v>
      </c>
      <c r="V1331" s="1475">
        <f t="shared" si="675"/>
        <v>24360</v>
      </c>
    </row>
    <row r="1332" spans="1:22" s="39" customFormat="1" ht="24" customHeight="1">
      <c r="A1332" s="1860">
        <v>2</v>
      </c>
      <c r="B1332" s="1860"/>
      <c r="C1332" s="1860"/>
      <c r="D1332" s="1860"/>
      <c r="E1332" s="1839"/>
      <c r="F1332" s="1841"/>
      <c r="G1332" s="1665"/>
      <c r="H1332" s="1601"/>
      <c r="I1332" s="1615"/>
      <c r="J1332" s="40" t="s">
        <v>429</v>
      </c>
      <c r="K1332" s="91"/>
      <c r="L1332" s="364">
        <v>0</v>
      </c>
      <c r="M1332" s="364">
        <v>0</v>
      </c>
      <c r="N1332" s="364">
        <v>0</v>
      </c>
      <c r="O1332" s="364">
        <v>0</v>
      </c>
      <c r="P1332" s="364">
        <v>0</v>
      </c>
      <c r="Q1332" s="1475">
        <f>L1332*$H1335</f>
        <v>0</v>
      </c>
      <c r="R1332" s="1475">
        <f>M1332*$H1335</f>
        <v>0</v>
      </c>
      <c r="S1332" s="1475">
        <f>N1332*$H1335</f>
        <v>0</v>
      </c>
      <c r="T1332" s="1475">
        <f>O1332*$H1335</f>
        <v>0</v>
      </c>
      <c r="U1332" s="1475">
        <f>P1332*$H1335</f>
        <v>0</v>
      </c>
      <c r="V1332" s="1475">
        <f t="shared" si="675"/>
        <v>0</v>
      </c>
    </row>
    <row r="1333" spans="1:22" s="39" customFormat="1" ht="24" customHeight="1">
      <c r="A1333" s="1860">
        <v>2</v>
      </c>
      <c r="B1333" s="1860"/>
      <c r="C1333" s="1860"/>
      <c r="D1333" s="1860"/>
      <c r="E1333" s="1839"/>
      <c r="F1333" s="1841"/>
      <c r="G1333" s="1665"/>
      <c r="H1333" s="1601"/>
      <c r="I1333" s="1615"/>
      <c r="J1333" s="40" t="s">
        <v>133</v>
      </c>
      <c r="K1333" s="91"/>
      <c r="L1333" s="364">
        <v>0</v>
      </c>
      <c r="M1333" s="364">
        <v>0</v>
      </c>
      <c r="N1333" s="364">
        <v>0</v>
      </c>
      <c r="O1333" s="364">
        <v>0</v>
      </c>
      <c r="P1333" s="364">
        <v>0</v>
      </c>
      <c r="Q1333" s="1475">
        <f>L1333*$H1335</f>
        <v>0</v>
      </c>
      <c r="R1333" s="1475">
        <f>M1333*$H1335</f>
        <v>0</v>
      </c>
      <c r="S1333" s="1475">
        <f>N1333*$H1335</f>
        <v>0</v>
      </c>
      <c r="T1333" s="1475">
        <f>O1333*$H1335</f>
        <v>0</v>
      </c>
      <c r="U1333" s="1475">
        <f>P1333*$H1335</f>
        <v>0</v>
      </c>
      <c r="V1333" s="1475">
        <f t="shared" si="675"/>
        <v>0</v>
      </c>
    </row>
    <row r="1334" spans="1:22" s="39" customFormat="1" ht="24" customHeight="1">
      <c r="A1334" s="1860">
        <v>2</v>
      </c>
      <c r="B1334" s="1860"/>
      <c r="C1334" s="1860"/>
      <c r="D1334" s="1860"/>
      <c r="E1334" s="1839"/>
      <c r="F1334" s="1841"/>
      <c r="G1334" s="1665"/>
      <c r="H1334" s="1601"/>
      <c r="I1334" s="1615"/>
      <c r="J1334" s="40" t="s">
        <v>81</v>
      </c>
      <c r="K1334" s="91"/>
      <c r="L1334" s="364">
        <v>0</v>
      </c>
      <c r="M1334" s="364">
        <v>0</v>
      </c>
      <c r="N1334" s="364">
        <v>0</v>
      </c>
      <c r="O1334" s="364">
        <v>0</v>
      </c>
      <c r="P1334" s="364">
        <v>0</v>
      </c>
      <c r="Q1334" s="1475">
        <f>L1334*$H1335</f>
        <v>0</v>
      </c>
      <c r="R1334" s="1475">
        <f>M1334*$H1335</f>
        <v>0</v>
      </c>
      <c r="S1334" s="1475">
        <f>N1334*$H1335</f>
        <v>0</v>
      </c>
      <c r="T1334" s="1475">
        <f>O1334*$H1335</f>
        <v>0</v>
      </c>
      <c r="U1334" s="1475">
        <f>P1334*$H1335</f>
        <v>0</v>
      </c>
      <c r="V1334" s="1475">
        <f t="shared" si="675"/>
        <v>0</v>
      </c>
    </row>
    <row r="1335" spans="1:22" s="39" customFormat="1" ht="24" customHeight="1">
      <c r="A1335" s="1860">
        <v>2</v>
      </c>
      <c r="B1335" s="1860"/>
      <c r="C1335" s="1860"/>
      <c r="D1335" s="1860"/>
      <c r="E1335" s="1839"/>
      <c r="F1335" s="1841"/>
      <c r="G1335" s="1665"/>
      <c r="H1335" s="1667">
        <f>'Budget assumption'!$G$15</f>
        <v>12180</v>
      </c>
      <c r="I1335" s="1615"/>
      <c r="J1335" s="40" t="s">
        <v>134</v>
      </c>
      <c r="K1335" s="91"/>
      <c r="L1335" s="364">
        <v>0</v>
      </c>
      <c r="M1335" s="364">
        <v>0</v>
      </c>
      <c r="N1335" s="364">
        <v>0</v>
      </c>
      <c r="O1335" s="364">
        <v>0</v>
      </c>
      <c r="P1335" s="364">
        <v>0</v>
      </c>
      <c r="Q1335" s="1475">
        <f>L1335*$H1335</f>
        <v>0</v>
      </c>
      <c r="R1335" s="1475">
        <f>M1335*$H1335</f>
        <v>0</v>
      </c>
      <c r="S1335" s="1475">
        <f>N1335*$H1335</f>
        <v>0</v>
      </c>
      <c r="T1335" s="1475">
        <f>O1335*$H1335</f>
        <v>0</v>
      </c>
      <c r="U1335" s="1475">
        <f>P1335*$H1335</f>
        <v>0</v>
      </c>
      <c r="V1335" s="1475">
        <f t="shared" si="675"/>
        <v>0</v>
      </c>
    </row>
    <row r="1336" spans="1:22" s="39" customFormat="1" ht="24" customHeight="1">
      <c r="A1336" s="1860">
        <v>2</v>
      </c>
      <c r="B1336" s="1860"/>
      <c r="C1336" s="1860"/>
      <c r="D1336" s="1860"/>
      <c r="E1336" s="1839"/>
      <c r="F1336" s="1841"/>
      <c r="G1336" s="1665"/>
      <c r="H1336" s="1668"/>
      <c r="I1336" s="1615"/>
      <c r="J1336" s="40" t="s">
        <v>82</v>
      </c>
      <c r="K1336" s="91"/>
      <c r="L1336" s="364">
        <v>1</v>
      </c>
      <c r="M1336" s="364">
        <v>1</v>
      </c>
      <c r="N1336" s="364">
        <v>0</v>
      </c>
      <c r="O1336" s="364">
        <v>0</v>
      </c>
      <c r="P1336" s="364">
        <v>0</v>
      </c>
      <c r="Q1336" s="1475">
        <f>L1336*$H1335</f>
        <v>12180</v>
      </c>
      <c r="R1336" s="1475">
        <f>M1336*$H1335</f>
        <v>12180</v>
      </c>
      <c r="S1336" s="1475">
        <f>N1336*$H1335</f>
        <v>0</v>
      </c>
      <c r="T1336" s="1475">
        <f>O1336*$H1335</f>
        <v>0</v>
      </c>
      <c r="U1336" s="1475">
        <f>P1336*$H1335</f>
        <v>0</v>
      </c>
      <c r="V1336" s="1475">
        <f t="shared" si="675"/>
        <v>24360</v>
      </c>
    </row>
    <row r="1337" spans="1:22" s="39" customFormat="1" ht="24" customHeight="1">
      <c r="A1337" s="1860">
        <v>2</v>
      </c>
      <c r="B1337" s="1860"/>
      <c r="C1337" s="1860"/>
      <c r="D1337" s="1860"/>
      <c r="E1337" s="1839"/>
      <c r="F1337" s="1841"/>
      <c r="G1337" s="1665"/>
      <c r="H1337" s="1668"/>
      <c r="I1337" s="1615"/>
      <c r="J1337" s="40" t="s">
        <v>90</v>
      </c>
      <c r="K1337" s="91"/>
      <c r="L1337" s="364">
        <v>0</v>
      </c>
      <c r="M1337" s="364">
        <v>0</v>
      </c>
      <c r="N1337" s="364">
        <v>0</v>
      </c>
      <c r="O1337" s="364">
        <v>0</v>
      </c>
      <c r="P1337" s="364">
        <v>0</v>
      </c>
      <c r="Q1337" s="1475">
        <f>L1337*$H1335</f>
        <v>0</v>
      </c>
      <c r="R1337" s="1475">
        <f>M1337*$H1335</f>
        <v>0</v>
      </c>
      <c r="S1337" s="1475">
        <f>N1337*$H1335</f>
        <v>0</v>
      </c>
      <c r="T1337" s="1475">
        <f>O1337*$H1335</f>
        <v>0</v>
      </c>
      <c r="U1337" s="1475">
        <f>P1337*$H1335</f>
        <v>0</v>
      </c>
      <c r="V1337" s="1475">
        <f t="shared" si="675"/>
        <v>0</v>
      </c>
    </row>
    <row r="1338" spans="1:22" s="39" customFormat="1" ht="24" customHeight="1">
      <c r="A1338" s="1860">
        <v>2</v>
      </c>
      <c r="B1338" s="1860"/>
      <c r="C1338" s="1860"/>
      <c r="D1338" s="1860"/>
      <c r="E1338" s="1839"/>
      <c r="F1338" s="1841"/>
      <c r="G1338" s="1665"/>
      <c r="H1338" s="1668"/>
      <c r="I1338" s="1615"/>
      <c r="J1338" s="40" t="s">
        <v>83</v>
      </c>
      <c r="K1338" s="91"/>
      <c r="L1338" s="364">
        <v>0</v>
      </c>
      <c r="M1338" s="364">
        <v>0</v>
      </c>
      <c r="N1338" s="364">
        <v>0</v>
      </c>
      <c r="O1338" s="364">
        <v>0</v>
      </c>
      <c r="P1338" s="364">
        <v>0</v>
      </c>
      <c r="Q1338" s="1475">
        <f>L1338*$H1335</f>
        <v>0</v>
      </c>
      <c r="R1338" s="1475">
        <f>M1338*$H1335</f>
        <v>0</v>
      </c>
      <c r="S1338" s="1475">
        <f>N1338*$H1335</f>
        <v>0</v>
      </c>
      <c r="T1338" s="1475">
        <f>O1338*$H1335</f>
        <v>0</v>
      </c>
      <c r="U1338" s="1475">
        <f>P1338*$H1335</f>
        <v>0</v>
      </c>
      <c r="V1338" s="1475">
        <f t="shared" si="675"/>
        <v>0</v>
      </c>
    </row>
    <row r="1339" spans="1:22" s="39" customFormat="1" ht="24" customHeight="1" thickBot="1">
      <c r="A1339" s="1860">
        <v>2</v>
      </c>
      <c r="B1339" s="1860"/>
      <c r="C1339" s="1860"/>
      <c r="D1339" s="1860"/>
      <c r="E1339" s="1839"/>
      <c r="F1339" s="1841"/>
      <c r="G1339" s="1666"/>
      <c r="H1339" s="1669"/>
      <c r="I1339" s="1617"/>
      <c r="J1339" s="36" t="s">
        <v>84</v>
      </c>
      <c r="K1339" s="91"/>
      <c r="L1339" s="364">
        <f>L1330-L1331</f>
        <v>0</v>
      </c>
      <c r="M1339" s="364">
        <f t="shared" ref="M1339:U1339" si="677">M1330-M1331</f>
        <v>0</v>
      </c>
      <c r="N1339" s="364">
        <v>0</v>
      </c>
      <c r="O1339" s="364">
        <f t="shared" si="677"/>
        <v>0</v>
      </c>
      <c r="P1339" s="364">
        <f t="shared" si="677"/>
        <v>0</v>
      </c>
      <c r="Q1339" s="1475">
        <f t="shared" si="677"/>
        <v>0</v>
      </c>
      <c r="R1339" s="1475">
        <f t="shared" si="677"/>
        <v>0</v>
      </c>
      <c r="S1339" s="1475">
        <f t="shared" si="677"/>
        <v>0</v>
      </c>
      <c r="T1339" s="1475">
        <f t="shared" si="677"/>
        <v>0</v>
      </c>
      <c r="U1339" s="1475">
        <f t="shared" si="677"/>
        <v>0</v>
      </c>
      <c r="V1339" s="1475">
        <f t="shared" si="675"/>
        <v>0</v>
      </c>
    </row>
    <row r="1340" spans="1:22" s="39" customFormat="1" ht="42" customHeight="1">
      <c r="A1340" s="75">
        <v>2</v>
      </c>
      <c r="B1340" s="75">
        <v>4</v>
      </c>
      <c r="C1340" s="75">
        <v>4</v>
      </c>
      <c r="D1340" s="75"/>
      <c r="E1340" s="74" t="s">
        <v>13</v>
      </c>
      <c r="F1340" s="71" t="str">
        <f>CONCATENATE(A1340,".",B1340,".",C1340,)</f>
        <v>2.4.4</v>
      </c>
      <c r="G1340" s="1589" t="s">
        <v>34</v>
      </c>
      <c r="H1340" s="1590"/>
      <c r="I1340" s="1590"/>
      <c r="J1340" s="1591"/>
      <c r="K1340" s="66"/>
      <c r="L1340" s="382"/>
      <c r="M1340" s="382"/>
      <c r="N1340" s="382"/>
      <c r="O1340" s="382"/>
      <c r="P1340" s="382"/>
      <c r="Q1340" s="1521">
        <f>Q1342+Q1352+Q1362+Q1372+Q1382+Q1392</f>
        <v>155201</v>
      </c>
      <c r="R1340" s="1521">
        <f t="shared" ref="R1340:U1340" si="678">R1342+R1352+R1362+R1372+R1382+R1392</f>
        <v>110841</v>
      </c>
      <c r="S1340" s="1521">
        <f t="shared" si="678"/>
        <v>50841</v>
      </c>
      <c r="T1340" s="1521">
        <f t="shared" si="678"/>
        <v>0</v>
      </c>
      <c r="U1340" s="1521">
        <f t="shared" si="678"/>
        <v>0</v>
      </c>
      <c r="V1340" s="1521">
        <f t="shared" ref="V1340:V1350" si="679">SUM(Q1340:U1340)</f>
        <v>316883</v>
      </c>
    </row>
    <row r="1341" spans="1:22" s="39" customFormat="1" ht="24" customHeight="1">
      <c r="A1341" s="1860">
        <v>2</v>
      </c>
      <c r="B1341" s="1860">
        <v>4</v>
      </c>
      <c r="C1341" s="1860">
        <v>4</v>
      </c>
      <c r="D1341" s="1860">
        <v>1</v>
      </c>
      <c r="E1341" s="1839" t="s">
        <v>15</v>
      </c>
      <c r="F1341" s="1841" t="str">
        <f>CONCATENATE(A1341,".",B1341,".",C1341,".",D1341,)</f>
        <v>2.4.4.1</v>
      </c>
      <c r="G1341" s="1664" t="s">
        <v>200</v>
      </c>
      <c r="H1341" s="1601" t="s">
        <v>195</v>
      </c>
      <c r="I1341" s="1614" t="s">
        <v>757</v>
      </c>
      <c r="J1341" s="36" t="s">
        <v>79</v>
      </c>
      <c r="K1341" s="891"/>
      <c r="L1341" s="383">
        <v>0</v>
      </c>
      <c r="M1341" s="383">
        <v>30</v>
      </c>
      <c r="N1341" s="383">
        <v>0</v>
      </c>
      <c r="O1341" s="383">
        <v>0</v>
      </c>
      <c r="P1341" s="383">
        <v>0</v>
      </c>
      <c r="Q1341" s="1475">
        <f>L1341*H1346</f>
        <v>0</v>
      </c>
      <c r="R1341" s="1475">
        <f>M1341*H1346</f>
        <v>60000</v>
      </c>
      <c r="S1341" s="1475">
        <f>N1341*H1346</f>
        <v>0</v>
      </c>
      <c r="T1341" s="1475">
        <f>O1341*H1346</f>
        <v>0</v>
      </c>
      <c r="U1341" s="1475">
        <f>P1341*H1346</f>
        <v>0</v>
      </c>
      <c r="V1341" s="1475">
        <f t="shared" si="679"/>
        <v>60000</v>
      </c>
    </row>
    <row r="1342" spans="1:22" s="39" customFormat="1" ht="24" customHeight="1">
      <c r="A1342" s="1860">
        <v>2</v>
      </c>
      <c r="B1342" s="1860"/>
      <c r="C1342" s="1860"/>
      <c r="D1342" s="1860"/>
      <c r="E1342" s="1839"/>
      <c r="F1342" s="1841"/>
      <c r="G1342" s="1665"/>
      <c r="H1342" s="1601"/>
      <c r="I1342" s="1615"/>
      <c r="J1342" s="40" t="s">
        <v>80</v>
      </c>
      <c r="K1342" s="91"/>
      <c r="L1342" s="364">
        <f t="shared" ref="L1342:U1342" si="680">SUM(L1343:L1349)</f>
        <v>0</v>
      </c>
      <c r="M1342" s="364">
        <f t="shared" si="680"/>
        <v>30</v>
      </c>
      <c r="N1342" s="364">
        <f t="shared" si="680"/>
        <v>0</v>
      </c>
      <c r="O1342" s="364">
        <f t="shared" si="680"/>
        <v>0</v>
      </c>
      <c r="P1342" s="364">
        <f t="shared" si="680"/>
        <v>0</v>
      </c>
      <c r="Q1342" s="1475">
        <f t="shared" si="680"/>
        <v>0</v>
      </c>
      <c r="R1342" s="1475">
        <f t="shared" si="680"/>
        <v>60000</v>
      </c>
      <c r="S1342" s="1475">
        <f t="shared" si="680"/>
        <v>0</v>
      </c>
      <c r="T1342" s="1475">
        <f t="shared" si="680"/>
        <v>0</v>
      </c>
      <c r="U1342" s="1475">
        <f t="shared" si="680"/>
        <v>0</v>
      </c>
      <c r="V1342" s="1475">
        <f t="shared" si="679"/>
        <v>60000</v>
      </c>
    </row>
    <row r="1343" spans="1:22" s="39" customFormat="1" ht="24" customHeight="1">
      <c r="A1343" s="1860">
        <v>2</v>
      </c>
      <c r="B1343" s="1860"/>
      <c r="C1343" s="1860"/>
      <c r="D1343" s="1860"/>
      <c r="E1343" s="1839"/>
      <c r="F1343" s="1841"/>
      <c r="G1343" s="1665"/>
      <c r="H1343" s="1601"/>
      <c r="I1343" s="1615"/>
      <c r="J1343" s="40" t="s">
        <v>429</v>
      </c>
      <c r="K1343" s="91"/>
      <c r="L1343" s="364">
        <v>0</v>
      </c>
      <c r="M1343" s="364">
        <v>0</v>
      </c>
      <c r="N1343" s="364">
        <v>0</v>
      </c>
      <c r="O1343" s="364">
        <v>0</v>
      </c>
      <c r="P1343" s="364">
        <v>0</v>
      </c>
      <c r="Q1343" s="1475">
        <f>L1343*$H1346</f>
        <v>0</v>
      </c>
      <c r="R1343" s="1475">
        <f>M1343*$H1346</f>
        <v>0</v>
      </c>
      <c r="S1343" s="1475">
        <f>N1343*$H1346</f>
        <v>0</v>
      </c>
      <c r="T1343" s="1475">
        <f>O1343*$H1346</f>
        <v>0</v>
      </c>
      <c r="U1343" s="1475">
        <f>P1343*$H1346</f>
        <v>0</v>
      </c>
      <c r="V1343" s="1475">
        <f t="shared" si="679"/>
        <v>0</v>
      </c>
    </row>
    <row r="1344" spans="1:22" s="39" customFormat="1" ht="24" customHeight="1">
      <c r="A1344" s="1860">
        <v>2</v>
      </c>
      <c r="B1344" s="1860"/>
      <c r="C1344" s="1860"/>
      <c r="D1344" s="1860"/>
      <c r="E1344" s="1839"/>
      <c r="F1344" s="1841"/>
      <c r="G1344" s="1665"/>
      <c r="H1344" s="1601"/>
      <c r="I1344" s="1615"/>
      <c r="J1344" s="40" t="s">
        <v>133</v>
      </c>
      <c r="K1344" s="91"/>
      <c r="L1344" s="364">
        <v>0</v>
      </c>
      <c r="M1344" s="364">
        <v>0</v>
      </c>
      <c r="N1344" s="364">
        <v>0</v>
      </c>
      <c r="O1344" s="364">
        <v>0</v>
      </c>
      <c r="P1344" s="364">
        <v>0</v>
      </c>
      <c r="Q1344" s="1475">
        <f>L1344*$H1346</f>
        <v>0</v>
      </c>
      <c r="R1344" s="1475">
        <f>M1344*$H1346</f>
        <v>0</v>
      </c>
      <c r="S1344" s="1475">
        <f>N1344*$H1346</f>
        <v>0</v>
      </c>
      <c r="T1344" s="1475">
        <f>O1344*$H1346</f>
        <v>0</v>
      </c>
      <c r="U1344" s="1475">
        <f>P1344*$H1346</f>
        <v>0</v>
      </c>
      <c r="V1344" s="1475">
        <f t="shared" si="679"/>
        <v>0</v>
      </c>
    </row>
    <row r="1345" spans="1:22" s="39" customFormat="1" ht="24" customHeight="1">
      <c r="A1345" s="1860">
        <v>2</v>
      </c>
      <c r="B1345" s="1860"/>
      <c r="C1345" s="1860"/>
      <c r="D1345" s="1860"/>
      <c r="E1345" s="1839"/>
      <c r="F1345" s="1841"/>
      <c r="G1345" s="1665"/>
      <c r="H1345" s="1601"/>
      <c r="I1345" s="1615"/>
      <c r="J1345" s="40" t="s">
        <v>81</v>
      </c>
      <c r="K1345" s="91"/>
      <c r="L1345" s="364">
        <v>0</v>
      </c>
      <c r="M1345" s="364">
        <v>0</v>
      </c>
      <c r="N1345" s="364">
        <v>0</v>
      </c>
      <c r="O1345" s="364">
        <v>0</v>
      </c>
      <c r="P1345" s="364">
        <v>0</v>
      </c>
      <c r="Q1345" s="1475">
        <f>L1345*$H1346</f>
        <v>0</v>
      </c>
      <c r="R1345" s="1475">
        <f>M1345*$H1346</f>
        <v>0</v>
      </c>
      <c r="S1345" s="1475">
        <f>N1345*$H1346</f>
        <v>0</v>
      </c>
      <c r="T1345" s="1475">
        <f>O1345*$H1346</f>
        <v>0</v>
      </c>
      <c r="U1345" s="1475">
        <f>P1345*$H1346</f>
        <v>0</v>
      </c>
      <c r="V1345" s="1475">
        <f t="shared" si="679"/>
        <v>0</v>
      </c>
    </row>
    <row r="1346" spans="1:22" s="39" customFormat="1" ht="24" customHeight="1">
      <c r="A1346" s="1860">
        <v>2</v>
      </c>
      <c r="B1346" s="1860"/>
      <c r="C1346" s="1860"/>
      <c r="D1346" s="1860"/>
      <c r="E1346" s="1839"/>
      <c r="F1346" s="1841"/>
      <c r="G1346" s="1665"/>
      <c r="H1346" s="1667">
        <f>'Budget assumption'!$C$4</f>
        <v>2000</v>
      </c>
      <c r="I1346" s="1615"/>
      <c r="J1346" s="40" t="s">
        <v>134</v>
      </c>
      <c r="K1346" s="91"/>
      <c r="L1346" s="364">
        <f>L1409*30%</f>
        <v>0</v>
      </c>
      <c r="M1346" s="364">
        <v>0</v>
      </c>
      <c r="N1346" s="364">
        <v>0</v>
      </c>
      <c r="O1346" s="364">
        <f>O1409*30%</f>
        <v>0</v>
      </c>
      <c r="P1346" s="364">
        <f>P1409*30%</f>
        <v>0</v>
      </c>
      <c r="Q1346" s="1475">
        <f>L1346*$H1346</f>
        <v>0</v>
      </c>
      <c r="R1346" s="1475">
        <f>M1346*$H1346</f>
        <v>0</v>
      </c>
      <c r="S1346" s="1475">
        <f>N1346*$H1346</f>
        <v>0</v>
      </c>
      <c r="T1346" s="1475">
        <f>O1346*$H1346</f>
        <v>0</v>
      </c>
      <c r="U1346" s="1475">
        <f>P1346*$H1346</f>
        <v>0</v>
      </c>
      <c r="V1346" s="1475">
        <f t="shared" si="679"/>
        <v>0</v>
      </c>
    </row>
    <row r="1347" spans="1:22" s="39" customFormat="1" ht="24" customHeight="1">
      <c r="A1347" s="1860">
        <v>2</v>
      </c>
      <c r="B1347" s="1860"/>
      <c r="C1347" s="1860"/>
      <c r="D1347" s="1860"/>
      <c r="E1347" s="1839"/>
      <c r="F1347" s="1841"/>
      <c r="G1347" s="1665"/>
      <c r="H1347" s="1668"/>
      <c r="I1347" s="1615"/>
      <c r="J1347" s="40" t="s">
        <v>82</v>
      </c>
      <c r="K1347" s="91"/>
      <c r="L1347" s="364">
        <v>0</v>
      </c>
      <c r="M1347" s="364">
        <f>2*10</f>
        <v>20</v>
      </c>
      <c r="N1347" s="364">
        <v>0</v>
      </c>
      <c r="O1347" s="364">
        <v>0</v>
      </c>
      <c r="P1347" s="364">
        <v>0</v>
      </c>
      <c r="Q1347" s="1475">
        <f>L1347*$H1346</f>
        <v>0</v>
      </c>
      <c r="R1347" s="1475">
        <f>M1347*$H1346</f>
        <v>40000</v>
      </c>
      <c r="S1347" s="1475">
        <f>N1347*$H1346</f>
        <v>0</v>
      </c>
      <c r="T1347" s="1475">
        <f>O1347*$H1346</f>
        <v>0</v>
      </c>
      <c r="U1347" s="1475">
        <f>P1347*$H1346</f>
        <v>0</v>
      </c>
      <c r="V1347" s="1475">
        <f t="shared" si="679"/>
        <v>40000</v>
      </c>
    </row>
    <row r="1348" spans="1:22" s="39" customFormat="1" ht="24" customHeight="1">
      <c r="A1348" s="1860">
        <v>2</v>
      </c>
      <c r="B1348" s="1860"/>
      <c r="C1348" s="1860"/>
      <c r="D1348" s="1860"/>
      <c r="E1348" s="1839"/>
      <c r="F1348" s="1841"/>
      <c r="G1348" s="1665"/>
      <c r="H1348" s="1668"/>
      <c r="I1348" s="1615"/>
      <c r="J1348" s="40" t="s">
        <v>90</v>
      </c>
      <c r="K1348" s="91"/>
      <c r="L1348" s="364">
        <v>0</v>
      </c>
      <c r="M1348" s="364">
        <v>10</v>
      </c>
      <c r="N1348" s="364">
        <v>0</v>
      </c>
      <c r="O1348" s="364">
        <v>0</v>
      </c>
      <c r="P1348" s="364">
        <v>0</v>
      </c>
      <c r="Q1348" s="1475">
        <f>L1348*$H1346</f>
        <v>0</v>
      </c>
      <c r="R1348" s="1475">
        <f>M1348*$H1346</f>
        <v>20000</v>
      </c>
      <c r="S1348" s="1475">
        <f>N1348*$H1346</f>
        <v>0</v>
      </c>
      <c r="T1348" s="1475">
        <f>O1348*$H1346</f>
        <v>0</v>
      </c>
      <c r="U1348" s="1475">
        <f>P1348*$H1346</f>
        <v>0</v>
      </c>
      <c r="V1348" s="1475">
        <f t="shared" si="679"/>
        <v>20000</v>
      </c>
    </row>
    <row r="1349" spans="1:22" s="39" customFormat="1" ht="24" customHeight="1">
      <c r="A1349" s="1860">
        <v>2</v>
      </c>
      <c r="B1349" s="1860"/>
      <c r="C1349" s="1860"/>
      <c r="D1349" s="1860"/>
      <c r="E1349" s="1839"/>
      <c r="F1349" s="1841"/>
      <c r="G1349" s="1665"/>
      <c r="H1349" s="1668"/>
      <c r="I1349" s="1615"/>
      <c r="J1349" s="40" t="s">
        <v>83</v>
      </c>
      <c r="K1349" s="91"/>
      <c r="L1349" s="364">
        <v>0</v>
      </c>
      <c r="M1349" s="364">
        <v>0</v>
      </c>
      <c r="N1349" s="364">
        <v>0</v>
      </c>
      <c r="O1349" s="364">
        <v>0</v>
      </c>
      <c r="P1349" s="364">
        <v>0</v>
      </c>
      <c r="Q1349" s="1475">
        <f>L1349*$H1346</f>
        <v>0</v>
      </c>
      <c r="R1349" s="1475">
        <f>M1349*$H1346</f>
        <v>0</v>
      </c>
      <c r="S1349" s="1475">
        <f>N1349*$H1346</f>
        <v>0</v>
      </c>
      <c r="T1349" s="1475">
        <f>O1349*$H1346</f>
        <v>0</v>
      </c>
      <c r="U1349" s="1475">
        <f>P1349*$H1346</f>
        <v>0</v>
      </c>
      <c r="V1349" s="1475">
        <f t="shared" si="679"/>
        <v>0</v>
      </c>
    </row>
    <row r="1350" spans="1:22" s="39" customFormat="1" ht="24" customHeight="1" thickBot="1">
      <c r="A1350" s="1860">
        <v>2</v>
      </c>
      <c r="B1350" s="1860"/>
      <c r="C1350" s="1860"/>
      <c r="D1350" s="1860"/>
      <c r="E1350" s="1839"/>
      <c r="F1350" s="1841"/>
      <c r="G1350" s="1666"/>
      <c r="H1350" s="1669"/>
      <c r="I1350" s="1617"/>
      <c r="J1350" s="40" t="s">
        <v>84</v>
      </c>
      <c r="K1350" s="91"/>
      <c r="L1350" s="364">
        <f>L1341-L1342</f>
        <v>0</v>
      </c>
      <c r="M1350" s="364">
        <f t="shared" ref="M1350:U1350" si="681">M1341-M1342</f>
        <v>0</v>
      </c>
      <c r="N1350" s="364">
        <f t="shared" si="681"/>
        <v>0</v>
      </c>
      <c r="O1350" s="364">
        <f t="shared" si="681"/>
        <v>0</v>
      </c>
      <c r="P1350" s="364">
        <f t="shared" si="681"/>
        <v>0</v>
      </c>
      <c r="Q1350" s="1475">
        <f t="shared" si="681"/>
        <v>0</v>
      </c>
      <c r="R1350" s="1475">
        <f t="shared" si="681"/>
        <v>0</v>
      </c>
      <c r="S1350" s="1475">
        <f t="shared" si="681"/>
        <v>0</v>
      </c>
      <c r="T1350" s="1475">
        <f t="shared" si="681"/>
        <v>0</v>
      </c>
      <c r="U1350" s="1475">
        <f t="shared" si="681"/>
        <v>0</v>
      </c>
      <c r="V1350" s="1475">
        <f t="shared" si="679"/>
        <v>0</v>
      </c>
    </row>
    <row r="1351" spans="1:22" s="39" customFormat="1" ht="24" customHeight="1">
      <c r="A1351" s="1860">
        <v>2</v>
      </c>
      <c r="B1351" s="1860">
        <v>4</v>
      </c>
      <c r="C1351" s="1860">
        <v>4</v>
      </c>
      <c r="D1351" s="1860">
        <v>2</v>
      </c>
      <c r="E1351" s="1839" t="s">
        <v>15</v>
      </c>
      <c r="F1351" s="1841" t="str">
        <f>CONCATENATE(A1351,".",B1351,".",C1351,".",D1351,)</f>
        <v>2.4.4.2</v>
      </c>
      <c r="G1351" s="1664" t="s">
        <v>1049</v>
      </c>
      <c r="H1351" s="1601" t="s">
        <v>142</v>
      </c>
      <c r="I1351" s="1614" t="s">
        <v>1177</v>
      </c>
      <c r="J1351" s="36" t="s">
        <v>79</v>
      </c>
      <c r="K1351" s="896"/>
      <c r="L1351" s="383">
        <v>2</v>
      </c>
      <c r="M1351" s="383">
        <v>2</v>
      </c>
      <c r="N1351" s="383">
        <v>2</v>
      </c>
      <c r="O1351" s="383">
        <v>2</v>
      </c>
      <c r="P1351" s="383">
        <v>2</v>
      </c>
      <c r="Q1351" s="1475">
        <f>L1351*H1356</f>
        <v>33894</v>
      </c>
      <c r="R1351" s="1475">
        <f>M1351*H1356</f>
        <v>33894</v>
      </c>
      <c r="S1351" s="1475">
        <f>N1351*H1356</f>
        <v>33894</v>
      </c>
      <c r="T1351" s="1475">
        <f>O1351*H1356</f>
        <v>33894</v>
      </c>
      <c r="U1351" s="1475">
        <f>P1351*H1356</f>
        <v>33894</v>
      </c>
      <c r="V1351" s="1475">
        <f t="shared" ref="V1351:V1360" si="682">SUM(Q1351:U1351)</f>
        <v>169470</v>
      </c>
    </row>
    <row r="1352" spans="1:22" s="39" customFormat="1" ht="24" customHeight="1">
      <c r="A1352" s="1860">
        <v>2</v>
      </c>
      <c r="B1352" s="1860"/>
      <c r="C1352" s="1860"/>
      <c r="D1352" s="1860"/>
      <c r="E1352" s="1839"/>
      <c r="F1352" s="1841"/>
      <c r="G1352" s="1665"/>
      <c r="H1352" s="1601"/>
      <c r="I1352" s="1615"/>
      <c r="J1352" s="40" t="s">
        <v>80</v>
      </c>
      <c r="K1352" s="91"/>
      <c r="L1352" s="364">
        <f t="shared" ref="L1352:U1352" si="683">SUM(L1353:L1359)</f>
        <v>2</v>
      </c>
      <c r="M1352" s="364">
        <f t="shared" si="683"/>
        <v>2</v>
      </c>
      <c r="N1352" s="364">
        <f t="shared" si="683"/>
        <v>2</v>
      </c>
      <c r="O1352" s="364">
        <f t="shared" si="683"/>
        <v>0</v>
      </c>
      <c r="P1352" s="364">
        <f t="shared" si="683"/>
        <v>0</v>
      </c>
      <c r="Q1352" s="1475">
        <f t="shared" si="683"/>
        <v>33894</v>
      </c>
      <c r="R1352" s="1475">
        <f t="shared" si="683"/>
        <v>33894</v>
      </c>
      <c r="S1352" s="1475">
        <f t="shared" si="683"/>
        <v>33894</v>
      </c>
      <c r="T1352" s="1475">
        <f t="shared" si="683"/>
        <v>0</v>
      </c>
      <c r="U1352" s="1475">
        <f t="shared" si="683"/>
        <v>0</v>
      </c>
      <c r="V1352" s="1475">
        <f t="shared" si="682"/>
        <v>101682</v>
      </c>
    </row>
    <row r="1353" spans="1:22" s="39" customFormat="1" ht="24" customHeight="1">
      <c r="A1353" s="1860">
        <v>2</v>
      </c>
      <c r="B1353" s="1860"/>
      <c r="C1353" s="1860"/>
      <c r="D1353" s="1860"/>
      <c r="E1353" s="1839"/>
      <c r="F1353" s="1841"/>
      <c r="G1353" s="1665"/>
      <c r="H1353" s="1601"/>
      <c r="I1353" s="1615"/>
      <c r="J1353" s="40" t="s">
        <v>429</v>
      </c>
      <c r="K1353" s="91"/>
      <c r="L1353" s="364">
        <v>0</v>
      </c>
      <c r="M1353" s="364">
        <v>0</v>
      </c>
      <c r="N1353" s="364">
        <v>0</v>
      </c>
      <c r="O1353" s="364">
        <v>0</v>
      </c>
      <c r="P1353" s="364">
        <v>0</v>
      </c>
      <c r="Q1353" s="1475">
        <f>L1353*$H1356</f>
        <v>0</v>
      </c>
      <c r="R1353" s="1475">
        <f>M1353*$H1356</f>
        <v>0</v>
      </c>
      <c r="S1353" s="1475">
        <f>N1353*$H1356</f>
        <v>0</v>
      </c>
      <c r="T1353" s="1475">
        <f>O1353*$H1356</f>
        <v>0</v>
      </c>
      <c r="U1353" s="1475">
        <f>P1353*$H1356</f>
        <v>0</v>
      </c>
      <c r="V1353" s="1475">
        <f t="shared" si="682"/>
        <v>0</v>
      </c>
    </row>
    <row r="1354" spans="1:22" s="39" customFormat="1" ht="24" customHeight="1">
      <c r="A1354" s="1860">
        <v>2</v>
      </c>
      <c r="B1354" s="1860"/>
      <c r="C1354" s="1860"/>
      <c r="D1354" s="1860"/>
      <c r="E1354" s="1839"/>
      <c r="F1354" s="1841"/>
      <c r="G1354" s="1665"/>
      <c r="H1354" s="1601"/>
      <c r="I1354" s="1615"/>
      <c r="J1354" s="40" t="s">
        <v>133</v>
      </c>
      <c r="K1354" s="91"/>
      <c r="L1354" s="364">
        <v>0</v>
      </c>
      <c r="M1354" s="364">
        <v>0</v>
      </c>
      <c r="N1354" s="364">
        <v>0</v>
      </c>
      <c r="O1354" s="364">
        <v>0</v>
      </c>
      <c r="P1354" s="364">
        <v>0</v>
      </c>
      <c r="Q1354" s="1475">
        <f>L1354*$H1356</f>
        <v>0</v>
      </c>
      <c r="R1354" s="1475">
        <f>M1354*$H1356</f>
        <v>0</v>
      </c>
      <c r="S1354" s="1475">
        <f>N1354*$H1356</f>
        <v>0</v>
      </c>
      <c r="T1354" s="1475">
        <f>O1354*$H1356</f>
        <v>0</v>
      </c>
      <c r="U1354" s="1475">
        <f>P1354*$H1356</f>
        <v>0</v>
      </c>
      <c r="V1354" s="1475">
        <f t="shared" si="682"/>
        <v>0</v>
      </c>
    </row>
    <row r="1355" spans="1:22" s="39" customFormat="1" ht="24" customHeight="1">
      <c r="A1355" s="1860">
        <v>2</v>
      </c>
      <c r="B1355" s="1860"/>
      <c r="C1355" s="1860"/>
      <c r="D1355" s="1860"/>
      <c r="E1355" s="1839"/>
      <c r="F1355" s="1841"/>
      <c r="G1355" s="1665"/>
      <c r="H1355" s="1601"/>
      <c r="I1355" s="1615"/>
      <c r="J1355" s="40" t="s">
        <v>81</v>
      </c>
      <c r="K1355" s="91"/>
      <c r="L1355" s="364">
        <v>0</v>
      </c>
      <c r="M1355" s="364">
        <v>0</v>
      </c>
      <c r="N1355" s="364">
        <v>0</v>
      </c>
      <c r="O1355" s="364">
        <v>0</v>
      </c>
      <c r="P1355" s="364">
        <v>0</v>
      </c>
      <c r="Q1355" s="1475">
        <f>L1355*$H1356</f>
        <v>0</v>
      </c>
      <c r="R1355" s="1475">
        <f>M1355*$H1356</f>
        <v>0</v>
      </c>
      <c r="S1355" s="1475">
        <f>N1355*$H1356</f>
        <v>0</v>
      </c>
      <c r="T1355" s="1475">
        <f>O1355*$H1356</f>
        <v>0</v>
      </c>
      <c r="U1355" s="1475">
        <f>P1355*$H1356</f>
        <v>0</v>
      </c>
      <c r="V1355" s="1475">
        <f t="shared" si="682"/>
        <v>0</v>
      </c>
    </row>
    <row r="1356" spans="1:22" s="39" customFormat="1" ht="24" customHeight="1">
      <c r="A1356" s="1860">
        <v>2</v>
      </c>
      <c r="B1356" s="1860"/>
      <c r="C1356" s="1860"/>
      <c r="D1356" s="1860"/>
      <c r="E1356" s="1839"/>
      <c r="F1356" s="1841"/>
      <c r="G1356" s="1665"/>
      <c r="H1356" s="1667">
        <f>'Budget assumption'!H28</f>
        <v>16947</v>
      </c>
      <c r="I1356" s="1615"/>
      <c r="J1356" s="40" t="s">
        <v>134</v>
      </c>
      <c r="K1356" s="91"/>
      <c r="L1356" s="364">
        <v>0</v>
      </c>
      <c r="M1356" s="364">
        <v>0</v>
      </c>
      <c r="N1356" s="364">
        <v>0</v>
      </c>
      <c r="O1356" s="364">
        <v>0</v>
      </c>
      <c r="P1356" s="364">
        <v>0</v>
      </c>
      <c r="Q1356" s="1475">
        <f>L1356*$H1356</f>
        <v>0</v>
      </c>
      <c r="R1356" s="1475">
        <f>M1356*$H1356</f>
        <v>0</v>
      </c>
      <c r="S1356" s="1475">
        <f>N1356*$H1356</f>
        <v>0</v>
      </c>
      <c r="T1356" s="1475">
        <f>O1356*$H1356</f>
        <v>0</v>
      </c>
      <c r="U1356" s="1475">
        <f>P1356*$H1356</f>
        <v>0</v>
      </c>
      <c r="V1356" s="1475">
        <f t="shared" si="682"/>
        <v>0</v>
      </c>
    </row>
    <row r="1357" spans="1:22" s="39" customFormat="1" ht="24" customHeight="1">
      <c r="A1357" s="1860">
        <v>2</v>
      </c>
      <c r="B1357" s="1860"/>
      <c r="C1357" s="1860"/>
      <c r="D1357" s="1860"/>
      <c r="E1357" s="1839"/>
      <c r="F1357" s="1841"/>
      <c r="G1357" s="1665"/>
      <c r="H1357" s="1668"/>
      <c r="I1357" s="1615"/>
      <c r="J1357" s="40" t="s">
        <v>82</v>
      </c>
      <c r="K1357" s="91" t="s">
        <v>726</v>
      </c>
      <c r="L1357" s="364">
        <v>2</v>
      </c>
      <c r="M1357" s="364">
        <v>2</v>
      </c>
      <c r="N1357" s="364">
        <v>2</v>
      </c>
      <c r="O1357" s="364">
        <v>0</v>
      </c>
      <c r="P1357" s="364">
        <v>0</v>
      </c>
      <c r="Q1357" s="1475">
        <f>L1357*$H1356</f>
        <v>33894</v>
      </c>
      <c r="R1357" s="1475">
        <f>M1357*$H1356</f>
        <v>33894</v>
      </c>
      <c r="S1357" s="1475">
        <f>N1357*$H1356</f>
        <v>33894</v>
      </c>
      <c r="T1357" s="1475">
        <f>O1357*$H1356</f>
        <v>0</v>
      </c>
      <c r="U1357" s="1475">
        <f>P1357*$H1356</f>
        <v>0</v>
      </c>
      <c r="V1357" s="1475">
        <f t="shared" si="682"/>
        <v>101682</v>
      </c>
    </row>
    <row r="1358" spans="1:22" s="39" customFormat="1" ht="24" customHeight="1">
      <c r="A1358" s="1860">
        <v>2</v>
      </c>
      <c r="B1358" s="1860"/>
      <c r="C1358" s="1860"/>
      <c r="D1358" s="1860"/>
      <c r="E1358" s="1839"/>
      <c r="F1358" s="1841"/>
      <c r="G1358" s="1665"/>
      <c r="H1358" s="1668"/>
      <c r="I1358" s="1615"/>
      <c r="J1358" s="40" t="s">
        <v>90</v>
      </c>
      <c r="K1358" s="91"/>
      <c r="L1358" s="364">
        <v>0</v>
      </c>
      <c r="M1358" s="364">
        <v>0</v>
      </c>
      <c r="N1358" s="364">
        <v>0</v>
      </c>
      <c r="O1358" s="364">
        <v>0</v>
      </c>
      <c r="P1358" s="364">
        <v>0</v>
      </c>
      <c r="Q1358" s="1475">
        <f>L1358*$H1356</f>
        <v>0</v>
      </c>
      <c r="R1358" s="1475">
        <f>M1358*$H1356</f>
        <v>0</v>
      </c>
      <c r="S1358" s="1475">
        <f>N1358*$H1356</f>
        <v>0</v>
      </c>
      <c r="T1358" s="1475">
        <f>O1358*$H1356</f>
        <v>0</v>
      </c>
      <c r="U1358" s="1475">
        <f>P1358*$H1356</f>
        <v>0</v>
      </c>
      <c r="V1358" s="1475">
        <f t="shared" si="682"/>
        <v>0</v>
      </c>
    </row>
    <row r="1359" spans="1:22" s="39" customFormat="1" ht="24" customHeight="1">
      <c r="A1359" s="1860">
        <v>2</v>
      </c>
      <c r="B1359" s="1860"/>
      <c r="C1359" s="1860"/>
      <c r="D1359" s="1860"/>
      <c r="E1359" s="1839"/>
      <c r="F1359" s="1841"/>
      <c r="G1359" s="1665"/>
      <c r="H1359" s="1668"/>
      <c r="I1359" s="1615"/>
      <c r="J1359" s="40" t="s">
        <v>83</v>
      </c>
      <c r="K1359" s="91"/>
      <c r="L1359" s="364">
        <v>0</v>
      </c>
      <c r="M1359" s="364">
        <v>0</v>
      </c>
      <c r="N1359" s="364">
        <v>0</v>
      </c>
      <c r="O1359" s="364">
        <v>0</v>
      </c>
      <c r="P1359" s="364">
        <v>0</v>
      </c>
      <c r="Q1359" s="1475">
        <f>L1359*$H1356</f>
        <v>0</v>
      </c>
      <c r="R1359" s="1475">
        <f>M1359*$H1356</f>
        <v>0</v>
      </c>
      <c r="S1359" s="1475">
        <f>N1359*$H1356</f>
        <v>0</v>
      </c>
      <c r="T1359" s="1475">
        <f>O1359*$H1356</f>
        <v>0</v>
      </c>
      <c r="U1359" s="1475">
        <f>P1359*$H1356</f>
        <v>0</v>
      </c>
      <c r="V1359" s="1475">
        <f t="shared" si="682"/>
        <v>0</v>
      </c>
    </row>
    <row r="1360" spans="1:22" s="39" customFormat="1" ht="24" customHeight="1" thickBot="1">
      <c r="A1360" s="1860">
        <v>2</v>
      </c>
      <c r="B1360" s="1860"/>
      <c r="C1360" s="1860"/>
      <c r="D1360" s="1860"/>
      <c r="E1360" s="1839"/>
      <c r="F1360" s="1841"/>
      <c r="G1360" s="1666"/>
      <c r="H1360" s="1669"/>
      <c r="I1360" s="1617"/>
      <c r="J1360" s="40" t="s">
        <v>84</v>
      </c>
      <c r="K1360" s="91"/>
      <c r="L1360" s="364">
        <f>L1351-L1352</f>
        <v>0</v>
      </c>
      <c r="M1360" s="364">
        <f t="shared" ref="M1360:U1360" si="684">M1351-M1352</f>
        <v>0</v>
      </c>
      <c r="N1360" s="364">
        <f t="shared" si="684"/>
        <v>0</v>
      </c>
      <c r="O1360" s="364">
        <f t="shared" si="684"/>
        <v>2</v>
      </c>
      <c r="P1360" s="364">
        <f t="shared" si="684"/>
        <v>2</v>
      </c>
      <c r="Q1360" s="1475">
        <f t="shared" si="684"/>
        <v>0</v>
      </c>
      <c r="R1360" s="1475">
        <f t="shared" si="684"/>
        <v>0</v>
      </c>
      <c r="S1360" s="1475">
        <f t="shared" si="684"/>
        <v>0</v>
      </c>
      <c r="T1360" s="1475">
        <f t="shared" si="684"/>
        <v>33894</v>
      </c>
      <c r="U1360" s="1475">
        <f t="shared" si="684"/>
        <v>33894</v>
      </c>
      <c r="V1360" s="1475">
        <f t="shared" si="682"/>
        <v>67788</v>
      </c>
    </row>
    <row r="1361" spans="1:22" s="39" customFormat="1" ht="24" customHeight="1">
      <c r="A1361" s="1860">
        <v>2</v>
      </c>
      <c r="B1361" s="1860">
        <v>4</v>
      </c>
      <c r="C1361" s="1860">
        <v>4</v>
      </c>
      <c r="D1361" s="1860">
        <v>3</v>
      </c>
      <c r="E1361" s="1839" t="s">
        <v>15</v>
      </c>
      <c r="F1361" s="1841" t="str">
        <f>CONCATENATE(A1361,".",B1361,".",C1361,".",D1361,)</f>
        <v>2.4.4.3</v>
      </c>
      <c r="G1361" s="1664" t="s">
        <v>797</v>
      </c>
      <c r="H1361" s="1601" t="s">
        <v>195</v>
      </c>
      <c r="I1361" s="1614" t="s">
        <v>1178</v>
      </c>
      <c r="J1361" s="36" t="s">
        <v>79</v>
      </c>
      <c r="K1361" s="896"/>
      <c r="L1361" s="383">
        <v>20</v>
      </c>
      <c r="M1361" s="383">
        <v>0</v>
      </c>
      <c r="N1361" s="383">
        <v>0</v>
      </c>
      <c r="O1361" s="383">
        <v>0</v>
      </c>
      <c r="P1361" s="383">
        <v>0</v>
      </c>
      <c r="Q1361" s="1475">
        <f>L1361*H1366</f>
        <v>40000</v>
      </c>
      <c r="R1361" s="1475">
        <f>M1361*H1366</f>
        <v>0</v>
      </c>
      <c r="S1361" s="1475">
        <f>N1361*H1366</f>
        <v>0</v>
      </c>
      <c r="T1361" s="1475">
        <f>O1361*H1366</f>
        <v>0</v>
      </c>
      <c r="U1361" s="1475">
        <f>P1361*H1366</f>
        <v>0</v>
      </c>
      <c r="V1361" s="1475">
        <f t="shared" ref="V1361:V1390" si="685">SUM(Q1361:U1361)</f>
        <v>40000</v>
      </c>
    </row>
    <row r="1362" spans="1:22" s="39" customFormat="1" ht="24" customHeight="1">
      <c r="A1362" s="1860">
        <v>2</v>
      </c>
      <c r="B1362" s="1860"/>
      <c r="C1362" s="1860"/>
      <c r="D1362" s="1860"/>
      <c r="E1362" s="1839"/>
      <c r="F1362" s="1841"/>
      <c r="G1362" s="1665"/>
      <c r="H1362" s="1601"/>
      <c r="I1362" s="1615"/>
      <c r="J1362" s="40" t="s">
        <v>80</v>
      </c>
      <c r="K1362" s="91"/>
      <c r="L1362" s="364">
        <f t="shared" ref="L1362:U1362" si="686">SUM(L1363:L1369)</f>
        <v>20</v>
      </c>
      <c r="M1362" s="364">
        <f t="shared" si="686"/>
        <v>0</v>
      </c>
      <c r="N1362" s="364">
        <f t="shared" si="686"/>
        <v>0</v>
      </c>
      <c r="O1362" s="364">
        <f t="shared" si="686"/>
        <v>0</v>
      </c>
      <c r="P1362" s="364">
        <f t="shared" si="686"/>
        <v>0</v>
      </c>
      <c r="Q1362" s="1475">
        <f t="shared" si="686"/>
        <v>40000</v>
      </c>
      <c r="R1362" s="1475">
        <f t="shared" si="686"/>
        <v>0</v>
      </c>
      <c r="S1362" s="1475">
        <f t="shared" si="686"/>
        <v>0</v>
      </c>
      <c r="T1362" s="1475">
        <f t="shared" si="686"/>
        <v>0</v>
      </c>
      <c r="U1362" s="1475">
        <f t="shared" si="686"/>
        <v>0</v>
      </c>
      <c r="V1362" s="1475">
        <f t="shared" si="685"/>
        <v>40000</v>
      </c>
    </row>
    <row r="1363" spans="1:22" s="39" customFormat="1" ht="24" customHeight="1">
      <c r="A1363" s="1860">
        <v>2</v>
      </c>
      <c r="B1363" s="1860"/>
      <c r="C1363" s="1860"/>
      <c r="D1363" s="1860"/>
      <c r="E1363" s="1839"/>
      <c r="F1363" s="1841"/>
      <c r="G1363" s="1665"/>
      <c r="H1363" s="1601"/>
      <c r="I1363" s="1615"/>
      <c r="J1363" s="40" t="s">
        <v>429</v>
      </c>
      <c r="K1363" s="91"/>
      <c r="L1363" s="364">
        <v>0</v>
      </c>
      <c r="M1363" s="364">
        <v>0</v>
      </c>
      <c r="N1363" s="364">
        <v>0</v>
      </c>
      <c r="O1363" s="364">
        <v>0</v>
      </c>
      <c r="P1363" s="364">
        <v>0</v>
      </c>
      <c r="Q1363" s="1475">
        <f>L1363*$H1366</f>
        <v>0</v>
      </c>
      <c r="R1363" s="1475">
        <f>M1363*$H1366</f>
        <v>0</v>
      </c>
      <c r="S1363" s="1475">
        <f>N1363*$H1366</f>
        <v>0</v>
      </c>
      <c r="T1363" s="1475">
        <f>O1363*$H1366</f>
        <v>0</v>
      </c>
      <c r="U1363" s="1475">
        <f>P1363*$H1366</f>
        <v>0</v>
      </c>
      <c r="V1363" s="1475">
        <f t="shared" si="685"/>
        <v>0</v>
      </c>
    </row>
    <row r="1364" spans="1:22" s="39" customFormat="1" ht="24" customHeight="1">
      <c r="A1364" s="1860">
        <v>2</v>
      </c>
      <c r="B1364" s="1860"/>
      <c r="C1364" s="1860"/>
      <c r="D1364" s="1860"/>
      <c r="E1364" s="1839"/>
      <c r="F1364" s="1841"/>
      <c r="G1364" s="1665"/>
      <c r="H1364" s="1601"/>
      <c r="I1364" s="1615"/>
      <c r="J1364" s="40" t="s">
        <v>133</v>
      </c>
      <c r="K1364" s="91"/>
      <c r="L1364" s="364">
        <v>0</v>
      </c>
      <c r="M1364" s="364">
        <v>0</v>
      </c>
      <c r="N1364" s="364">
        <v>0</v>
      </c>
      <c r="O1364" s="364">
        <v>0</v>
      </c>
      <c r="P1364" s="364">
        <v>0</v>
      </c>
      <c r="Q1364" s="1475">
        <f>L1364*$H1366</f>
        <v>0</v>
      </c>
      <c r="R1364" s="1475">
        <f>M1364*$H1366</f>
        <v>0</v>
      </c>
      <c r="S1364" s="1475">
        <f>N1364*$H1366</f>
        <v>0</v>
      </c>
      <c r="T1364" s="1475">
        <f>O1364*$H1366</f>
        <v>0</v>
      </c>
      <c r="U1364" s="1475">
        <f>P1364*$H1366</f>
        <v>0</v>
      </c>
      <c r="V1364" s="1475">
        <f t="shared" si="685"/>
        <v>0</v>
      </c>
    </row>
    <row r="1365" spans="1:22" s="39" customFormat="1" ht="24" customHeight="1">
      <c r="A1365" s="1860">
        <v>2</v>
      </c>
      <c r="B1365" s="1860"/>
      <c r="C1365" s="1860"/>
      <c r="D1365" s="1860"/>
      <c r="E1365" s="1839"/>
      <c r="F1365" s="1841"/>
      <c r="G1365" s="1665"/>
      <c r="H1365" s="1601"/>
      <c r="I1365" s="1615"/>
      <c r="J1365" s="40" t="s">
        <v>81</v>
      </c>
      <c r="K1365" s="91"/>
      <c r="L1365" s="364">
        <v>0</v>
      </c>
      <c r="M1365" s="364">
        <v>0</v>
      </c>
      <c r="N1365" s="364">
        <v>0</v>
      </c>
      <c r="O1365" s="364">
        <v>0</v>
      </c>
      <c r="P1365" s="364">
        <v>0</v>
      </c>
      <c r="Q1365" s="1475">
        <f>L1365*$H1366</f>
        <v>0</v>
      </c>
      <c r="R1365" s="1475">
        <f>M1365*$H1366</f>
        <v>0</v>
      </c>
      <c r="S1365" s="1475">
        <f>N1365*$H1366</f>
        <v>0</v>
      </c>
      <c r="T1365" s="1475">
        <f>O1365*$H1366</f>
        <v>0</v>
      </c>
      <c r="U1365" s="1475">
        <f>P1365*$H1366</f>
        <v>0</v>
      </c>
      <c r="V1365" s="1475">
        <f t="shared" si="685"/>
        <v>0</v>
      </c>
    </row>
    <row r="1366" spans="1:22" s="39" customFormat="1" ht="24" customHeight="1">
      <c r="A1366" s="1860">
        <v>2</v>
      </c>
      <c r="B1366" s="1860"/>
      <c r="C1366" s="1860"/>
      <c r="D1366" s="1860"/>
      <c r="E1366" s="1839"/>
      <c r="F1366" s="1841"/>
      <c r="G1366" s="1665"/>
      <c r="H1366" s="1667">
        <f>'Budget assumption'!$C$4</f>
        <v>2000</v>
      </c>
      <c r="I1366" s="1615"/>
      <c r="J1366" s="40" t="s">
        <v>134</v>
      </c>
      <c r="K1366" s="91"/>
      <c r="L1366" s="364">
        <v>0</v>
      </c>
      <c r="M1366" s="364">
        <v>0</v>
      </c>
      <c r="N1366" s="364">
        <v>0</v>
      </c>
      <c r="O1366" s="364">
        <v>0</v>
      </c>
      <c r="P1366" s="364">
        <v>0</v>
      </c>
      <c r="Q1366" s="1475">
        <f>L1366*$H1366</f>
        <v>0</v>
      </c>
      <c r="R1366" s="1475">
        <f>M1366*$H1366</f>
        <v>0</v>
      </c>
      <c r="S1366" s="1475">
        <f>N1366*$H1366</f>
        <v>0</v>
      </c>
      <c r="T1366" s="1475">
        <f>O1366*$H1366</f>
        <v>0</v>
      </c>
      <c r="U1366" s="1475">
        <f>P1366*$H1366</f>
        <v>0</v>
      </c>
      <c r="V1366" s="1475">
        <f t="shared" si="685"/>
        <v>0</v>
      </c>
    </row>
    <row r="1367" spans="1:22" s="39" customFormat="1" ht="24" customHeight="1">
      <c r="A1367" s="1860">
        <v>2</v>
      </c>
      <c r="B1367" s="1860"/>
      <c r="C1367" s="1860"/>
      <c r="D1367" s="1860"/>
      <c r="E1367" s="1839"/>
      <c r="F1367" s="1841"/>
      <c r="G1367" s="1665"/>
      <c r="H1367" s="1668"/>
      <c r="I1367" s="1615"/>
      <c r="J1367" s="40" t="s">
        <v>82</v>
      </c>
      <c r="K1367" s="91"/>
      <c r="L1367" s="364">
        <v>20</v>
      </c>
      <c r="M1367" s="364">
        <v>0</v>
      </c>
      <c r="N1367" s="364">
        <v>0</v>
      </c>
      <c r="O1367" s="364">
        <v>0</v>
      </c>
      <c r="P1367" s="364">
        <v>0</v>
      </c>
      <c r="Q1367" s="1475">
        <f>L1367*$H1366</f>
        <v>40000</v>
      </c>
      <c r="R1367" s="1475">
        <f>M1367*$H1366</f>
        <v>0</v>
      </c>
      <c r="S1367" s="1475">
        <f>N1367*$H1366</f>
        <v>0</v>
      </c>
      <c r="T1367" s="1475">
        <f>O1367*$H1366</f>
        <v>0</v>
      </c>
      <c r="U1367" s="1475">
        <f>P1367*$H1366</f>
        <v>0</v>
      </c>
      <c r="V1367" s="1475">
        <f t="shared" si="685"/>
        <v>40000</v>
      </c>
    </row>
    <row r="1368" spans="1:22" s="39" customFormat="1" ht="24" customHeight="1">
      <c r="A1368" s="1860">
        <v>2</v>
      </c>
      <c r="B1368" s="1860"/>
      <c r="C1368" s="1860"/>
      <c r="D1368" s="1860"/>
      <c r="E1368" s="1839"/>
      <c r="F1368" s="1841"/>
      <c r="G1368" s="1665"/>
      <c r="H1368" s="1668"/>
      <c r="I1368" s="1615"/>
      <c r="J1368" s="40" t="s">
        <v>90</v>
      </c>
      <c r="K1368" s="91"/>
      <c r="L1368" s="364">
        <v>0</v>
      </c>
      <c r="M1368" s="364">
        <v>0</v>
      </c>
      <c r="N1368" s="364">
        <v>0</v>
      </c>
      <c r="O1368" s="364">
        <v>0</v>
      </c>
      <c r="P1368" s="364">
        <v>0</v>
      </c>
      <c r="Q1368" s="1475">
        <f>L1368*$H1366</f>
        <v>0</v>
      </c>
      <c r="R1368" s="1475">
        <f>M1368*$H1366</f>
        <v>0</v>
      </c>
      <c r="S1368" s="1475">
        <f>N1368*$H1366</f>
        <v>0</v>
      </c>
      <c r="T1368" s="1475">
        <f>O1368*$H1366</f>
        <v>0</v>
      </c>
      <c r="U1368" s="1475">
        <f>P1368*$H1366</f>
        <v>0</v>
      </c>
      <c r="V1368" s="1475">
        <f t="shared" si="685"/>
        <v>0</v>
      </c>
    </row>
    <row r="1369" spans="1:22" s="39" customFormat="1" ht="24" customHeight="1">
      <c r="A1369" s="1860">
        <v>2</v>
      </c>
      <c r="B1369" s="1860"/>
      <c r="C1369" s="1860"/>
      <c r="D1369" s="1860"/>
      <c r="E1369" s="1839"/>
      <c r="F1369" s="1841"/>
      <c r="G1369" s="1665"/>
      <c r="H1369" s="1668"/>
      <c r="I1369" s="1615"/>
      <c r="J1369" s="40" t="s">
        <v>83</v>
      </c>
      <c r="K1369" s="91"/>
      <c r="L1369" s="364">
        <v>0</v>
      </c>
      <c r="M1369" s="364">
        <v>0</v>
      </c>
      <c r="N1369" s="364">
        <v>0</v>
      </c>
      <c r="O1369" s="364">
        <v>0</v>
      </c>
      <c r="P1369" s="364">
        <v>0</v>
      </c>
      <c r="Q1369" s="1475">
        <f>L1369*$H1366</f>
        <v>0</v>
      </c>
      <c r="R1369" s="1475">
        <f>M1369*$H1366</f>
        <v>0</v>
      </c>
      <c r="S1369" s="1475">
        <f>N1369*$H1366</f>
        <v>0</v>
      </c>
      <c r="T1369" s="1475">
        <f>O1369*$H1366</f>
        <v>0</v>
      </c>
      <c r="U1369" s="1475">
        <f>P1369*$H1366</f>
        <v>0</v>
      </c>
      <c r="V1369" s="1475">
        <f t="shared" si="685"/>
        <v>0</v>
      </c>
    </row>
    <row r="1370" spans="1:22" s="39" customFormat="1" ht="24" customHeight="1" thickBot="1">
      <c r="A1370" s="1860">
        <v>2</v>
      </c>
      <c r="B1370" s="1860"/>
      <c r="C1370" s="1860"/>
      <c r="D1370" s="1860"/>
      <c r="E1370" s="1839"/>
      <c r="F1370" s="1841"/>
      <c r="G1370" s="1666"/>
      <c r="H1370" s="1669"/>
      <c r="I1370" s="1617"/>
      <c r="J1370" s="40" t="s">
        <v>84</v>
      </c>
      <c r="K1370" s="91"/>
      <c r="L1370" s="364">
        <f>L1361-L1362</f>
        <v>0</v>
      </c>
      <c r="M1370" s="364">
        <f t="shared" ref="M1370:U1370" si="687">M1361-M1362</f>
        <v>0</v>
      </c>
      <c r="N1370" s="364">
        <f t="shared" si="687"/>
        <v>0</v>
      </c>
      <c r="O1370" s="364">
        <f t="shared" si="687"/>
        <v>0</v>
      </c>
      <c r="P1370" s="364">
        <f t="shared" si="687"/>
        <v>0</v>
      </c>
      <c r="Q1370" s="1475">
        <f t="shared" si="687"/>
        <v>0</v>
      </c>
      <c r="R1370" s="1475">
        <f t="shared" si="687"/>
        <v>0</v>
      </c>
      <c r="S1370" s="1475">
        <f t="shared" si="687"/>
        <v>0</v>
      </c>
      <c r="T1370" s="1475">
        <f t="shared" si="687"/>
        <v>0</v>
      </c>
      <c r="U1370" s="1475">
        <f t="shared" si="687"/>
        <v>0</v>
      </c>
      <c r="V1370" s="1475">
        <f t="shared" si="685"/>
        <v>0</v>
      </c>
    </row>
    <row r="1371" spans="1:22" s="39" customFormat="1" ht="24" customHeight="1">
      <c r="A1371" s="1860">
        <v>2</v>
      </c>
      <c r="B1371" s="1860">
        <v>4</v>
      </c>
      <c r="C1371" s="1860">
        <v>4</v>
      </c>
      <c r="D1371" s="1860">
        <v>4</v>
      </c>
      <c r="E1371" s="1839" t="s">
        <v>15</v>
      </c>
      <c r="F1371" s="1841" t="str">
        <f>CONCATENATE(A1371,".",B1371,".",C1371,".",D1371,)</f>
        <v>2.4.4.4</v>
      </c>
      <c r="G1371" s="1664" t="s">
        <v>629</v>
      </c>
      <c r="H1371" s="1601" t="s">
        <v>142</v>
      </c>
      <c r="I1371" s="1614" t="s">
        <v>1422</v>
      </c>
      <c r="J1371" s="36" t="s">
        <v>79</v>
      </c>
      <c r="K1371" s="896"/>
      <c r="L1371" s="383">
        <v>1</v>
      </c>
      <c r="M1371" s="383">
        <v>1</v>
      </c>
      <c r="N1371" s="383">
        <v>1</v>
      </c>
      <c r="O1371" s="383">
        <v>1</v>
      </c>
      <c r="P1371" s="383">
        <v>1</v>
      </c>
      <c r="Q1371" s="1475">
        <f>L1371*H1376</f>
        <v>16947</v>
      </c>
      <c r="R1371" s="1475">
        <f>M1371*H1376</f>
        <v>16947</v>
      </c>
      <c r="S1371" s="1475">
        <f>N1371*H1376</f>
        <v>16947</v>
      </c>
      <c r="T1371" s="1475">
        <f>O1371*H1376</f>
        <v>16947</v>
      </c>
      <c r="U1371" s="1475">
        <f>P1371*H1376</f>
        <v>16947</v>
      </c>
      <c r="V1371" s="1475">
        <f t="shared" ref="V1371:V1380" si="688">SUM(Q1371:U1371)</f>
        <v>84735</v>
      </c>
    </row>
    <row r="1372" spans="1:22" s="39" customFormat="1" ht="24" customHeight="1">
      <c r="A1372" s="1860">
        <v>2</v>
      </c>
      <c r="B1372" s="1860"/>
      <c r="C1372" s="1860"/>
      <c r="D1372" s="1860"/>
      <c r="E1372" s="1839"/>
      <c r="F1372" s="1841"/>
      <c r="G1372" s="1665"/>
      <c r="H1372" s="1601"/>
      <c r="I1372" s="1615"/>
      <c r="J1372" s="40" t="s">
        <v>80</v>
      </c>
      <c r="K1372" s="91"/>
      <c r="L1372" s="364">
        <f t="shared" ref="L1372:U1372" si="689">SUM(L1373:L1379)</f>
        <v>1</v>
      </c>
      <c r="M1372" s="364">
        <v>1</v>
      </c>
      <c r="N1372" s="364">
        <f t="shared" si="689"/>
        <v>1</v>
      </c>
      <c r="O1372" s="364">
        <f t="shared" si="689"/>
        <v>0</v>
      </c>
      <c r="P1372" s="364">
        <f t="shared" si="689"/>
        <v>0</v>
      </c>
      <c r="Q1372" s="1475">
        <f t="shared" si="689"/>
        <v>16947</v>
      </c>
      <c r="R1372" s="1475">
        <f t="shared" si="689"/>
        <v>16947</v>
      </c>
      <c r="S1372" s="1475">
        <f t="shared" si="689"/>
        <v>16947</v>
      </c>
      <c r="T1372" s="1475">
        <f t="shared" si="689"/>
        <v>0</v>
      </c>
      <c r="U1372" s="1475">
        <f t="shared" si="689"/>
        <v>0</v>
      </c>
      <c r="V1372" s="1475">
        <f t="shared" si="688"/>
        <v>50841</v>
      </c>
    </row>
    <row r="1373" spans="1:22" s="39" customFormat="1" ht="24" customHeight="1">
      <c r="A1373" s="1860">
        <v>2</v>
      </c>
      <c r="B1373" s="1860"/>
      <c r="C1373" s="1860"/>
      <c r="D1373" s="1860"/>
      <c r="E1373" s="1839"/>
      <c r="F1373" s="1841"/>
      <c r="G1373" s="1665"/>
      <c r="H1373" s="1601"/>
      <c r="I1373" s="1615"/>
      <c r="J1373" s="40" t="s">
        <v>429</v>
      </c>
      <c r="K1373" s="91"/>
      <c r="L1373" s="364">
        <v>0</v>
      </c>
      <c r="M1373" s="364">
        <v>0</v>
      </c>
      <c r="N1373" s="364">
        <v>0</v>
      </c>
      <c r="O1373" s="364">
        <v>0</v>
      </c>
      <c r="P1373" s="364">
        <v>0</v>
      </c>
      <c r="Q1373" s="1475">
        <f>L1373*$H1376</f>
        <v>0</v>
      </c>
      <c r="R1373" s="1475">
        <f>M1373*$H1376</f>
        <v>0</v>
      </c>
      <c r="S1373" s="1475">
        <f>N1373*$H1376</f>
        <v>0</v>
      </c>
      <c r="T1373" s="1475">
        <f>O1373*$H1376</f>
        <v>0</v>
      </c>
      <c r="U1373" s="1475">
        <f>P1373*$H1376</f>
        <v>0</v>
      </c>
      <c r="V1373" s="1475">
        <f t="shared" si="688"/>
        <v>0</v>
      </c>
    </row>
    <row r="1374" spans="1:22" s="39" customFormat="1" ht="24" customHeight="1">
      <c r="A1374" s="1860">
        <v>2</v>
      </c>
      <c r="B1374" s="1860"/>
      <c r="C1374" s="1860"/>
      <c r="D1374" s="1860"/>
      <c r="E1374" s="1839"/>
      <c r="F1374" s="1841"/>
      <c r="G1374" s="1665"/>
      <c r="H1374" s="1601"/>
      <c r="I1374" s="1615"/>
      <c r="J1374" s="40" t="s">
        <v>133</v>
      </c>
      <c r="K1374" s="91"/>
      <c r="L1374" s="364">
        <v>0</v>
      </c>
      <c r="M1374" s="364">
        <v>0</v>
      </c>
      <c r="N1374" s="364">
        <v>0</v>
      </c>
      <c r="O1374" s="364">
        <v>0</v>
      </c>
      <c r="P1374" s="364">
        <v>0</v>
      </c>
      <c r="Q1374" s="1475">
        <f>L1374*$H1376</f>
        <v>0</v>
      </c>
      <c r="R1374" s="1475">
        <f>M1374*$H1376</f>
        <v>0</v>
      </c>
      <c r="S1374" s="1475">
        <f>N1374*$H1376</f>
        <v>0</v>
      </c>
      <c r="T1374" s="1475">
        <f>O1374*$H1376</f>
        <v>0</v>
      </c>
      <c r="U1374" s="1475">
        <f>P1374*$H1376</f>
        <v>0</v>
      </c>
      <c r="V1374" s="1475">
        <f t="shared" si="688"/>
        <v>0</v>
      </c>
    </row>
    <row r="1375" spans="1:22" s="39" customFormat="1" ht="24" customHeight="1">
      <c r="A1375" s="1860">
        <v>2</v>
      </c>
      <c r="B1375" s="1860"/>
      <c r="C1375" s="1860"/>
      <c r="D1375" s="1860"/>
      <c r="E1375" s="1839"/>
      <c r="F1375" s="1841"/>
      <c r="G1375" s="1665"/>
      <c r="H1375" s="1601"/>
      <c r="I1375" s="1615"/>
      <c r="J1375" s="40" t="s">
        <v>81</v>
      </c>
      <c r="K1375" s="91"/>
      <c r="L1375" s="364">
        <v>0</v>
      </c>
      <c r="M1375" s="364">
        <v>0</v>
      </c>
      <c r="N1375" s="364">
        <v>0</v>
      </c>
      <c r="O1375" s="364">
        <v>0</v>
      </c>
      <c r="P1375" s="364">
        <v>0</v>
      </c>
      <c r="Q1375" s="1475">
        <f>L1375*$H1376</f>
        <v>0</v>
      </c>
      <c r="R1375" s="1475">
        <f>M1375*$H1376</f>
        <v>0</v>
      </c>
      <c r="S1375" s="1475">
        <f>N1375*$H1376</f>
        <v>0</v>
      </c>
      <c r="T1375" s="1475">
        <f>O1375*$H1376</f>
        <v>0</v>
      </c>
      <c r="U1375" s="1475">
        <f>P1375*$H1376</f>
        <v>0</v>
      </c>
      <c r="V1375" s="1475">
        <f t="shared" si="688"/>
        <v>0</v>
      </c>
    </row>
    <row r="1376" spans="1:22" s="39" customFormat="1" ht="24" customHeight="1">
      <c r="A1376" s="1860">
        <v>2</v>
      </c>
      <c r="B1376" s="1860"/>
      <c r="C1376" s="1860"/>
      <c r="D1376" s="1860"/>
      <c r="E1376" s="1839"/>
      <c r="F1376" s="1841"/>
      <c r="G1376" s="1665"/>
      <c r="H1376" s="1667">
        <f>'Budget assumption'!H28</f>
        <v>16947</v>
      </c>
      <c r="I1376" s="1615"/>
      <c r="J1376" s="40" t="s">
        <v>134</v>
      </c>
      <c r="K1376" s="91"/>
      <c r="L1376" s="364">
        <v>0</v>
      </c>
      <c r="M1376" s="364">
        <v>0</v>
      </c>
      <c r="N1376" s="364">
        <v>0</v>
      </c>
      <c r="O1376" s="364">
        <v>0</v>
      </c>
      <c r="P1376" s="364">
        <v>0</v>
      </c>
      <c r="Q1376" s="1475">
        <f>L1376*$H1376</f>
        <v>0</v>
      </c>
      <c r="R1376" s="1475">
        <f>M1376*$H1376</f>
        <v>0</v>
      </c>
      <c r="S1376" s="1475">
        <f>N1376*$H1376</f>
        <v>0</v>
      </c>
      <c r="T1376" s="1475">
        <f>O1376*$H1376</f>
        <v>0</v>
      </c>
      <c r="U1376" s="1475">
        <f>P1376*$H1376</f>
        <v>0</v>
      </c>
      <c r="V1376" s="1475">
        <f t="shared" si="688"/>
        <v>0</v>
      </c>
    </row>
    <row r="1377" spans="1:22" s="39" customFormat="1" ht="24" customHeight="1">
      <c r="A1377" s="1860">
        <v>2</v>
      </c>
      <c r="B1377" s="1860"/>
      <c r="C1377" s="1860"/>
      <c r="D1377" s="1860"/>
      <c r="E1377" s="1839"/>
      <c r="F1377" s="1841"/>
      <c r="G1377" s="1665"/>
      <c r="H1377" s="1668"/>
      <c r="I1377" s="1615"/>
      <c r="J1377" s="40" t="s">
        <v>82</v>
      </c>
      <c r="K1377" s="91"/>
      <c r="L1377" s="364">
        <v>1</v>
      </c>
      <c r="M1377" s="364">
        <v>1</v>
      </c>
      <c r="N1377" s="364">
        <v>1</v>
      </c>
      <c r="O1377" s="364">
        <v>0</v>
      </c>
      <c r="P1377" s="364">
        <v>0</v>
      </c>
      <c r="Q1377" s="1475">
        <f>L1377*$H1376</f>
        <v>16947</v>
      </c>
      <c r="R1377" s="1475">
        <f>M1377*$H1376</f>
        <v>16947</v>
      </c>
      <c r="S1377" s="1475">
        <f>N1377*$H1376</f>
        <v>16947</v>
      </c>
      <c r="T1377" s="1475">
        <f>O1377*$H1376</f>
        <v>0</v>
      </c>
      <c r="U1377" s="1475">
        <f>P1377*$H1376</f>
        <v>0</v>
      </c>
      <c r="V1377" s="1475">
        <f t="shared" si="688"/>
        <v>50841</v>
      </c>
    </row>
    <row r="1378" spans="1:22" s="39" customFormat="1" ht="24" customHeight="1">
      <c r="A1378" s="1860">
        <v>2</v>
      </c>
      <c r="B1378" s="1860"/>
      <c r="C1378" s="1860"/>
      <c r="D1378" s="1860"/>
      <c r="E1378" s="1839"/>
      <c r="F1378" s="1841"/>
      <c r="G1378" s="1665"/>
      <c r="H1378" s="1668"/>
      <c r="I1378" s="1615"/>
      <c r="J1378" s="40" t="s">
        <v>90</v>
      </c>
      <c r="K1378" s="91"/>
      <c r="L1378" s="364">
        <v>0</v>
      </c>
      <c r="M1378" s="364">
        <v>0</v>
      </c>
      <c r="N1378" s="364">
        <v>0</v>
      </c>
      <c r="O1378" s="364">
        <v>0</v>
      </c>
      <c r="P1378" s="364">
        <v>0</v>
      </c>
      <c r="Q1378" s="1475">
        <f>L1378*$H1376</f>
        <v>0</v>
      </c>
      <c r="R1378" s="1475">
        <f>M1378*$H1376</f>
        <v>0</v>
      </c>
      <c r="S1378" s="1475">
        <f>N1378*$H1376</f>
        <v>0</v>
      </c>
      <c r="T1378" s="1475">
        <f>O1378*$H1376</f>
        <v>0</v>
      </c>
      <c r="U1378" s="1475">
        <f>P1378*$H1376</f>
        <v>0</v>
      </c>
      <c r="V1378" s="1475">
        <f t="shared" si="688"/>
        <v>0</v>
      </c>
    </row>
    <row r="1379" spans="1:22" s="39" customFormat="1" ht="24" customHeight="1">
      <c r="A1379" s="1860">
        <v>2</v>
      </c>
      <c r="B1379" s="1860"/>
      <c r="C1379" s="1860"/>
      <c r="D1379" s="1860"/>
      <c r="E1379" s="1839"/>
      <c r="F1379" s="1841"/>
      <c r="G1379" s="1665"/>
      <c r="H1379" s="1668"/>
      <c r="I1379" s="1615"/>
      <c r="J1379" s="40" t="s">
        <v>83</v>
      </c>
      <c r="K1379" s="91"/>
      <c r="L1379" s="364">
        <v>0</v>
      </c>
      <c r="M1379" s="364">
        <v>0</v>
      </c>
      <c r="N1379" s="364">
        <v>0</v>
      </c>
      <c r="O1379" s="364">
        <v>0</v>
      </c>
      <c r="P1379" s="364">
        <v>0</v>
      </c>
      <c r="Q1379" s="1475">
        <f>L1379*$H1376</f>
        <v>0</v>
      </c>
      <c r="R1379" s="1475">
        <f>M1379*$H1376</f>
        <v>0</v>
      </c>
      <c r="S1379" s="1475">
        <f>N1379*$H1376</f>
        <v>0</v>
      </c>
      <c r="T1379" s="1475">
        <f>O1379*$H1376</f>
        <v>0</v>
      </c>
      <c r="U1379" s="1475">
        <f>P1379*$H1376</f>
        <v>0</v>
      </c>
      <c r="V1379" s="1475">
        <f t="shared" si="688"/>
        <v>0</v>
      </c>
    </row>
    <row r="1380" spans="1:22" s="39" customFormat="1" ht="24" customHeight="1" thickBot="1">
      <c r="A1380" s="1860">
        <v>2</v>
      </c>
      <c r="B1380" s="1860"/>
      <c r="C1380" s="1860"/>
      <c r="D1380" s="1860"/>
      <c r="E1380" s="1839"/>
      <c r="F1380" s="1841"/>
      <c r="G1380" s="1666"/>
      <c r="H1380" s="1669"/>
      <c r="I1380" s="1617"/>
      <c r="J1380" s="40" t="s">
        <v>84</v>
      </c>
      <c r="K1380" s="91"/>
      <c r="L1380" s="364">
        <f>L1371-L1372</f>
        <v>0</v>
      </c>
      <c r="M1380" s="364">
        <v>0</v>
      </c>
      <c r="N1380" s="364">
        <f t="shared" ref="N1380:U1380" si="690">N1371-N1372</f>
        <v>0</v>
      </c>
      <c r="O1380" s="364">
        <f t="shared" si="690"/>
        <v>1</v>
      </c>
      <c r="P1380" s="364">
        <f t="shared" si="690"/>
        <v>1</v>
      </c>
      <c r="Q1380" s="1475">
        <f t="shared" si="690"/>
        <v>0</v>
      </c>
      <c r="R1380" s="1475">
        <f t="shared" si="690"/>
        <v>0</v>
      </c>
      <c r="S1380" s="1475">
        <f t="shared" si="690"/>
        <v>0</v>
      </c>
      <c r="T1380" s="1475">
        <f t="shared" si="690"/>
        <v>16947</v>
      </c>
      <c r="U1380" s="1475">
        <f t="shared" si="690"/>
        <v>16947</v>
      </c>
      <c r="V1380" s="1475">
        <f t="shared" si="688"/>
        <v>33894</v>
      </c>
    </row>
    <row r="1381" spans="1:22" s="39" customFormat="1" ht="24" customHeight="1">
      <c r="A1381" s="1860">
        <v>2</v>
      </c>
      <c r="B1381" s="1860">
        <v>4</v>
      </c>
      <c r="C1381" s="1860">
        <v>4</v>
      </c>
      <c r="D1381" s="1860">
        <v>5</v>
      </c>
      <c r="E1381" s="1839" t="s">
        <v>15</v>
      </c>
      <c r="F1381" s="1841" t="str">
        <f>CONCATENATE(A1381,".",B1381,".",C1381,".",D1381,)</f>
        <v>2.4.4.5</v>
      </c>
      <c r="G1381" s="1664" t="s">
        <v>798</v>
      </c>
      <c r="H1381" s="1601" t="s">
        <v>144</v>
      </c>
      <c r="I1381" s="1614" t="s">
        <v>1123</v>
      </c>
      <c r="J1381" s="36" t="s">
        <v>79</v>
      </c>
      <c r="K1381" s="896"/>
      <c r="L1381" s="383">
        <v>20</v>
      </c>
      <c r="M1381" s="383">
        <v>0</v>
      </c>
      <c r="N1381" s="383">
        <v>0</v>
      </c>
      <c r="O1381" s="383">
        <v>0</v>
      </c>
      <c r="P1381" s="383">
        <v>0</v>
      </c>
      <c r="Q1381" s="1475">
        <f>L1381*H1386</f>
        <v>40000</v>
      </c>
      <c r="R1381" s="1475">
        <f>M1381*H1386</f>
        <v>0</v>
      </c>
      <c r="S1381" s="1475">
        <f>N1381*H1386</f>
        <v>0</v>
      </c>
      <c r="T1381" s="1475">
        <f>O1381*H1386</f>
        <v>0</v>
      </c>
      <c r="U1381" s="1475">
        <f>P1381*H1386</f>
        <v>0</v>
      </c>
      <c r="V1381" s="1475">
        <f t="shared" si="685"/>
        <v>40000</v>
      </c>
    </row>
    <row r="1382" spans="1:22" s="39" customFormat="1" ht="24" customHeight="1">
      <c r="A1382" s="1860">
        <v>2</v>
      </c>
      <c r="B1382" s="1860"/>
      <c r="C1382" s="1860"/>
      <c r="D1382" s="1860"/>
      <c r="E1382" s="1839"/>
      <c r="F1382" s="1841"/>
      <c r="G1382" s="1665"/>
      <c r="H1382" s="1601"/>
      <c r="I1382" s="1615"/>
      <c r="J1382" s="40" t="s">
        <v>80</v>
      </c>
      <c r="K1382" s="91"/>
      <c r="L1382" s="364">
        <f t="shared" ref="L1382:U1382" si="691">SUM(L1383:L1389)</f>
        <v>20</v>
      </c>
      <c r="M1382" s="364">
        <f t="shared" si="691"/>
        <v>0</v>
      </c>
      <c r="N1382" s="364">
        <f t="shared" si="691"/>
        <v>0</v>
      </c>
      <c r="O1382" s="364">
        <f t="shared" si="691"/>
        <v>0</v>
      </c>
      <c r="P1382" s="364">
        <f t="shared" si="691"/>
        <v>0</v>
      </c>
      <c r="Q1382" s="1475">
        <f t="shared" si="691"/>
        <v>40000</v>
      </c>
      <c r="R1382" s="1475">
        <f t="shared" si="691"/>
        <v>0</v>
      </c>
      <c r="S1382" s="1475">
        <f t="shared" si="691"/>
        <v>0</v>
      </c>
      <c r="T1382" s="1475">
        <f t="shared" si="691"/>
        <v>0</v>
      </c>
      <c r="U1382" s="1475">
        <f t="shared" si="691"/>
        <v>0</v>
      </c>
      <c r="V1382" s="1475">
        <f t="shared" si="685"/>
        <v>40000</v>
      </c>
    </row>
    <row r="1383" spans="1:22" s="39" customFormat="1" ht="24" customHeight="1">
      <c r="A1383" s="1860">
        <v>2</v>
      </c>
      <c r="B1383" s="1860"/>
      <c r="C1383" s="1860"/>
      <c r="D1383" s="1860"/>
      <c r="E1383" s="1839"/>
      <c r="F1383" s="1841"/>
      <c r="G1383" s="1665"/>
      <c r="H1383" s="1601"/>
      <c r="I1383" s="1615"/>
      <c r="J1383" s="40" t="s">
        <v>429</v>
      </c>
      <c r="K1383" s="91"/>
      <c r="L1383" s="364">
        <v>0</v>
      </c>
      <c r="M1383" s="364">
        <v>0</v>
      </c>
      <c r="N1383" s="364">
        <v>0</v>
      </c>
      <c r="O1383" s="364">
        <v>0</v>
      </c>
      <c r="P1383" s="364">
        <v>0</v>
      </c>
      <c r="Q1383" s="1475">
        <f>L1383*$H1386</f>
        <v>0</v>
      </c>
      <c r="R1383" s="1475">
        <f>M1383*$H1386</f>
        <v>0</v>
      </c>
      <c r="S1383" s="1475">
        <f>N1383*$H1386</f>
        <v>0</v>
      </c>
      <c r="T1383" s="1475">
        <f>O1383*$H1386</f>
        <v>0</v>
      </c>
      <c r="U1383" s="1475">
        <f>P1383*$H1386</f>
        <v>0</v>
      </c>
      <c r="V1383" s="1475">
        <f t="shared" si="685"/>
        <v>0</v>
      </c>
    </row>
    <row r="1384" spans="1:22" s="39" customFormat="1" ht="24" customHeight="1">
      <c r="A1384" s="1860">
        <v>2</v>
      </c>
      <c r="B1384" s="1860"/>
      <c r="C1384" s="1860"/>
      <c r="D1384" s="1860"/>
      <c r="E1384" s="1839"/>
      <c r="F1384" s="1841"/>
      <c r="G1384" s="1665"/>
      <c r="H1384" s="1601"/>
      <c r="I1384" s="1615"/>
      <c r="J1384" s="40" t="s">
        <v>133</v>
      </c>
      <c r="K1384" s="91"/>
      <c r="L1384" s="364">
        <v>0</v>
      </c>
      <c r="M1384" s="364">
        <v>0</v>
      </c>
      <c r="N1384" s="364">
        <v>0</v>
      </c>
      <c r="O1384" s="364">
        <v>0</v>
      </c>
      <c r="P1384" s="364">
        <v>0</v>
      </c>
      <c r="Q1384" s="1475">
        <f>L1384*$H1386</f>
        <v>0</v>
      </c>
      <c r="R1384" s="1475">
        <f>M1384*$H1386</f>
        <v>0</v>
      </c>
      <c r="S1384" s="1475">
        <f>N1384*$H1386</f>
        <v>0</v>
      </c>
      <c r="T1384" s="1475">
        <f>O1384*$H1386</f>
        <v>0</v>
      </c>
      <c r="U1384" s="1475">
        <f>P1384*$H1386</f>
        <v>0</v>
      </c>
      <c r="V1384" s="1475">
        <f t="shared" si="685"/>
        <v>0</v>
      </c>
    </row>
    <row r="1385" spans="1:22" s="39" customFormat="1" ht="24" customHeight="1">
      <c r="A1385" s="1860">
        <v>2</v>
      </c>
      <c r="B1385" s="1860"/>
      <c r="C1385" s="1860"/>
      <c r="D1385" s="1860"/>
      <c r="E1385" s="1839"/>
      <c r="F1385" s="1841"/>
      <c r="G1385" s="1665"/>
      <c r="H1385" s="1601"/>
      <c r="I1385" s="1615"/>
      <c r="J1385" s="40" t="s">
        <v>81</v>
      </c>
      <c r="K1385" s="42"/>
      <c r="L1385" s="364">
        <v>0</v>
      </c>
      <c r="M1385" s="364">
        <v>0</v>
      </c>
      <c r="N1385" s="364">
        <v>0</v>
      </c>
      <c r="O1385" s="364">
        <v>0</v>
      </c>
      <c r="P1385" s="364">
        <v>0</v>
      </c>
      <c r="Q1385" s="1475">
        <f>L1385*$H1386</f>
        <v>0</v>
      </c>
      <c r="R1385" s="1475">
        <f>M1385*$H1386</f>
        <v>0</v>
      </c>
      <c r="S1385" s="1475">
        <f>N1385*$H1386</f>
        <v>0</v>
      </c>
      <c r="T1385" s="1475">
        <f>O1385*$H1386</f>
        <v>0</v>
      </c>
      <c r="U1385" s="1475">
        <f>P1385*$H1386</f>
        <v>0</v>
      </c>
      <c r="V1385" s="1475">
        <f t="shared" si="685"/>
        <v>0</v>
      </c>
    </row>
    <row r="1386" spans="1:22" s="39" customFormat="1" ht="24" customHeight="1">
      <c r="A1386" s="1860">
        <v>2</v>
      </c>
      <c r="B1386" s="1860"/>
      <c r="C1386" s="1860"/>
      <c r="D1386" s="1860"/>
      <c r="E1386" s="1839"/>
      <c r="F1386" s="1841"/>
      <c r="G1386" s="1665"/>
      <c r="H1386" s="1667">
        <v>2000</v>
      </c>
      <c r="I1386" s="1615"/>
      <c r="J1386" s="40" t="s">
        <v>134</v>
      </c>
      <c r="K1386" s="42"/>
      <c r="L1386" s="364">
        <v>0</v>
      </c>
      <c r="M1386" s="364">
        <v>0</v>
      </c>
      <c r="N1386" s="364">
        <v>0</v>
      </c>
      <c r="O1386" s="364">
        <f>O1367*30%</f>
        <v>0</v>
      </c>
      <c r="P1386" s="364">
        <f>P1367*30%</f>
        <v>0</v>
      </c>
      <c r="Q1386" s="1475">
        <f>L1386*$H1386</f>
        <v>0</v>
      </c>
      <c r="R1386" s="1475">
        <f>M1386*$H1386</f>
        <v>0</v>
      </c>
      <c r="S1386" s="1475">
        <f>N1386*$H1386</f>
        <v>0</v>
      </c>
      <c r="T1386" s="1475">
        <f>O1386*$H1386</f>
        <v>0</v>
      </c>
      <c r="U1386" s="1475">
        <f>P1386*$H1386</f>
        <v>0</v>
      </c>
      <c r="V1386" s="1475">
        <f t="shared" si="685"/>
        <v>0</v>
      </c>
    </row>
    <row r="1387" spans="1:22" s="39" customFormat="1" ht="24" customHeight="1">
      <c r="A1387" s="1860">
        <v>2</v>
      </c>
      <c r="B1387" s="1860"/>
      <c r="C1387" s="1860"/>
      <c r="D1387" s="1860"/>
      <c r="E1387" s="1839"/>
      <c r="F1387" s="1841"/>
      <c r="G1387" s="1665"/>
      <c r="H1387" s="1668"/>
      <c r="I1387" s="1615"/>
      <c r="J1387" s="40" t="s">
        <v>82</v>
      </c>
      <c r="K1387" s="42"/>
      <c r="L1387" s="364">
        <v>20</v>
      </c>
      <c r="M1387" s="364">
        <v>0</v>
      </c>
      <c r="N1387" s="364">
        <v>0</v>
      </c>
      <c r="O1387" s="364">
        <v>0</v>
      </c>
      <c r="P1387" s="364">
        <v>0</v>
      </c>
      <c r="Q1387" s="1475">
        <f>L1387*$H1386</f>
        <v>40000</v>
      </c>
      <c r="R1387" s="1475">
        <f>M1387*$H1386</f>
        <v>0</v>
      </c>
      <c r="S1387" s="1475">
        <f>N1387*$H1386</f>
        <v>0</v>
      </c>
      <c r="T1387" s="1475">
        <f>O1387*$H1386</f>
        <v>0</v>
      </c>
      <c r="U1387" s="1475">
        <f>P1387*$H1386</f>
        <v>0</v>
      </c>
      <c r="V1387" s="1475">
        <f t="shared" si="685"/>
        <v>40000</v>
      </c>
    </row>
    <row r="1388" spans="1:22" s="39" customFormat="1" ht="24" customHeight="1">
      <c r="A1388" s="1860">
        <v>2</v>
      </c>
      <c r="B1388" s="1860"/>
      <c r="C1388" s="1860"/>
      <c r="D1388" s="1860"/>
      <c r="E1388" s="1839"/>
      <c r="F1388" s="1841"/>
      <c r="G1388" s="1665"/>
      <c r="H1388" s="1668"/>
      <c r="I1388" s="1615"/>
      <c r="J1388" s="40" t="s">
        <v>90</v>
      </c>
      <c r="K1388" s="42"/>
      <c r="L1388" s="364">
        <v>0</v>
      </c>
      <c r="M1388" s="364">
        <v>0</v>
      </c>
      <c r="N1388" s="364">
        <v>0</v>
      </c>
      <c r="O1388" s="364">
        <v>0</v>
      </c>
      <c r="P1388" s="364">
        <v>0</v>
      </c>
      <c r="Q1388" s="1475">
        <f>L1388*$H1386</f>
        <v>0</v>
      </c>
      <c r="R1388" s="1475">
        <f>M1388*$H1386</f>
        <v>0</v>
      </c>
      <c r="S1388" s="1475">
        <f>N1388*$H1386</f>
        <v>0</v>
      </c>
      <c r="T1388" s="1475">
        <f>O1388*$H1386</f>
        <v>0</v>
      </c>
      <c r="U1388" s="1475">
        <f>P1388*$H1386</f>
        <v>0</v>
      </c>
      <c r="V1388" s="1475">
        <f t="shared" si="685"/>
        <v>0</v>
      </c>
    </row>
    <row r="1389" spans="1:22" s="39" customFormat="1" ht="24" customHeight="1">
      <c r="A1389" s="1860">
        <v>2</v>
      </c>
      <c r="B1389" s="1860"/>
      <c r="C1389" s="1860"/>
      <c r="D1389" s="1860"/>
      <c r="E1389" s="1839"/>
      <c r="F1389" s="1841"/>
      <c r="G1389" s="1665"/>
      <c r="H1389" s="1668"/>
      <c r="I1389" s="1615"/>
      <c r="J1389" s="40" t="s">
        <v>83</v>
      </c>
      <c r="K1389" s="42"/>
      <c r="L1389" s="364">
        <v>0</v>
      </c>
      <c r="M1389" s="364">
        <v>0</v>
      </c>
      <c r="N1389" s="364">
        <v>0</v>
      </c>
      <c r="O1389" s="364">
        <v>0</v>
      </c>
      <c r="P1389" s="364">
        <v>0</v>
      </c>
      <c r="Q1389" s="1475">
        <f>L1389*$H1386</f>
        <v>0</v>
      </c>
      <c r="R1389" s="1475">
        <f>M1389*$H1386</f>
        <v>0</v>
      </c>
      <c r="S1389" s="1475">
        <f>N1389*$H1386</f>
        <v>0</v>
      </c>
      <c r="T1389" s="1475">
        <f>O1389*$H1386</f>
        <v>0</v>
      </c>
      <c r="U1389" s="1475">
        <f>P1389*$H1386</f>
        <v>0</v>
      </c>
      <c r="V1389" s="1475">
        <f t="shared" si="685"/>
        <v>0</v>
      </c>
    </row>
    <row r="1390" spans="1:22" s="39" customFormat="1" ht="24" customHeight="1" thickBot="1">
      <c r="A1390" s="1860">
        <v>2</v>
      </c>
      <c r="B1390" s="1860"/>
      <c r="C1390" s="1860"/>
      <c r="D1390" s="1860"/>
      <c r="E1390" s="1839"/>
      <c r="F1390" s="1841"/>
      <c r="G1390" s="1666"/>
      <c r="H1390" s="1669"/>
      <c r="I1390" s="1617"/>
      <c r="J1390" s="40" t="s">
        <v>84</v>
      </c>
      <c r="K1390" s="42"/>
      <c r="L1390" s="364">
        <f>L1381-L1382</f>
        <v>0</v>
      </c>
      <c r="M1390" s="364">
        <f t="shared" ref="M1390:U1390" si="692">M1381-M1382</f>
        <v>0</v>
      </c>
      <c r="N1390" s="364">
        <f t="shared" si="692"/>
        <v>0</v>
      </c>
      <c r="O1390" s="364">
        <f t="shared" si="692"/>
        <v>0</v>
      </c>
      <c r="P1390" s="364">
        <f t="shared" si="692"/>
        <v>0</v>
      </c>
      <c r="Q1390" s="1475">
        <f t="shared" si="692"/>
        <v>0</v>
      </c>
      <c r="R1390" s="1475">
        <f t="shared" si="692"/>
        <v>0</v>
      </c>
      <c r="S1390" s="1475">
        <f t="shared" si="692"/>
        <v>0</v>
      </c>
      <c r="T1390" s="1475">
        <f t="shared" si="692"/>
        <v>0</v>
      </c>
      <c r="U1390" s="1475">
        <f t="shared" si="692"/>
        <v>0</v>
      </c>
      <c r="V1390" s="1475">
        <f t="shared" si="685"/>
        <v>0</v>
      </c>
    </row>
    <row r="1391" spans="1:22" s="39" customFormat="1" ht="24" customHeight="1">
      <c r="A1391" s="1860">
        <v>2</v>
      </c>
      <c r="B1391" s="1860">
        <v>4</v>
      </c>
      <c r="C1391" s="1860">
        <v>4</v>
      </c>
      <c r="D1391" s="1860">
        <v>6</v>
      </c>
      <c r="E1391" s="1839" t="s">
        <v>15</v>
      </c>
      <c r="F1391" s="1841" t="str">
        <f>CONCATENATE(A1391,".",B1391,".",C1391,".",D1391,)</f>
        <v>2.4.4.6</v>
      </c>
      <c r="G1391" s="1664" t="s">
        <v>340</v>
      </c>
      <c r="H1391" s="1601" t="s">
        <v>247</v>
      </c>
      <c r="I1391" s="1614" t="s">
        <v>799</v>
      </c>
      <c r="J1391" s="36" t="s">
        <v>79</v>
      </c>
      <c r="K1391" s="896"/>
      <c r="L1391" s="383">
        <v>2</v>
      </c>
      <c r="M1391" s="383">
        <v>0</v>
      </c>
      <c r="N1391" s="383">
        <v>0</v>
      </c>
      <c r="O1391" s="383">
        <v>0</v>
      </c>
      <c r="P1391" s="383">
        <v>0</v>
      </c>
      <c r="Q1391" s="1475">
        <f>L1391*H1396</f>
        <v>24360</v>
      </c>
      <c r="R1391" s="1475">
        <f>M1391*H1396</f>
        <v>0</v>
      </c>
      <c r="S1391" s="1475">
        <f>N1391*H1396</f>
        <v>0</v>
      </c>
      <c r="T1391" s="1475">
        <f>O1391*H1396</f>
        <v>0</v>
      </c>
      <c r="U1391" s="1475">
        <f>P1391*H1396</f>
        <v>0</v>
      </c>
      <c r="V1391" s="1475">
        <f t="shared" ref="V1391:V1400" si="693">SUM(Q1391:U1391)</f>
        <v>24360</v>
      </c>
    </row>
    <row r="1392" spans="1:22" s="39" customFormat="1" ht="24" customHeight="1">
      <c r="A1392" s="1860">
        <v>2</v>
      </c>
      <c r="B1392" s="1860"/>
      <c r="C1392" s="1860"/>
      <c r="D1392" s="1860"/>
      <c r="E1392" s="1839"/>
      <c r="F1392" s="1841"/>
      <c r="G1392" s="1665"/>
      <c r="H1392" s="1601"/>
      <c r="I1392" s="1615"/>
      <c r="J1392" s="40" t="s">
        <v>80</v>
      </c>
      <c r="K1392" s="91"/>
      <c r="L1392" s="364">
        <f t="shared" ref="L1392:U1392" si="694">SUM(L1393:L1399)</f>
        <v>2</v>
      </c>
      <c r="M1392" s="364">
        <f t="shared" si="694"/>
        <v>0</v>
      </c>
      <c r="N1392" s="364">
        <f t="shared" si="694"/>
        <v>0</v>
      </c>
      <c r="O1392" s="364">
        <f t="shared" si="694"/>
        <v>0</v>
      </c>
      <c r="P1392" s="364">
        <f t="shared" si="694"/>
        <v>0</v>
      </c>
      <c r="Q1392" s="1475">
        <f t="shared" si="694"/>
        <v>24360</v>
      </c>
      <c r="R1392" s="1475">
        <f t="shared" si="694"/>
        <v>0</v>
      </c>
      <c r="S1392" s="1475">
        <f t="shared" si="694"/>
        <v>0</v>
      </c>
      <c r="T1392" s="1475">
        <f t="shared" si="694"/>
        <v>0</v>
      </c>
      <c r="U1392" s="1475">
        <f t="shared" si="694"/>
        <v>0</v>
      </c>
      <c r="V1392" s="1475">
        <f t="shared" si="693"/>
        <v>24360</v>
      </c>
    </row>
    <row r="1393" spans="1:22" s="39" customFormat="1" ht="24" customHeight="1">
      <c r="A1393" s="1860">
        <v>2</v>
      </c>
      <c r="B1393" s="1860"/>
      <c r="C1393" s="1860"/>
      <c r="D1393" s="1860"/>
      <c r="E1393" s="1839"/>
      <c r="F1393" s="1841"/>
      <c r="G1393" s="1665"/>
      <c r="H1393" s="1601"/>
      <c r="I1393" s="1615"/>
      <c r="J1393" s="40" t="s">
        <v>429</v>
      </c>
      <c r="K1393" s="91"/>
      <c r="L1393" s="364">
        <v>0</v>
      </c>
      <c r="M1393" s="364">
        <v>0</v>
      </c>
      <c r="N1393" s="364">
        <v>0</v>
      </c>
      <c r="O1393" s="364">
        <v>0</v>
      </c>
      <c r="P1393" s="364">
        <v>0</v>
      </c>
      <c r="Q1393" s="1475">
        <f>L1393*$H1396</f>
        <v>0</v>
      </c>
      <c r="R1393" s="1475">
        <f>M1393*$H1396</f>
        <v>0</v>
      </c>
      <c r="S1393" s="1475">
        <f>N1393*$H1396</f>
        <v>0</v>
      </c>
      <c r="T1393" s="1475">
        <f>O1393*$H1396</f>
        <v>0</v>
      </c>
      <c r="U1393" s="1475">
        <f>P1393*$H1396</f>
        <v>0</v>
      </c>
      <c r="V1393" s="1475">
        <f t="shared" si="693"/>
        <v>0</v>
      </c>
    </row>
    <row r="1394" spans="1:22" s="39" customFormat="1" ht="24" customHeight="1">
      <c r="A1394" s="1860">
        <v>2</v>
      </c>
      <c r="B1394" s="1860"/>
      <c r="C1394" s="1860"/>
      <c r="D1394" s="1860"/>
      <c r="E1394" s="1839"/>
      <c r="F1394" s="1841"/>
      <c r="G1394" s="1665"/>
      <c r="H1394" s="1601"/>
      <c r="I1394" s="1615"/>
      <c r="J1394" s="40" t="s">
        <v>133</v>
      </c>
      <c r="K1394" s="91"/>
      <c r="L1394" s="364">
        <v>0</v>
      </c>
      <c r="M1394" s="364">
        <v>0</v>
      </c>
      <c r="N1394" s="364">
        <v>0</v>
      </c>
      <c r="O1394" s="364">
        <v>0</v>
      </c>
      <c r="P1394" s="364">
        <v>0</v>
      </c>
      <c r="Q1394" s="1475">
        <f>L1394*$H1396</f>
        <v>0</v>
      </c>
      <c r="R1394" s="1475">
        <f>M1394*$H1396</f>
        <v>0</v>
      </c>
      <c r="S1394" s="1475">
        <f>N1394*$H1396</f>
        <v>0</v>
      </c>
      <c r="T1394" s="1475">
        <f>O1394*$H1396</f>
        <v>0</v>
      </c>
      <c r="U1394" s="1475">
        <f>P1394*$H1396</f>
        <v>0</v>
      </c>
      <c r="V1394" s="1475">
        <f t="shared" si="693"/>
        <v>0</v>
      </c>
    </row>
    <row r="1395" spans="1:22" s="39" customFormat="1" ht="24" customHeight="1">
      <c r="A1395" s="1860">
        <v>2</v>
      </c>
      <c r="B1395" s="1860"/>
      <c r="C1395" s="1860"/>
      <c r="D1395" s="1860"/>
      <c r="E1395" s="1839"/>
      <c r="F1395" s="1841"/>
      <c r="G1395" s="1665"/>
      <c r="H1395" s="1601"/>
      <c r="I1395" s="1615"/>
      <c r="J1395" s="40" t="s">
        <v>81</v>
      </c>
      <c r="K1395" s="42"/>
      <c r="L1395" s="364">
        <v>0</v>
      </c>
      <c r="M1395" s="364">
        <v>0</v>
      </c>
      <c r="N1395" s="364">
        <v>0</v>
      </c>
      <c r="O1395" s="364">
        <v>0</v>
      </c>
      <c r="P1395" s="364">
        <v>0</v>
      </c>
      <c r="Q1395" s="1475">
        <f>L1395*$H1396</f>
        <v>0</v>
      </c>
      <c r="R1395" s="1475">
        <f>M1395*$H1396</f>
        <v>0</v>
      </c>
      <c r="S1395" s="1475">
        <f>N1395*$H1396</f>
        <v>0</v>
      </c>
      <c r="T1395" s="1475">
        <f>O1395*$H1396</f>
        <v>0</v>
      </c>
      <c r="U1395" s="1475">
        <f>P1395*$H1396</f>
        <v>0</v>
      </c>
      <c r="V1395" s="1475">
        <f t="shared" si="693"/>
        <v>0</v>
      </c>
    </row>
    <row r="1396" spans="1:22" s="39" customFormat="1" ht="24" customHeight="1">
      <c r="A1396" s="1860">
        <v>2</v>
      </c>
      <c r="B1396" s="1860"/>
      <c r="C1396" s="1860"/>
      <c r="D1396" s="1860"/>
      <c r="E1396" s="1839"/>
      <c r="F1396" s="1841"/>
      <c r="G1396" s="1665"/>
      <c r="H1396" s="1667">
        <f>'Budget assumption'!$G$15</f>
        <v>12180</v>
      </c>
      <c r="I1396" s="1615"/>
      <c r="J1396" s="40" t="s">
        <v>134</v>
      </c>
      <c r="K1396" s="42"/>
      <c r="L1396" s="364">
        <v>0</v>
      </c>
      <c r="M1396" s="364">
        <v>0</v>
      </c>
      <c r="N1396" s="364">
        <v>0</v>
      </c>
      <c r="O1396" s="364">
        <v>0</v>
      </c>
      <c r="P1396" s="364">
        <v>0</v>
      </c>
      <c r="Q1396" s="1475">
        <f>L1396*$H1396</f>
        <v>0</v>
      </c>
      <c r="R1396" s="1475">
        <f>M1396*$H1396</f>
        <v>0</v>
      </c>
      <c r="S1396" s="1475">
        <f>N1396*$H1396</f>
        <v>0</v>
      </c>
      <c r="T1396" s="1475">
        <f>O1396*$H1396</f>
        <v>0</v>
      </c>
      <c r="U1396" s="1475">
        <f>P1396*$H1396</f>
        <v>0</v>
      </c>
      <c r="V1396" s="1475">
        <f t="shared" si="693"/>
        <v>0</v>
      </c>
    </row>
    <row r="1397" spans="1:22" s="39" customFormat="1" ht="24" customHeight="1">
      <c r="A1397" s="1860">
        <v>2</v>
      </c>
      <c r="B1397" s="1860"/>
      <c r="C1397" s="1860"/>
      <c r="D1397" s="1860"/>
      <c r="E1397" s="1839"/>
      <c r="F1397" s="1841"/>
      <c r="G1397" s="1665"/>
      <c r="H1397" s="1668"/>
      <c r="I1397" s="1615"/>
      <c r="J1397" s="40" t="s">
        <v>82</v>
      </c>
      <c r="K1397" s="42"/>
      <c r="L1397" s="364">
        <v>2</v>
      </c>
      <c r="M1397" s="364">
        <v>0</v>
      </c>
      <c r="N1397" s="364">
        <v>0</v>
      </c>
      <c r="O1397" s="364">
        <v>0</v>
      </c>
      <c r="P1397" s="364">
        <v>0</v>
      </c>
      <c r="Q1397" s="1475">
        <f>L1397*$H1396</f>
        <v>24360</v>
      </c>
      <c r="R1397" s="1475">
        <f>M1397*$H1396</f>
        <v>0</v>
      </c>
      <c r="S1397" s="1475">
        <f>N1397*$H1396</f>
        <v>0</v>
      </c>
      <c r="T1397" s="1475">
        <f>O1397*$H1396</f>
        <v>0</v>
      </c>
      <c r="U1397" s="1475">
        <f>P1397*$H1396</f>
        <v>0</v>
      </c>
      <c r="V1397" s="1475">
        <f t="shared" si="693"/>
        <v>24360</v>
      </c>
    </row>
    <row r="1398" spans="1:22" s="39" customFormat="1" ht="24" customHeight="1">
      <c r="A1398" s="1860">
        <v>2</v>
      </c>
      <c r="B1398" s="1860"/>
      <c r="C1398" s="1860"/>
      <c r="D1398" s="1860"/>
      <c r="E1398" s="1839"/>
      <c r="F1398" s="1841"/>
      <c r="G1398" s="1665"/>
      <c r="H1398" s="1668"/>
      <c r="I1398" s="1615"/>
      <c r="J1398" s="40" t="s">
        <v>90</v>
      </c>
      <c r="K1398" s="42"/>
      <c r="L1398" s="364">
        <v>0</v>
      </c>
      <c r="M1398" s="364">
        <v>0</v>
      </c>
      <c r="N1398" s="364">
        <v>0</v>
      </c>
      <c r="O1398" s="364">
        <v>0</v>
      </c>
      <c r="P1398" s="364">
        <v>0</v>
      </c>
      <c r="Q1398" s="1475">
        <f>L1398*$H1396</f>
        <v>0</v>
      </c>
      <c r="R1398" s="1475">
        <f>M1398*$H1396</f>
        <v>0</v>
      </c>
      <c r="S1398" s="1475">
        <f>N1398*$H1396</f>
        <v>0</v>
      </c>
      <c r="T1398" s="1475">
        <f>O1398*$H1396</f>
        <v>0</v>
      </c>
      <c r="U1398" s="1475">
        <f>P1398*$H1396</f>
        <v>0</v>
      </c>
      <c r="V1398" s="1475">
        <f t="shared" si="693"/>
        <v>0</v>
      </c>
    </row>
    <row r="1399" spans="1:22" s="39" customFormat="1" ht="24" customHeight="1">
      <c r="A1399" s="1860">
        <v>2</v>
      </c>
      <c r="B1399" s="1860"/>
      <c r="C1399" s="1860"/>
      <c r="D1399" s="1860"/>
      <c r="E1399" s="1839"/>
      <c r="F1399" s="1841"/>
      <c r="G1399" s="1665"/>
      <c r="H1399" s="1668"/>
      <c r="I1399" s="1615"/>
      <c r="J1399" s="40" t="s">
        <v>83</v>
      </c>
      <c r="K1399" s="42"/>
      <c r="L1399" s="364">
        <v>0</v>
      </c>
      <c r="M1399" s="364">
        <v>0</v>
      </c>
      <c r="N1399" s="364">
        <v>0</v>
      </c>
      <c r="O1399" s="364">
        <v>0</v>
      </c>
      <c r="P1399" s="364">
        <v>0</v>
      </c>
      <c r="Q1399" s="1475">
        <f>L1399*$H1396</f>
        <v>0</v>
      </c>
      <c r="R1399" s="1475">
        <f>M1399*$H1396</f>
        <v>0</v>
      </c>
      <c r="S1399" s="1475">
        <f>N1399*$H1396</f>
        <v>0</v>
      </c>
      <c r="T1399" s="1475">
        <f>O1399*$H1396</f>
        <v>0</v>
      </c>
      <c r="U1399" s="1475">
        <f>P1399*$H1396</f>
        <v>0</v>
      </c>
      <c r="V1399" s="1475">
        <f t="shared" si="693"/>
        <v>0</v>
      </c>
    </row>
    <row r="1400" spans="1:22" s="39" customFormat="1" ht="24" customHeight="1">
      <c r="A1400" s="1860">
        <v>2</v>
      </c>
      <c r="B1400" s="1860"/>
      <c r="C1400" s="1860"/>
      <c r="D1400" s="1860"/>
      <c r="E1400" s="1839"/>
      <c r="F1400" s="1841"/>
      <c r="G1400" s="1665"/>
      <c r="H1400" s="1668"/>
      <c r="I1400" s="1615"/>
      <c r="J1400" s="40" t="s">
        <v>84</v>
      </c>
      <c r="K1400" s="42"/>
      <c r="L1400" s="364">
        <f>L1391-L1392</f>
        <v>0</v>
      </c>
      <c r="M1400" s="364">
        <f t="shared" ref="M1400:U1400" si="695">M1391-M1392</f>
        <v>0</v>
      </c>
      <c r="N1400" s="364">
        <f t="shared" si="695"/>
        <v>0</v>
      </c>
      <c r="O1400" s="364">
        <f t="shared" si="695"/>
        <v>0</v>
      </c>
      <c r="P1400" s="364">
        <f t="shared" si="695"/>
        <v>0</v>
      </c>
      <c r="Q1400" s="1475">
        <f t="shared" si="695"/>
        <v>0</v>
      </c>
      <c r="R1400" s="1475">
        <f t="shared" si="695"/>
        <v>0</v>
      </c>
      <c r="S1400" s="1475">
        <f t="shared" si="695"/>
        <v>0</v>
      </c>
      <c r="T1400" s="1475">
        <f t="shared" si="695"/>
        <v>0</v>
      </c>
      <c r="U1400" s="1475">
        <f t="shared" si="695"/>
        <v>0</v>
      </c>
      <c r="V1400" s="1475">
        <f t="shared" si="693"/>
        <v>0</v>
      </c>
    </row>
    <row r="1401" spans="1:22" s="39" customFormat="1" ht="24" customHeight="1">
      <c r="A1401" s="75">
        <v>2</v>
      </c>
      <c r="B1401" s="75">
        <v>4</v>
      </c>
      <c r="C1401" s="75">
        <v>5</v>
      </c>
      <c r="D1401" s="75"/>
      <c r="E1401" s="74" t="s">
        <v>13</v>
      </c>
      <c r="F1401" s="71" t="str">
        <f>CONCATENATE(A1401,".",B1401,".",C1401,)</f>
        <v>2.4.5</v>
      </c>
      <c r="G1401" s="1576" t="s">
        <v>315</v>
      </c>
      <c r="H1401" s="1577"/>
      <c r="I1401" s="1577"/>
      <c r="J1401" s="1578"/>
      <c r="K1401" s="66"/>
      <c r="L1401" s="382"/>
      <c r="M1401" s="382"/>
      <c r="N1401" s="382"/>
      <c r="O1401" s="382"/>
      <c r="P1401" s="382"/>
      <c r="Q1401" s="1521">
        <f>Q1403+Q1413+Q1423</f>
        <v>0</v>
      </c>
      <c r="R1401" s="1521">
        <f t="shared" ref="R1401:U1401" si="696">R1403+R1413+R1423</f>
        <v>0</v>
      </c>
      <c r="S1401" s="1521">
        <f t="shared" si="696"/>
        <v>0</v>
      </c>
      <c r="T1401" s="1521">
        <f t="shared" si="696"/>
        <v>0</v>
      </c>
      <c r="U1401" s="1521">
        <f t="shared" si="696"/>
        <v>0</v>
      </c>
      <c r="V1401" s="1521">
        <f t="shared" ref="V1401:V1421" si="697">SUM(Q1401:U1401)</f>
        <v>0</v>
      </c>
    </row>
    <row r="1402" spans="1:22" s="39" customFormat="1" ht="24" customHeight="1">
      <c r="A1402" s="1860">
        <v>2</v>
      </c>
      <c r="B1402" s="1860">
        <v>4</v>
      </c>
      <c r="C1402" s="1860">
        <v>5</v>
      </c>
      <c r="D1402" s="1860">
        <v>1</v>
      </c>
      <c r="E1402" s="1839" t="s">
        <v>15</v>
      </c>
      <c r="F1402" s="1841" t="str">
        <f>CONCATENATE(A1402,".",B1402,".",C1402,".",D1402,)</f>
        <v>2.4.5.1</v>
      </c>
      <c r="G1402" s="1881" t="s">
        <v>1098</v>
      </c>
      <c r="H1402" s="1601" t="s">
        <v>195</v>
      </c>
      <c r="I1402" s="1655" t="s">
        <v>1099</v>
      </c>
      <c r="J1402" s="36" t="s">
        <v>79</v>
      </c>
      <c r="K1402" s="896"/>
      <c r="L1402" s="383">
        <v>50</v>
      </c>
      <c r="M1402" s="383">
        <v>60</v>
      </c>
      <c r="N1402" s="383">
        <v>50</v>
      </c>
      <c r="O1402" s="383">
        <v>0</v>
      </c>
      <c r="P1402" s="383">
        <v>0</v>
      </c>
      <c r="Q1402" s="1475">
        <f>L1402*H1407</f>
        <v>100000</v>
      </c>
      <c r="R1402" s="1475">
        <f>M1402*H1407</f>
        <v>120000</v>
      </c>
      <c r="S1402" s="1475">
        <f>N1402*H1407</f>
        <v>100000</v>
      </c>
      <c r="T1402" s="1475">
        <f>O1402*H1407</f>
        <v>0</v>
      </c>
      <c r="U1402" s="1475">
        <f>P1402*H1407</f>
        <v>0</v>
      </c>
      <c r="V1402" s="1475">
        <f t="shared" si="697"/>
        <v>320000</v>
      </c>
    </row>
    <row r="1403" spans="1:22" s="39" customFormat="1" ht="24" customHeight="1">
      <c r="A1403" s="1860">
        <v>2</v>
      </c>
      <c r="B1403" s="1860"/>
      <c r="C1403" s="1860"/>
      <c r="D1403" s="1860"/>
      <c r="E1403" s="1839"/>
      <c r="F1403" s="1841"/>
      <c r="G1403" s="1882"/>
      <c r="H1403" s="1601"/>
      <c r="I1403" s="1656"/>
      <c r="J1403" s="40" t="s">
        <v>80</v>
      </c>
      <c r="K1403" s="91"/>
      <c r="L1403" s="364">
        <f t="shared" ref="L1403:P1403" si="698">SUM(L1404:L1410)</f>
        <v>0</v>
      </c>
      <c r="M1403" s="364">
        <f t="shared" si="698"/>
        <v>0</v>
      </c>
      <c r="N1403" s="364">
        <f t="shared" si="698"/>
        <v>0</v>
      </c>
      <c r="O1403" s="364">
        <f t="shared" si="698"/>
        <v>0</v>
      </c>
      <c r="P1403" s="364">
        <f t="shared" si="698"/>
        <v>0</v>
      </c>
      <c r="Q1403" s="1475">
        <f t="shared" ref="Q1403:U1403" si="699">SUM(Q1404:Q1410)</f>
        <v>0</v>
      </c>
      <c r="R1403" s="1475">
        <f t="shared" si="699"/>
        <v>0</v>
      </c>
      <c r="S1403" s="1475">
        <f t="shared" si="699"/>
        <v>0</v>
      </c>
      <c r="T1403" s="1475">
        <f t="shared" si="699"/>
        <v>0</v>
      </c>
      <c r="U1403" s="1475">
        <f t="shared" si="699"/>
        <v>0</v>
      </c>
      <c r="V1403" s="1475">
        <f t="shared" si="697"/>
        <v>0</v>
      </c>
    </row>
    <row r="1404" spans="1:22" s="39" customFormat="1" ht="24" customHeight="1">
      <c r="A1404" s="1860">
        <v>2</v>
      </c>
      <c r="B1404" s="1860"/>
      <c r="C1404" s="1860"/>
      <c r="D1404" s="1860"/>
      <c r="E1404" s="1839"/>
      <c r="F1404" s="1841"/>
      <c r="G1404" s="1882"/>
      <c r="H1404" s="1601"/>
      <c r="I1404" s="1656"/>
      <c r="J1404" s="40" t="s">
        <v>429</v>
      </c>
      <c r="K1404" s="91"/>
      <c r="L1404" s="364">
        <v>0</v>
      </c>
      <c r="M1404" s="364">
        <v>0</v>
      </c>
      <c r="N1404" s="364">
        <v>0</v>
      </c>
      <c r="O1404" s="364">
        <v>0</v>
      </c>
      <c r="P1404" s="364">
        <v>0</v>
      </c>
      <c r="Q1404" s="1475">
        <f>L1404*$H1407</f>
        <v>0</v>
      </c>
      <c r="R1404" s="1475">
        <f>M1404*$H1407</f>
        <v>0</v>
      </c>
      <c r="S1404" s="1475">
        <f>N1404*$H1407</f>
        <v>0</v>
      </c>
      <c r="T1404" s="1475">
        <f>O1404*$H1407</f>
        <v>0</v>
      </c>
      <c r="U1404" s="1475">
        <f>P1404*$H1407</f>
        <v>0</v>
      </c>
      <c r="V1404" s="1475">
        <f t="shared" si="697"/>
        <v>0</v>
      </c>
    </row>
    <row r="1405" spans="1:22" s="39" customFormat="1" ht="24" customHeight="1">
      <c r="A1405" s="1860">
        <v>2</v>
      </c>
      <c r="B1405" s="1860"/>
      <c r="C1405" s="1860"/>
      <c r="D1405" s="1860"/>
      <c r="E1405" s="1839"/>
      <c r="F1405" s="1841"/>
      <c r="G1405" s="1882"/>
      <c r="H1405" s="1601"/>
      <c r="I1405" s="1656"/>
      <c r="J1405" s="40" t="s">
        <v>133</v>
      </c>
      <c r="K1405" s="91"/>
      <c r="L1405" s="364">
        <v>0</v>
      </c>
      <c r="M1405" s="364">
        <v>0</v>
      </c>
      <c r="N1405" s="364">
        <v>0</v>
      </c>
      <c r="O1405" s="364">
        <v>0</v>
      </c>
      <c r="P1405" s="364">
        <v>0</v>
      </c>
      <c r="Q1405" s="1475">
        <f>L1405*$H1407</f>
        <v>0</v>
      </c>
      <c r="R1405" s="1475">
        <f>M1405*$H1407</f>
        <v>0</v>
      </c>
      <c r="S1405" s="1475">
        <f>N1405*$H1407</f>
        <v>0</v>
      </c>
      <c r="T1405" s="1475">
        <f>O1405*$H1407</f>
        <v>0</v>
      </c>
      <c r="U1405" s="1475">
        <f>P1405*$H1407</f>
        <v>0</v>
      </c>
      <c r="V1405" s="1475">
        <f t="shared" si="697"/>
        <v>0</v>
      </c>
    </row>
    <row r="1406" spans="1:22" s="39" customFormat="1" ht="24" customHeight="1">
      <c r="A1406" s="1860">
        <v>2</v>
      </c>
      <c r="B1406" s="1860"/>
      <c r="C1406" s="1860"/>
      <c r="D1406" s="1860"/>
      <c r="E1406" s="1839"/>
      <c r="F1406" s="1841"/>
      <c r="G1406" s="1882"/>
      <c r="H1406" s="1601"/>
      <c r="I1406" s="1656"/>
      <c r="J1406" s="40" t="s">
        <v>81</v>
      </c>
      <c r="K1406" s="91"/>
      <c r="L1406" s="364">
        <v>0</v>
      </c>
      <c r="M1406" s="364">
        <v>0</v>
      </c>
      <c r="N1406" s="364">
        <v>0</v>
      </c>
      <c r="O1406" s="364">
        <v>0</v>
      </c>
      <c r="P1406" s="364">
        <v>0</v>
      </c>
      <c r="Q1406" s="1475">
        <f>L1406*$H1407</f>
        <v>0</v>
      </c>
      <c r="R1406" s="1475">
        <f>M1406*$H1407</f>
        <v>0</v>
      </c>
      <c r="S1406" s="1475">
        <f>N1406*$H1407</f>
        <v>0</v>
      </c>
      <c r="T1406" s="1475">
        <f>O1406*$H1407</f>
        <v>0</v>
      </c>
      <c r="U1406" s="1475">
        <f>P1406*$H1407</f>
        <v>0</v>
      </c>
      <c r="V1406" s="1475">
        <f t="shared" si="697"/>
        <v>0</v>
      </c>
    </row>
    <row r="1407" spans="1:22" s="39" customFormat="1" ht="24" customHeight="1">
      <c r="A1407" s="1860">
        <v>2</v>
      </c>
      <c r="B1407" s="1860"/>
      <c r="C1407" s="1860"/>
      <c r="D1407" s="1860"/>
      <c r="E1407" s="1839"/>
      <c r="F1407" s="1841"/>
      <c r="G1407" s="1882"/>
      <c r="H1407" s="1667">
        <f>'Budget assumption'!C4</f>
        <v>2000</v>
      </c>
      <c r="I1407" s="1656"/>
      <c r="J1407" s="40" t="s">
        <v>134</v>
      </c>
      <c r="K1407" s="91"/>
      <c r="L1407" s="364">
        <v>0</v>
      </c>
      <c r="M1407" s="364">
        <v>0</v>
      </c>
      <c r="N1407" s="364">
        <v>0</v>
      </c>
      <c r="O1407" s="364">
        <v>0</v>
      </c>
      <c r="P1407" s="364">
        <v>0</v>
      </c>
      <c r="Q1407" s="1475">
        <f>L1407*$H1407</f>
        <v>0</v>
      </c>
      <c r="R1407" s="1475">
        <f>M1407*$H1407</f>
        <v>0</v>
      </c>
      <c r="S1407" s="1475">
        <f>N1407*$H1407</f>
        <v>0</v>
      </c>
      <c r="T1407" s="1475">
        <f>O1407*$H1407</f>
        <v>0</v>
      </c>
      <c r="U1407" s="1475">
        <f>P1407*$H1407</f>
        <v>0</v>
      </c>
      <c r="V1407" s="1475">
        <f t="shared" si="697"/>
        <v>0</v>
      </c>
    </row>
    <row r="1408" spans="1:22" s="39" customFormat="1" ht="24" customHeight="1">
      <c r="A1408" s="1860">
        <v>2</v>
      </c>
      <c r="B1408" s="1860"/>
      <c r="C1408" s="1860"/>
      <c r="D1408" s="1860"/>
      <c r="E1408" s="1839"/>
      <c r="F1408" s="1841"/>
      <c r="G1408" s="1882"/>
      <c r="H1408" s="1668"/>
      <c r="I1408" s="1656"/>
      <c r="J1408" s="40" t="s">
        <v>82</v>
      </c>
      <c r="K1408" s="91"/>
      <c r="L1408" s="364">
        <v>0</v>
      </c>
      <c r="M1408" s="364">
        <v>0</v>
      </c>
      <c r="N1408" s="364">
        <v>0</v>
      </c>
      <c r="O1408" s="364">
        <v>0</v>
      </c>
      <c r="P1408" s="364">
        <v>0</v>
      </c>
      <c r="Q1408" s="1475">
        <f>L1408*$H1407</f>
        <v>0</v>
      </c>
      <c r="R1408" s="1475">
        <f>M1408*$H1407</f>
        <v>0</v>
      </c>
      <c r="S1408" s="1475">
        <f>N1408*$H1407</f>
        <v>0</v>
      </c>
      <c r="T1408" s="1475">
        <f>O1408*$H1407</f>
        <v>0</v>
      </c>
      <c r="U1408" s="1475">
        <f>P1408*$H1407</f>
        <v>0</v>
      </c>
      <c r="V1408" s="1475">
        <f t="shared" si="697"/>
        <v>0</v>
      </c>
    </row>
    <row r="1409" spans="1:22" s="39" customFormat="1" ht="24" customHeight="1">
      <c r="A1409" s="1860">
        <v>2</v>
      </c>
      <c r="B1409" s="1860"/>
      <c r="C1409" s="1860"/>
      <c r="D1409" s="1860"/>
      <c r="E1409" s="1839"/>
      <c r="F1409" s="1841"/>
      <c r="G1409" s="1882"/>
      <c r="H1409" s="1668"/>
      <c r="I1409" s="1656"/>
      <c r="J1409" s="40" t="s">
        <v>90</v>
      </c>
      <c r="K1409" s="91"/>
      <c r="L1409" s="364">
        <v>0</v>
      </c>
      <c r="M1409" s="364">
        <v>0</v>
      </c>
      <c r="N1409" s="364">
        <v>0</v>
      </c>
      <c r="O1409" s="364">
        <v>0</v>
      </c>
      <c r="P1409" s="364">
        <v>0</v>
      </c>
      <c r="Q1409" s="1475">
        <f>L1409*$H1407</f>
        <v>0</v>
      </c>
      <c r="R1409" s="1475">
        <f>M1409*$H1407</f>
        <v>0</v>
      </c>
      <c r="S1409" s="1475">
        <f>N1409*$H1407</f>
        <v>0</v>
      </c>
      <c r="T1409" s="1475">
        <f>O1409*$H1407</f>
        <v>0</v>
      </c>
      <c r="U1409" s="1475">
        <f>P1409*$H1407</f>
        <v>0</v>
      </c>
      <c r="V1409" s="1475">
        <f t="shared" si="697"/>
        <v>0</v>
      </c>
    </row>
    <row r="1410" spans="1:22" s="39" customFormat="1" ht="24" customHeight="1">
      <c r="A1410" s="1860">
        <v>2</v>
      </c>
      <c r="B1410" s="1860"/>
      <c r="C1410" s="1860"/>
      <c r="D1410" s="1860"/>
      <c r="E1410" s="1839"/>
      <c r="F1410" s="1841"/>
      <c r="G1410" s="1882"/>
      <c r="H1410" s="1668"/>
      <c r="I1410" s="1656"/>
      <c r="J1410" s="40" t="s">
        <v>83</v>
      </c>
      <c r="K1410" s="91"/>
      <c r="L1410" s="364">
        <v>0</v>
      </c>
      <c r="M1410" s="364">
        <v>0</v>
      </c>
      <c r="N1410" s="364">
        <v>0</v>
      </c>
      <c r="O1410" s="364">
        <v>0</v>
      </c>
      <c r="P1410" s="364">
        <v>0</v>
      </c>
      <c r="Q1410" s="1475">
        <f>L1410*$H1407</f>
        <v>0</v>
      </c>
      <c r="R1410" s="1475">
        <f>M1410*$H1407</f>
        <v>0</v>
      </c>
      <c r="S1410" s="1475">
        <f>N1410*$H1407</f>
        <v>0</v>
      </c>
      <c r="T1410" s="1475">
        <f>O1410*$H1407</f>
        <v>0</v>
      </c>
      <c r="U1410" s="1475">
        <f>P1410*$H1407</f>
        <v>0</v>
      </c>
      <c r="V1410" s="1475">
        <f t="shared" si="697"/>
        <v>0</v>
      </c>
    </row>
    <row r="1411" spans="1:22" s="39" customFormat="1" ht="51.75" customHeight="1" thickBot="1">
      <c r="A1411" s="1860">
        <v>2</v>
      </c>
      <c r="B1411" s="1860"/>
      <c r="C1411" s="1860"/>
      <c r="D1411" s="1860"/>
      <c r="E1411" s="1839"/>
      <c r="F1411" s="1841"/>
      <c r="G1411" s="1905"/>
      <c r="H1411" s="1669"/>
      <c r="I1411" s="1657"/>
      <c r="J1411" s="40" t="s">
        <v>84</v>
      </c>
      <c r="K1411" s="91"/>
      <c r="L1411" s="364">
        <f>L1402-L1403</f>
        <v>50</v>
      </c>
      <c r="M1411" s="364">
        <v>60</v>
      </c>
      <c r="N1411" s="364">
        <f t="shared" ref="N1411:P1411" si="700">N1402-N1403</f>
        <v>50</v>
      </c>
      <c r="O1411" s="364">
        <f t="shared" si="700"/>
        <v>0</v>
      </c>
      <c r="P1411" s="364">
        <f t="shared" si="700"/>
        <v>0</v>
      </c>
      <c r="Q1411" s="1475">
        <f t="shared" ref="Q1411:U1411" si="701">Q1402-Q1403</f>
        <v>100000</v>
      </c>
      <c r="R1411" s="1475">
        <f t="shared" si="701"/>
        <v>120000</v>
      </c>
      <c r="S1411" s="1475">
        <f t="shared" si="701"/>
        <v>100000</v>
      </c>
      <c r="T1411" s="1475">
        <f t="shared" si="701"/>
        <v>0</v>
      </c>
      <c r="U1411" s="1475">
        <f t="shared" si="701"/>
        <v>0</v>
      </c>
      <c r="V1411" s="1475">
        <f t="shared" si="697"/>
        <v>320000</v>
      </c>
    </row>
    <row r="1412" spans="1:22" s="39" customFormat="1" ht="24" customHeight="1">
      <c r="A1412" s="1860">
        <v>2</v>
      </c>
      <c r="B1412" s="1860">
        <v>4</v>
      </c>
      <c r="C1412" s="1860">
        <v>5</v>
      </c>
      <c r="D1412" s="1860">
        <v>2</v>
      </c>
      <c r="E1412" s="1839" t="s">
        <v>15</v>
      </c>
      <c r="F1412" s="1841" t="str">
        <f>CONCATENATE(A1412,".",B1412,".",C1412,".",D1412,)</f>
        <v>2.4.5.2</v>
      </c>
      <c r="G1412" s="1881" t="s">
        <v>201</v>
      </c>
      <c r="H1412" s="1601" t="s">
        <v>195</v>
      </c>
      <c r="I1412" s="1614" t="s">
        <v>354</v>
      </c>
      <c r="J1412" s="36" t="s">
        <v>79</v>
      </c>
      <c r="K1412" s="896"/>
      <c r="L1412" s="383">
        <v>20</v>
      </c>
      <c r="M1412" s="383">
        <v>20</v>
      </c>
      <c r="N1412" s="383">
        <v>20</v>
      </c>
      <c r="O1412" s="383">
        <v>0</v>
      </c>
      <c r="P1412" s="383">
        <v>0</v>
      </c>
      <c r="Q1412" s="1475">
        <f>L1412*H1417</f>
        <v>40000</v>
      </c>
      <c r="R1412" s="1475">
        <f>M1412*H1417</f>
        <v>40000</v>
      </c>
      <c r="S1412" s="1475">
        <f>N1412*H1417</f>
        <v>40000</v>
      </c>
      <c r="T1412" s="1475">
        <f>O1412*H1417</f>
        <v>0</v>
      </c>
      <c r="U1412" s="1475">
        <f>P1412*H1417</f>
        <v>0</v>
      </c>
      <c r="V1412" s="1475">
        <f t="shared" si="697"/>
        <v>120000</v>
      </c>
    </row>
    <row r="1413" spans="1:22" s="39" customFormat="1" ht="24" customHeight="1">
      <c r="A1413" s="1860">
        <v>2</v>
      </c>
      <c r="B1413" s="1860"/>
      <c r="C1413" s="1860"/>
      <c r="D1413" s="1860"/>
      <c r="E1413" s="1839"/>
      <c r="F1413" s="1841"/>
      <c r="G1413" s="1882"/>
      <c r="H1413" s="1601"/>
      <c r="I1413" s="1615"/>
      <c r="J1413" s="40" t="s">
        <v>80</v>
      </c>
      <c r="K1413" s="91"/>
      <c r="L1413" s="364">
        <f t="shared" ref="L1413:U1413" si="702">SUM(L1414:L1420)</f>
        <v>0</v>
      </c>
      <c r="M1413" s="364">
        <f t="shared" si="702"/>
        <v>0</v>
      </c>
      <c r="N1413" s="364">
        <f t="shared" si="702"/>
        <v>0</v>
      </c>
      <c r="O1413" s="364">
        <f t="shared" si="702"/>
        <v>0</v>
      </c>
      <c r="P1413" s="364">
        <f t="shared" si="702"/>
        <v>0</v>
      </c>
      <c r="Q1413" s="1475">
        <f t="shared" si="702"/>
        <v>0</v>
      </c>
      <c r="R1413" s="1475">
        <f t="shared" si="702"/>
        <v>0</v>
      </c>
      <c r="S1413" s="1475">
        <f t="shared" si="702"/>
        <v>0</v>
      </c>
      <c r="T1413" s="1475">
        <f t="shared" si="702"/>
        <v>0</v>
      </c>
      <c r="U1413" s="1475">
        <f t="shared" si="702"/>
        <v>0</v>
      </c>
      <c r="V1413" s="1475">
        <f t="shared" si="697"/>
        <v>0</v>
      </c>
    </row>
    <row r="1414" spans="1:22" s="39" customFormat="1" ht="24" customHeight="1">
      <c r="A1414" s="1860">
        <v>2</v>
      </c>
      <c r="B1414" s="1860"/>
      <c r="C1414" s="1860"/>
      <c r="D1414" s="1860"/>
      <c r="E1414" s="1839"/>
      <c r="F1414" s="1841"/>
      <c r="G1414" s="1882"/>
      <c r="H1414" s="1601"/>
      <c r="I1414" s="1615"/>
      <c r="J1414" s="40" t="s">
        <v>429</v>
      </c>
      <c r="K1414" s="91"/>
      <c r="L1414" s="364">
        <v>0</v>
      </c>
      <c r="M1414" s="364">
        <v>0</v>
      </c>
      <c r="N1414" s="364">
        <v>0</v>
      </c>
      <c r="O1414" s="364">
        <v>0</v>
      </c>
      <c r="P1414" s="364">
        <v>0</v>
      </c>
      <c r="Q1414" s="1475">
        <f>L1414*$H1417</f>
        <v>0</v>
      </c>
      <c r="R1414" s="1475">
        <f>M1414*$H1417</f>
        <v>0</v>
      </c>
      <c r="S1414" s="1475">
        <f>N1414*$H1417</f>
        <v>0</v>
      </c>
      <c r="T1414" s="1475">
        <f>O1414*$H1417</f>
        <v>0</v>
      </c>
      <c r="U1414" s="1475">
        <f>P1414*$H1417</f>
        <v>0</v>
      </c>
      <c r="V1414" s="1475">
        <f t="shared" si="697"/>
        <v>0</v>
      </c>
    </row>
    <row r="1415" spans="1:22" s="39" customFormat="1" ht="24" customHeight="1">
      <c r="A1415" s="1860">
        <v>2</v>
      </c>
      <c r="B1415" s="1860"/>
      <c r="C1415" s="1860"/>
      <c r="D1415" s="1860"/>
      <c r="E1415" s="1839"/>
      <c r="F1415" s="1841"/>
      <c r="G1415" s="1882"/>
      <c r="H1415" s="1601"/>
      <c r="I1415" s="1615"/>
      <c r="J1415" s="40" t="s">
        <v>133</v>
      </c>
      <c r="K1415" s="91"/>
      <c r="L1415" s="364">
        <v>0</v>
      </c>
      <c r="M1415" s="364">
        <v>0</v>
      </c>
      <c r="N1415" s="364">
        <v>0</v>
      </c>
      <c r="O1415" s="364">
        <v>0</v>
      </c>
      <c r="P1415" s="364">
        <v>0</v>
      </c>
      <c r="Q1415" s="1475">
        <f>L1415*$H1417</f>
        <v>0</v>
      </c>
      <c r="R1415" s="1475">
        <f>M1415*$H1417</f>
        <v>0</v>
      </c>
      <c r="S1415" s="1475">
        <f>N1415*$H1417</f>
        <v>0</v>
      </c>
      <c r="T1415" s="1475">
        <f>O1415*$H1417</f>
        <v>0</v>
      </c>
      <c r="U1415" s="1475">
        <f>P1415*$H1417</f>
        <v>0</v>
      </c>
      <c r="V1415" s="1475">
        <f t="shared" si="697"/>
        <v>0</v>
      </c>
    </row>
    <row r="1416" spans="1:22" s="39" customFormat="1" ht="24" customHeight="1">
      <c r="A1416" s="1860">
        <v>2</v>
      </c>
      <c r="B1416" s="1860"/>
      <c r="C1416" s="1860"/>
      <c r="D1416" s="1860"/>
      <c r="E1416" s="1839"/>
      <c r="F1416" s="1841"/>
      <c r="G1416" s="1882"/>
      <c r="H1416" s="1601"/>
      <c r="I1416" s="1615"/>
      <c r="J1416" s="40" t="s">
        <v>81</v>
      </c>
      <c r="K1416" s="91"/>
      <c r="L1416" s="364">
        <v>0</v>
      </c>
      <c r="M1416" s="364">
        <v>0</v>
      </c>
      <c r="N1416" s="364">
        <v>0</v>
      </c>
      <c r="O1416" s="364">
        <v>0</v>
      </c>
      <c r="P1416" s="364">
        <v>0</v>
      </c>
      <c r="Q1416" s="1475">
        <f>L1416*$H1417</f>
        <v>0</v>
      </c>
      <c r="R1416" s="1475">
        <f>M1416*$H1417</f>
        <v>0</v>
      </c>
      <c r="S1416" s="1475">
        <f>N1416*$H1417</f>
        <v>0</v>
      </c>
      <c r="T1416" s="1475">
        <f>O1416*$H1417</f>
        <v>0</v>
      </c>
      <c r="U1416" s="1475">
        <f>P1416*$H1417</f>
        <v>0</v>
      </c>
      <c r="V1416" s="1475">
        <f t="shared" si="697"/>
        <v>0</v>
      </c>
    </row>
    <row r="1417" spans="1:22" s="39" customFormat="1" ht="24" customHeight="1">
      <c r="A1417" s="1860">
        <v>2</v>
      </c>
      <c r="B1417" s="1860"/>
      <c r="C1417" s="1860"/>
      <c r="D1417" s="1860"/>
      <c r="E1417" s="1839"/>
      <c r="F1417" s="1841"/>
      <c r="G1417" s="1882"/>
      <c r="H1417" s="1667">
        <f>'Budget assumption'!$C$4</f>
        <v>2000</v>
      </c>
      <c r="I1417" s="1615"/>
      <c r="J1417" s="40" t="s">
        <v>134</v>
      </c>
      <c r="K1417" s="91"/>
      <c r="L1417" s="364">
        <v>0</v>
      </c>
      <c r="M1417" s="364">
        <v>0</v>
      </c>
      <c r="N1417" s="364">
        <f>N1347*30%</f>
        <v>0</v>
      </c>
      <c r="O1417" s="364">
        <f>O1347*30%</f>
        <v>0</v>
      </c>
      <c r="P1417" s="364">
        <f>P1347*30%</f>
        <v>0</v>
      </c>
      <c r="Q1417" s="1475">
        <f>L1417*$H1417</f>
        <v>0</v>
      </c>
      <c r="R1417" s="1475">
        <f>M1417*$H1417</f>
        <v>0</v>
      </c>
      <c r="S1417" s="1475">
        <f>N1417*$H1417</f>
        <v>0</v>
      </c>
      <c r="T1417" s="1475">
        <f>O1417*$H1417</f>
        <v>0</v>
      </c>
      <c r="U1417" s="1475">
        <f>P1417*$H1417</f>
        <v>0</v>
      </c>
      <c r="V1417" s="1475">
        <f t="shared" si="697"/>
        <v>0</v>
      </c>
    </row>
    <row r="1418" spans="1:22" s="39" customFormat="1" ht="24" customHeight="1">
      <c r="A1418" s="1860">
        <v>2</v>
      </c>
      <c r="B1418" s="1860"/>
      <c r="C1418" s="1860"/>
      <c r="D1418" s="1860"/>
      <c r="E1418" s="1839"/>
      <c r="F1418" s="1841"/>
      <c r="G1418" s="1882"/>
      <c r="H1418" s="1668"/>
      <c r="I1418" s="1615"/>
      <c r="J1418" s="40" t="s">
        <v>82</v>
      </c>
      <c r="K1418" s="91"/>
      <c r="L1418" s="364">
        <v>0</v>
      </c>
      <c r="M1418" s="364">
        <v>0</v>
      </c>
      <c r="N1418" s="364">
        <v>0</v>
      </c>
      <c r="O1418" s="364">
        <v>0</v>
      </c>
      <c r="P1418" s="364">
        <v>0</v>
      </c>
      <c r="Q1418" s="1475">
        <f>L1418*$H1417</f>
        <v>0</v>
      </c>
      <c r="R1418" s="1475">
        <f>M1418*$H1417</f>
        <v>0</v>
      </c>
      <c r="S1418" s="1475">
        <f>N1418*$H1417</f>
        <v>0</v>
      </c>
      <c r="T1418" s="1475">
        <f>O1418*$H1417</f>
        <v>0</v>
      </c>
      <c r="U1418" s="1475">
        <f>P1418*$H1417</f>
        <v>0</v>
      </c>
      <c r="V1418" s="1475">
        <f t="shared" si="697"/>
        <v>0</v>
      </c>
    </row>
    <row r="1419" spans="1:22" s="39" customFormat="1" ht="24" customHeight="1">
      <c r="A1419" s="1860">
        <v>2</v>
      </c>
      <c r="B1419" s="1860"/>
      <c r="C1419" s="1860"/>
      <c r="D1419" s="1860"/>
      <c r="E1419" s="1839"/>
      <c r="F1419" s="1841"/>
      <c r="G1419" s="1882"/>
      <c r="H1419" s="1668"/>
      <c r="I1419" s="1615"/>
      <c r="J1419" s="40" t="s">
        <v>90</v>
      </c>
      <c r="K1419" s="91"/>
      <c r="L1419" s="364">
        <v>0</v>
      </c>
      <c r="M1419" s="364">
        <v>0</v>
      </c>
      <c r="N1419" s="364">
        <v>0</v>
      </c>
      <c r="O1419" s="364">
        <v>0</v>
      </c>
      <c r="P1419" s="364">
        <v>0</v>
      </c>
      <c r="Q1419" s="1475">
        <f>L1419*$H1417</f>
        <v>0</v>
      </c>
      <c r="R1419" s="1475">
        <f>M1419*$H1417</f>
        <v>0</v>
      </c>
      <c r="S1419" s="1475">
        <f>N1419*$H1417</f>
        <v>0</v>
      </c>
      <c r="T1419" s="1475">
        <f>O1419*$H1417</f>
        <v>0</v>
      </c>
      <c r="U1419" s="1475">
        <f>P1419*$H1417</f>
        <v>0</v>
      </c>
      <c r="V1419" s="1475">
        <f t="shared" si="697"/>
        <v>0</v>
      </c>
    </row>
    <row r="1420" spans="1:22" s="39" customFormat="1" ht="24" customHeight="1">
      <c r="A1420" s="1860">
        <v>2</v>
      </c>
      <c r="B1420" s="1860"/>
      <c r="C1420" s="1860"/>
      <c r="D1420" s="1860"/>
      <c r="E1420" s="1839"/>
      <c r="F1420" s="1841"/>
      <c r="G1420" s="1882"/>
      <c r="H1420" s="1668"/>
      <c r="I1420" s="1615"/>
      <c r="J1420" s="40" t="s">
        <v>83</v>
      </c>
      <c r="K1420" s="91"/>
      <c r="L1420" s="364">
        <v>0</v>
      </c>
      <c r="M1420" s="364">
        <v>0</v>
      </c>
      <c r="N1420" s="364">
        <v>0</v>
      </c>
      <c r="O1420" s="364">
        <v>0</v>
      </c>
      <c r="P1420" s="364">
        <v>0</v>
      </c>
      <c r="Q1420" s="1475">
        <f>L1420*$H1417</f>
        <v>0</v>
      </c>
      <c r="R1420" s="1475">
        <f>M1420*$H1417</f>
        <v>0</v>
      </c>
      <c r="S1420" s="1475">
        <f>N1420*$H1417</f>
        <v>0</v>
      </c>
      <c r="T1420" s="1475">
        <f>O1420*$H1417</f>
        <v>0</v>
      </c>
      <c r="U1420" s="1475">
        <f>P1420*$H1417</f>
        <v>0</v>
      </c>
      <c r="V1420" s="1475">
        <f t="shared" si="697"/>
        <v>0</v>
      </c>
    </row>
    <row r="1421" spans="1:22" s="39" customFormat="1" ht="24" customHeight="1" thickBot="1">
      <c r="A1421" s="1860">
        <v>2</v>
      </c>
      <c r="B1421" s="1860"/>
      <c r="C1421" s="1860"/>
      <c r="D1421" s="1860"/>
      <c r="E1421" s="1839"/>
      <c r="F1421" s="1841"/>
      <c r="G1421" s="1883"/>
      <c r="H1421" s="1669"/>
      <c r="I1421" s="1617"/>
      <c r="J1421" s="40" t="s">
        <v>84</v>
      </c>
      <c r="K1421" s="91"/>
      <c r="L1421" s="364">
        <f>L1412-L1413</f>
        <v>20</v>
      </c>
      <c r="M1421" s="364">
        <f t="shared" ref="M1421:U1421" si="703">M1412-M1413</f>
        <v>20</v>
      </c>
      <c r="N1421" s="364">
        <f t="shared" si="703"/>
        <v>20</v>
      </c>
      <c r="O1421" s="364">
        <f t="shared" si="703"/>
        <v>0</v>
      </c>
      <c r="P1421" s="364">
        <f t="shared" si="703"/>
        <v>0</v>
      </c>
      <c r="Q1421" s="1475">
        <f t="shared" si="703"/>
        <v>40000</v>
      </c>
      <c r="R1421" s="1475">
        <f t="shared" si="703"/>
        <v>40000</v>
      </c>
      <c r="S1421" s="1475">
        <f t="shared" si="703"/>
        <v>40000</v>
      </c>
      <c r="T1421" s="1475">
        <f t="shared" si="703"/>
        <v>0</v>
      </c>
      <c r="U1421" s="1475">
        <f t="shared" si="703"/>
        <v>0</v>
      </c>
      <c r="V1421" s="1475">
        <f t="shared" si="697"/>
        <v>120000</v>
      </c>
    </row>
    <row r="1422" spans="1:22" s="45" customFormat="1" ht="24" customHeight="1">
      <c r="A1422" s="1860">
        <v>2</v>
      </c>
      <c r="B1422" s="1860">
        <v>4</v>
      </c>
      <c r="C1422" s="1860">
        <v>5</v>
      </c>
      <c r="D1422" s="1860">
        <v>3</v>
      </c>
      <c r="E1422" s="1839" t="s">
        <v>49</v>
      </c>
      <c r="F1422" s="1841" t="str">
        <f>CONCATENATE(A1422,".",B1422,".",C1422,".",D1422,)</f>
        <v>2.4.5.3</v>
      </c>
      <c r="G1422" s="1881" t="s">
        <v>340</v>
      </c>
      <c r="H1422" s="1601" t="s">
        <v>247</v>
      </c>
      <c r="I1422" s="1614" t="s">
        <v>1175</v>
      </c>
      <c r="J1422" s="36" t="s">
        <v>79</v>
      </c>
      <c r="K1422" s="896"/>
      <c r="L1422" s="383">
        <v>1</v>
      </c>
      <c r="M1422" s="383">
        <v>1</v>
      </c>
      <c r="N1422" s="383">
        <v>1</v>
      </c>
      <c r="O1422" s="383">
        <v>1</v>
      </c>
      <c r="P1422" s="383">
        <v>1</v>
      </c>
      <c r="Q1422" s="1475">
        <f>L1422*H1427</f>
        <v>12180</v>
      </c>
      <c r="R1422" s="1475">
        <f>M1422*H1427</f>
        <v>12180</v>
      </c>
      <c r="S1422" s="1475">
        <f>N1422*H1427</f>
        <v>12180</v>
      </c>
      <c r="T1422" s="1475">
        <f>O1422*H1427</f>
        <v>12180</v>
      </c>
      <c r="U1422" s="1475">
        <f>P1422*H1427</f>
        <v>12180</v>
      </c>
      <c r="V1422" s="1475">
        <f t="shared" ref="V1422:V1431" si="704">SUM(Q1422:U1422)</f>
        <v>60900</v>
      </c>
    </row>
    <row r="1423" spans="1:22" s="39" customFormat="1" ht="24" customHeight="1">
      <c r="A1423" s="1860">
        <v>2</v>
      </c>
      <c r="B1423" s="1860"/>
      <c r="C1423" s="1860"/>
      <c r="D1423" s="1860"/>
      <c r="E1423" s="1839"/>
      <c r="F1423" s="1841"/>
      <c r="G1423" s="1882"/>
      <c r="H1423" s="1601"/>
      <c r="I1423" s="1615"/>
      <c r="J1423" s="40" t="s">
        <v>80</v>
      </c>
      <c r="K1423" s="91"/>
      <c r="L1423" s="364">
        <f t="shared" ref="L1423:U1423" si="705">SUM(L1424:L1430)</f>
        <v>0</v>
      </c>
      <c r="M1423" s="364">
        <f t="shared" si="705"/>
        <v>0</v>
      </c>
      <c r="N1423" s="364">
        <f t="shared" si="705"/>
        <v>0</v>
      </c>
      <c r="O1423" s="364">
        <f t="shared" si="705"/>
        <v>0</v>
      </c>
      <c r="P1423" s="364">
        <f t="shared" si="705"/>
        <v>0</v>
      </c>
      <c r="Q1423" s="1475">
        <f t="shared" si="705"/>
        <v>0</v>
      </c>
      <c r="R1423" s="1475">
        <f t="shared" si="705"/>
        <v>0</v>
      </c>
      <c r="S1423" s="1475">
        <f t="shared" si="705"/>
        <v>0</v>
      </c>
      <c r="T1423" s="1475">
        <f t="shared" si="705"/>
        <v>0</v>
      </c>
      <c r="U1423" s="1475">
        <f t="shared" si="705"/>
        <v>0</v>
      </c>
      <c r="V1423" s="1475">
        <f t="shared" si="704"/>
        <v>0</v>
      </c>
    </row>
    <row r="1424" spans="1:22" s="39" customFormat="1" ht="24" customHeight="1">
      <c r="A1424" s="1860">
        <v>2</v>
      </c>
      <c r="B1424" s="1860"/>
      <c r="C1424" s="1860"/>
      <c r="D1424" s="1860"/>
      <c r="E1424" s="1839"/>
      <c r="F1424" s="1841"/>
      <c r="G1424" s="1882"/>
      <c r="H1424" s="1601"/>
      <c r="I1424" s="1615"/>
      <c r="J1424" s="40" t="s">
        <v>429</v>
      </c>
      <c r="K1424" s="91"/>
      <c r="L1424" s="364">
        <v>0</v>
      </c>
      <c r="M1424" s="364">
        <v>0</v>
      </c>
      <c r="N1424" s="364">
        <v>0</v>
      </c>
      <c r="O1424" s="364">
        <v>0</v>
      </c>
      <c r="P1424" s="364">
        <v>0</v>
      </c>
      <c r="Q1424" s="1475">
        <f>L1424*$H1427</f>
        <v>0</v>
      </c>
      <c r="R1424" s="1475">
        <f>M1424*$H1427</f>
        <v>0</v>
      </c>
      <c r="S1424" s="1475">
        <f>N1424*$H1427</f>
        <v>0</v>
      </c>
      <c r="T1424" s="1475">
        <f>O1424*$H1427</f>
        <v>0</v>
      </c>
      <c r="U1424" s="1475">
        <f>P1424*$H1427</f>
        <v>0</v>
      </c>
      <c r="V1424" s="1475">
        <f t="shared" si="704"/>
        <v>0</v>
      </c>
    </row>
    <row r="1425" spans="1:22" s="39" customFormat="1" ht="24" customHeight="1">
      <c r="A1425" s="1860">
        <v>2</v>
      </c>
      <c r="B1425" s="1860"/>
      <c r="C1425" s="1860"/>
      <c r="D1425" s="1860"/>
      <c r="E1425" s="1839"/>
      <c r="F1425" s="1841"/>
      <c r="G1425" s="1882"/>
      <c r="H1425" s="1601"/>
      <c r="I1425" s="1615"/>
      <c r="J1425" s="40" t="s">
        <v>133</v>
      </c>
      <c r="K1425" s="91"/>
      <c r="L1425" s="364">
        <v>0</v>
      </c>
      <c r="M1425" s="364">
        <v>0</v>
      </c>
      <c r="N1425" s="364">
        <v>0</v>
      </c>
      <c r="O1425" s="364">
        <v>0</v>
      </c>
      <c r="P1425" s="364">
        <v>0</v>
      </c>
      <c r="Q1425" s="1475">
        <f>L1425*$H1427</f>
        <v>0</v>
      </c>
      <c r="R1425" s="1475">
        <f>M1425*$H1427</f>
        <v>0</v>
      </c>
      <c r="S1425" s="1475">
        <f>N1425*$H1427</f>
        <v>0</v>
      </c>
      <c r="T1425" s="1475">
        <f>O1425*$H1427</f>
        <v>0</v>
      </c>
      <c r="U1425" s="1475">
        <f>P1425*$H1427</f>
        <v>0</v>
      </c>
      <c r="V1425" s="1475">
        <f t="shared" si="704"/>
        <v>0</v>
      </c>
    </row>
    <row r="1426" spans="1:22" s="39" customFormat="1" ht="24" customHeight="1">
      <c r="A1426" s="1860">
        <v>2</v>
      </c>
      <c r="B1426" s="1860"/>
      <c r="C1426" s="1860"/>
      <c r="D1426" s="1860"/>
      <c r="E1426" s="1839"/>
      <c r="F1426" s="1841"/>
      <c r="G1426" s="1882"/>
      <c r="H1426" s="1601"/>
      <c r="I1426" s="1615"/>
      <c r="J1426" s="40" t="s">
        <v>81</v>
      </c>
      <c r="K1426" s="91"/>
      <c r="L1426" s="364">
        <v>0</v>
      </c>
      <c r="M1426" s="364">
        <v>0</v>
      </c>
      <c r="N1426" s="364">
        <v>0</v>
      </c>
      <c r="O1426" s="364">
        <v>0</v>
      </c>
      <c r="P1426" s="364">
        <v>0</v>
      </c>
      <c r="Q1426" s="1475">
        <f>L1426*$H1427</f>
        <v>0</v>
      </c>
      <c r="R1426" s="1475">
        <f>M1426*$H1427</f>
        <v>0</v>
      </c>
      <c r="S1426" s="1475">
        <f>N1426*$H1427</f>
        <v>0</v>
      </c>
      <c r="T1426" s="1475">
        <f>O1426*$H1427</f>
        <v>0</v>
      </c>
      <c r="U1426" s="1475">
        <f>P1426*$H1427</f>
        <v>0</v>
      </c>
      <c r="V1426" s="1475">
        <f t="shared" si="704"/>
        <v>0</v>
      </c>
    </row>
    <row r="1427" spans="1:22" s="39" customFormat="1" ht="24" customHeight="1">
      <c r="A1427" s="1860">
        <v>2</v>
      </c>
      <c r="B1427" s="1860"/>
      <c r="C1427" s="1860"/>
      <c r="D1427" s="1860"/>
      <c r="E1427" s="1839"/>
      <c r="F1427" s="1841"/>
      <c r="G1427" s="1882"/>
      <c r="H1427" s="1667">
        <f>'Budget assumption'!$G$15</f>
        <v>12180</v>
      </c>
      <c r="I1427" s="1615"/>
      <c r="J1427" s="40" t="s">
        <v>134</v>
      </c>
      <c r="K1427" s="91"/>
      <c r="L1427" s="364">
        <v>0</v>
      </c>
      <c r="M1427" s="364">
        <v>0</v>
      </c>
      <c r="N1427" s="364">
        <v>0</v>
      </c>
      <c r="O1427" s="364">
        <f>O1418*30%</f>
        <v>0</v>
      </c>
      <c r="P1427" s="364">
        <f>P1418*30%</f>
        <v>0</v>
      </c>
      <c r="Q1427" s="1475">
        <f>L1427*$H1427</f>
        <v>0</v>
      </c>
      <c r="R1427" s="1475">
        <f>M1427*$H1427</f>
        <v>0</v>
      </c>
      <c r="S1427" s="1475">
        <f>N1427*$H1427</f>
        <v>0</v>
      </c>
      <c r="T1427" s="1475">
        <f>O1427*$H1427</f>
        <v>0</v>
      </c>
      <c r="U1427" s="1475">
        <f>P1427*$H1427</f>
        <v>0</v>
      </c>
      <c r="V1427" s="1475">
        <f t="shared" si="704"/>
        <v>0</v>
      </c>
    </row>
    <row r="1428" spans="1:22" s="39" customFormat="1" ht="24" customHeight="1">
      <c r="A1428" s="1860">
        <v>2</v>
      </c>
      <c r="B1428" s="1860"/>
      <c r="C1428" s="1860"/>
      <c r="D1428" s="1860"/>
      <c r="E1428" s="1839"/>
      <c r="F1428" s="1841"/>
      <c r="G1428" s="1882"/>
      <c r="H1428" s="1668"/>
      <c r="I1428" s="1615"/>
      <c r="J1428" s="40" t="s">
        <v>82</v>
      </c>
      <c r="K1428" s="91"/>
      <c r="L1428" s="364">
        <v>0</v>
      </c>
      <c r="M1428" s="364">
        <v>0</v>
      </c>
      <c r="N1428" s="364">
        <v>0</v>
      </c>
      <c r="O1428" s="364">
        <v>0</v>
      </c>
      <c r="P1428" s="364">
        <v>0</v>
      </c>
      <c r="Q1428" s="1475">
        <f>L1428*$H1427</f>
        <v>0</v>
      </c>
      <c r="R1428" s="1475">
        <f>M1428*$H1427</f>
        <v>0</v>
      </c>
      <c r="S1428" s="1475">
        <f>N1428*$H1427</f>
        <v>0</v>
      </c>
      <c r="T1428" s="1475">
        <f>O1428*$H1427</f>
        <v>0</v>
      </c>
      <c r="U1428" s="1475">
        <f>P1428*$H1427</f>
        <v>0</v>
      </c>
      <c r="V1428" s="1475">
        <f t="shared" si="704"/>
        <v>0</v>
      </c>
    </row>
    <row r="1429" spans="1:22" s="39" customFormat="1" ht="24" customHeight="1">
      <c r="A1429" s="1860">
        <v>2</v>
      </c>
      <c r="B1429" s="1860"/>
      <c r="C1429" s="1860"/>
      <c r="D1429" s="1860"/>
      <c r="E1429" s="1839"/>
      <c r="F1429" s="1841"/>
      <c r="G1429" s="1882"/>
      <c r="H1429" s="1668"/>
      <c r="I1429" s="1615"/>
      <c r="J1429" s="40" t="s">
        <v>90</v>
      </c>
      <c r="K1429" s="91"/>
      <c r="L1429" s="364">
        <v>0</v>
      </c>
      <c r="M1429" s="364">
        <v>0</v>
      </c>
      <c r="N1429" s="364">
        <v>0</v>
      </c>
      <c r="O1429" s="364">
        <v>0</v>
      </c>
      <c r="P1429" s="364">
        <v>0</v>
      </c>
      <c r="Q1429" s="1475">
        <f>L1429*$H1427</f>
        <v>0</v>
      </c>
      <c r="R1429" s="1475">
        <f>M1429*$H1427</f>
        <v>0</v>
      </c>
      <c r="S1429" s="1475">
        <f>N1429*$H1427</f>
        <v>0</v>
      </c>
      <c r="T1429" s="1475">
        <f>O1429*$H1427</f>
        <v>0</v>
      </c>
      <c r="U1429" s="1475">
        <f>P1429*$H1427</f>
        <v>0</v>
      </c>
      <c r="V1429" s="1475">
        <f t="shared" si="704"/>
        <v>0</v>
      </c>
    </row>
    <row r="1430" spans="1:22" s="39" customFormat="1" ht="24" customHeight="1">
      <c r="A1430" s="1860">
        <v>2</v>
      </c>
      <c r="B1430" s="1860"/>
      <c r="C1430" s="1860"/>
      <c r="D1430" s="1860"/>
      <c r="E1430" s="1839"/>
      <c r="F1430" s="1841"/>
      <c r="G1430" s="1882"/>
      <c r="H1430" s="1668"/>
      <c r="I1430" s="1615"/>
      <c r="J1430" s="40" t="s">
        <v>83</v>
      </c>
      <c r="K1430" s="91"/>
      <c r="L1430" s="364">
        <v>0</v>
      </c>
      <c r="M1430" s="364">
        <v>0</v>
      </c>
      <c r="N1430" s="364">
        <v>0</v>
      </c>
      <c r="O1430" s="364">
        <v>0</v>
      </c>
      <c r="P1430" s="364">
        <v>0</v>
      </c>
      <c r="Q1430" s="1475">
        <f>L1430*$H1427</f>
        <v>0</v>
      </c>
      <c r="R1430" s="1475">
        <f>M1430*$H1427</f>
        <v>0</v>
      </c>
      <c r="S1430" s="1475">
        <f>N1430*$H1427</f>
        <v>0</v>
      </c>
      <c r="T1430" s="1475">
        <f>O1430*$H1427</f>
        <v>0</v>
      </c>
      <c r="U1430" s="1475">
        <f>P1430*$H1427</f>
        <v>0</v>
      </c>
      <c r="V1430" s="1475">
        <f t="shared" si="704"/>
        <v>0</v>
      </c>
    </row>
    <row r="1431" spans="1:22" s="39" customFormat="1" ht="24" customHeight="1" thickBot="1">
      <c r="A1431" s="1860">
        <v>2</v>
      </c>
      <c r="B1431" s="1860"/>
      <c r="C1431" s="1860"/>
      <c r="D1431" s="1860"/>
      <c r="E1431" s="1839"/>
      <c r="F1431" s="1841"/>
      <c r="G1431" s="1883"/>
      <c r="H1431" s="1669"/>
      <c r="I1431" s="1617"/>
      <c r="J1431" s="40" t="s">
        <v>84</v>
      </c>
      <c r="K1431" s="91"/>
      <c r="L1431" s="364">
        <f>L1422-L1423</f>
        <v>1</v>
      </c>
      <c r="M1431" s="364">
        <f t="shared" ref="M1431:U1431" si="706">M1422-M1423</f>
        <v>1</v>
      </c>
      <c r="N1431" s="364">
        <f t="shared" si="706"/>
        <v>1</v>
      </c>
      <c r="O1431" s="364">
        <f t="shared" si="706"/>
        <v>1</v>
      </c>
      <c r="P1431" s="364">
        <f t="shared" si="706"/>
        <v>1</v>
      </c>
      <c r="Q1431" s="1475">
        <f t="shared" si="706"/>
        <v>12180</v>
      </c>
      <c r="R1431" s="1475">
        <f t="shared" si="706"/>
        <v>12180</v>
      </c>
      <c r="S1431" s="1475">
        <f t="shared" si="706"/>
        <v>12180</v>
      </c>
      <c r="T1431" s="1475">
        <f t="shared" si="706"/>
        <v>12180</v>
      </c>
      <c r="U1431" s="1475">
        <f t="shared" si="706"/>
        <v>12180</v>
      </c>
      <c r="V1431" s="1475">
        <f t="shared" si="704"/>
        <v>60900</v>
      </c>
    </row>
    <row r="1432" spans="1:22" s="39" customFormat="1" ht="34.35" customHeight="1">
      <c r="A1432" s="75">
        <v>3</v>
      </c>
      <c r="B1432" s="75"/>
      <c r="C1432" s="75"/>
      <c r="D1432" s="75"/>
      <c r="E1432" s="77" t="s">
        <v>11</v>
      </c>
      <c r="F1432" s="928" t="str">
        <f>CONCATENATE(A1432,".")</f>
        <v>3.</v>
      </c>
      <c r="G1432" s="1749" t="s">
        <v>36</v>
      </c>
      <c r="H1432" s="1750"/>
      <c r="I1432" s="1750"/>
      <c r="J1432" s="1751"/>
      <c r="K1432" s="928"/>
      <c r="L1432" s="929"/>
      <c r="M1432" s="929"/>
      <c r="N1432" s="929"/>
      <c r="O1432" s="929"/>
      <c r="P1432" s="929"/>
      <c r="Q1432" s="1501">
        <f t="shared" ref="Q1432:V1432" ca="1" si="707">Q1433+Q1486+Q2142+Q2007+Q2070+Q1842+Q2215</f>
        <v>13829785.498699997</v>
      </c>
      <c r="R1432" s="1501">
        <f t="shared" ca="1" si="707"/>
        <v>11416097.556000002</v>
      </c>
      <c r="S1432" s="1501">
        <f t="shared" ca="1" si="707"/>
        <v>10217978.104600001</v>
      </c>
      <c r="T1432" s="1501">
        <f t="shared" ca="1" si="707"/>
        <v>2898254.5505599999</v>
      </c>
      <c r="U1432" s="1501">
        <f t="shared" ca="1" si="707"/>
        <v>2963123.515416</v>
      </c>
      <c r="V1432" s="1501">
        <f t="shared" ca="1" si="707"/>
        <v>41325239.225276001</v>
      </c>
    </row>
    <row r="1433" spans="1:22" s="39" customFormat="1" ht="29.1" customHeight="1">
      <c r="A1433" s="75">
        <v>3</v>
      </c>
      <c r="B1433" s="75">
        <v>1</v>
      </c>
      <c r="C1433" s="75"/>
      <c r="D1433" s="75"/>
      <c r="E1433" s="74" t="s">
        <v>12</v>
      </c>
      <c r="F1433" s="915" t="str">
        <f>CONCATENATE(A1433,".",B1433)</f>
        <v>3.1</v>
      </c>
      <c r="G1433" s="1573" t="s">
        <v>37</v>
      </c>
      <c r="H1433" s="1574"/>
      <c r="I1433" s="1574"/>
      <c r="J1433" s="1575"/>
      <c r="K1433" s="915"/>
      <c r="L1433" s="916"/>
      <c r="M1433" s="916"/>
      <c r="N1433" s="916"/>
      <c r="O1433" s="916"/>
      <c r="P1433" s="916"/>
      <c r="Q1433" s="1514">
        <f>Q1434+Q1455</f>
        <v>2374182.6</v>
      </c>
      <c r="R1433" s="1514">
        <f t="shared" ref="R1433:V1433" si="708">R1434+R1455</f>
        <v>2461050</v>
      </c>
      <c r="S1433" s="1514">
        <f t="shared" si="708"/>
        <v>2344500</v>
      </c>
      <c r="T1433" s="1514">
        <f t="shared" si="708"/>
        <v>1781910</v>
      </c>
      <c r="U1433" s="1514">
        <f t="shared" si="708"/>
        <v>1781910</v>
      </c>
      <c r="V1433" s="1514">
        <f t="shared" si="708"/>
        <v>10743552.6</v>
      </c>
    </row>
    <row r="1434" spans="1:22" s="39" customFormat="1" ht="24" customHeight="1" thickBot="1">
      <c r="A1434" s="75">
        <v>3</v>
      </c>
      <c r="B1434" s="75">
        <v>1</v>
      </c>
      <c r="C1434" s="75">
        <v>1</v>
      </c>
      <c r="D1434" s="75"/>
      <c r="E1434" s="74" t="s">
        <v>13</v>
      </c>
      <c r="F1434" s="71" t="str">
        <f>CONCATENATE(A1434,".",B1434,".",C1434,)</f>
        <v>3.1.1</v>
      </c>
      <c r="G1434" s="1605" t="s">
        <v>211</v>
      </c>
      <c r="H1434" s="1606"/>
      <c r="I1434" s="1606"/>
      <c r="J1434" s="1607"/>
      <c r="K1434" s="66"/>
      <c r="L1434" s="382"/>
      <c r="M1434" s="382"/>
      <c r="N1434" s="382"/>
      <c r="O1434" s="382"/>
      <c r="P1434" s="382"/>
      <c r="Q1434" s="1521">
        <f>Q1436+Q1446</f>
        <v>2374182.6</v>
      </c>
      <c r="R1434" s="1521">
        <f t="shared" ref="R1434:U1434" si="709">R1436+R1446</f>
        <v>2284500</v>
      </c>
      <c r="S1434" s="1521">
        <f t="shared" si="709"/>
        <v>2284500</v>
      </c>
      <c r="T1434" s="1521">
        <f t="shared" si="709"/>
        <v>1781910</v>
      </c>
      <c r="U1434" s="1521">
        <f t="shared" si="709"/>
        <v>1781910</v>
      </c>
      <c r="V1434" s="1521">
        <f t="shared" ref="V1434:V1465" si="710">SUM(Q1434:U1434)</f>
        <v>10507002.6</v>
      </c>
    </row>
    <row r="1435" spans="1:22" s="39" customFormat="1" ht="24" customHeight="1">
      <c r="A1435" s="1860">
        <v>3</v>
      </c>
      <c r="B1435" s="1860">
        <v>1</v>
      </c>
      <c r="C1435" s="1860">
        <v>1</v>
      </c>
      <c r="D1435" s="1860">
        <v>1</v>
      </c>
      <c r="E1435" s="1839" t="s">
        <v>15</v>
      </c>
      <c r="F1435" s="1841" t="str">
        <f>CONCATENATE(A1435,".",B1435,".",C1435,".",D1435,)</f>
        <v>3.1.1.1</v>
      </c>
      <c r="G1435" s="1670" t="s">
        <v>208</v>
      </c>
      <c r="H1435" s="1601" t="s">
        <v>144</v>
      </c>
      <c r="I1435" s="1614" t="s">
        <v>730</v>
      </c>
      <c r="J1435" s="36" t="s">
        <v>79</v>
      </c>
      <c r="K1435" s="896"/>
      <c r="L1435" s="383">
        <v>1</v>
      </c>
      <c r="M1435" s="383">
        <v>1</v>
      </c>
      <c r="N1435" s="383">
        <v>1</v>
      </c>
      <c r="O1435" s="383">
        <v>1</v>
      </c>
      <c r="P1435" s="383">
        <v>1</v>
      </c>
      <c r="Q1435" s="1475">
        <f>L1435*$H$1440</f>
        <v>2284500</v>
      </c>
      <c r="R1435" s="1475">
        <f t="shared" ref="R1435:U1435" si="711">M1435*$H$1440</f>
        <v>2284500</v>
      </c>
      <c r="S1435" s="1475">
        <f t="shared" si="711"/>
        <v>2284500</v>
      </c>
      <c r="T1435" s="1475">
        <f t="shared" si="711"/>
        <v>2284500</v>
      </c>
      <c r="U1435" s="1475">
        <f t="shared" si="711"/>
        <v>2284500</v>
      </c>
      <c r="V1435" s="1475">
        <f t="shared" si="710"/>
        <v>11422500</v>
      </c>
    </row>
    <row r="1436" spans="1:22" s="39" customFormat="1" ht="24" customHeight="1">
      <c r="A1436" s="1860">
        <v>3</v>
      </c>
      <c r="B1436" s="1860"/>
      <c r="C1436" s="1860"/>
      <c r="D1436" s="1860"/>
      <c r="E1436" s="1839"/>
      <c r="F1436" s="1841"/>
      <c r="G1436" s="1671"/>
      <c r="H1436" s="1601"/>
      <c r="I1436" s="1615"/>
      <c r="J1436" s="40" t="s">
        <v>80</v>
      </c>
      <c r="K1436" s="91"/>
      <c r="L1436" s="364">
        <f t="shared" ref="L1436:U1436" si="712">SUM(L1437:L1443)</f>
        <v>1</v>
      </c>
      <c r="M1436" s="364">
        <f t="shared" si="712"/>
        <v>1</v>
      </c>
      <c r="N1436" s="364">
        <f t="shared" si="712"/>
        <v>1</v>
      </c>
      <c r="O1436" s="364">
        <f t="shared" si="712"/>
        <v>0.78</v>
      </c>
      <c r="P1436" s="364">
        <f t="shared" si="712"/>
        <v>0.78</v>
      </c>
      <c r="Q1436" s="1475">
        <f t="shared" si="712"/>
        <v>2284500</v>
      </c>
      <c r="R1436" s="1475">
        <f t="shared" si="712"/>
        <v>2284500</v>
      </c>
      <c r="S1436" s="1475">
        <f t="shared" si="712"/>
        <v>2284500</v>
      </c>
      <c r="T1436" s="1475">
        <f t="shared" si="712"/>
        <v>1781910</v>
      </c>
      <c r="U1436" s="1475">
        <f t="shared" si="712"/>
        <v>1781910</v>
      </c>
      <c r="V1436" s="1475">
        <f t="shared" si="710"/>
        <v>10417320</v>
      </c>
    </row>
    <row r="1437" spans="1:22" s="39" customFormat="1" ht="24" customHeight="1">
      <c r="A1437" s="1860">
        <v>3</v>
      </c>
      <c r="B1437" s="1860"/>
      <c r="C1437" s="1860"/>
      <c r="D1437" s="1860"/>
      <c r="E1437" s="1839"/>
      <c r="F1437" s="1841"/>
      <c r="G1437" s="1671"/>
      <c r="H1437" s="1601"/>
      <c r="I1437" s="1615"/>
      <c r="J1437" s="40" t="s">
        <v>429</v>
      </c>
      <c r="K1437" s="91"/>
      <c r="L1437" s="364">
        <v>0</v>
      </c>
      <c r="M1437" s="364">
        <v>0</v>
      </c>
      <c r="N1437" s="364">
        <v>0</v>
      </c>
      <c r="O1437" s="364">
        <v>0</v>
      </c>
      <c r="P1437" s="364">
        <v>0</v>
      </c>
      <c r="Q1437" s="1475">
        <f>L1437*$H1440</f>
        <v>0</v>
      </c>
      <c r="R1437" s="1475">
        <f>M1437*$H1440</f>
        <v>0</v>
      </c>
      <c r="S1437" s="1475">
        <f>N1437*$H1440</f>
        <v>0</v>
      </c>
      <c r="T1437" s="1475">
        <f>O1437*$H1440</f>
        <v>0</v>
      </c>
      <c r="U1437" s="1475">
        <f>P1437*$H1440</f>
        <v>0</v>
      </c>
      <c r="V1437" s="1475">
        <f t="shared" si="710"/>
        <v>0</v>
      </c>
    </row>
    <row r="1438" spans="1:22" s="39" customFormat="1" ht="24" customHeight="1">
      <c r="A1438" s="1860">
        <v>3</v>
      </c>
      <c r="B1438" s="1860"/>
      <c r="C1438" s="1860"/>
      <c r="D1438" s="1860"/>
      <c r="E1438" s="1839"/>
      <c r="F1438" s="1841"/>
      <c r="G1438" s="1671"/>
      <c r="H1438" s="1601"/>
      <c r="I1438" s="1615"/>
      <c r="J1438" s="40" t="s">
        <v>133</v>
      </c>
      <c r="K1438" s="91"/>
      <c r="L1438" s="364">
        <v>0</v>
      </c>
      <c r="M1438" s="364">
        <v>0</v>
      </c>
      <c r="N1438" s="364">
        <v>0</v>
      </c>
      <c r="O1438" s="364">
        <v>0</v>
      </c>
      <c r="P1438" s="364">
        <v>0</v>
      </c>
      <c r="Q1438" s="1475">
        <f>L1438*$H1440</f>
        <v>0</v>
      </c>
      <c r="R1438" s="1475">
        <f>M1438*$H1440</f>
        <v>0</v>
      </c>
      <c r="S1438" s="1475">
        <f>N1438*$H1440</f>
        <v>0</v>
      </c>
      <c r="T1438" s="1475">
        <f>O1438*$H1440</f>
        <v>0</v>
      </c>
      <c r="U1438" s="1475">
        <f>P1438*$H1440</f>
        <v>0</v>
      </c>
      <c r="V1438" s="1475">
        <f t="shared" si="710"/>
        <v>0</v>
      </c>
    </row>
    <row r="1439" spans="1:22" s="39" customFormat="1" ht="24" customHeight="1">
      <c r="A1439" s="1860">
        <v>3</v>
      </c>
      <c r="B1439" s="1860"/>
      <c r="C1439" s="1860"/>
      <c r="D1439" s="1860"/>
      <c r="E1439" s="1839"/>
      <c r="F1439" s="1841"/>
      <c r="G1439" s="1671"/>
      <c r="H1439" s="1601"/>
      <c r="I1439" s="1615"/>
      <c r="J1439" s="40" t="s">
        <v>81</v>
      </c>
      <c r="K1439" s="91"/>
      <c r="L1439" s="364">
        <v>0</v>
      </c>
      <c r="M1439" s="364">
        <v>0</v>
      </c>
      <c r="N1439" s="364">
        <v>0</v>
      </c>
      <c r="O1439" s="364">
        <v>0</v>
      </c>
      <c r="P1439" s="364">
        <v>0</v>
      </c>
      <c r="Q1439" s="1475">
        <f>L1439*$H1440</f>
        <v>0</v>
      </c>
      <c r="R1439" s="1475">
        <f>M1439*$H1440</f>
        <v>0</v>
      </c>
      <c r="S1439" s="1475">
        <f>N1439*$H1440</f>
        <v>0</v>
      </c>
      <c r="T1439" s="1475">
        <f>O1439*$H1440</f>
        <v>0</v>
      </c>
      <c r="U1439" s="1475">
        <f>P1439*$H1440</f>
        <v>0</v>
      </c>
      <c r="V1439" s="1475">
        <f t="shared" si="710"/>
        <v>0</v>
      </c>
    </row>
    <row r="1440" spans="1:22" s="39" customFormat="1" ht="24" customHeight="1">
      <c r="A1440" s="1860">
        <v>3</v>
      </c>
      <c r="B1440" s="1860"/>
      <c r="C1440" s="1860"/>
      <c r="D1440" s="1860"/>
      <c r="E1440" s="1839"/>
      <c r="F1440" s="1841"/>
      <c r="G1440" s="1671"/>
      <c r="H1440" s="1595">
        <f>'Budget assumption'!D320</f>
        <v>2284500</v>
      </c>
      <c r="I1440" s="1615"/>
      <c r="J1440" s="40" t="s">
        <v>134</v>
      </c>
      <c r="K1440" s="91"/>
      <c r="L1440" s="38">
        <v>0.78</v>
      </c>
      <c r="M1440" s="38">
        <v>0.78</v>
      </c>
      <c r="N1440" s="38">
        <v>0.78</v>
      </c>
      <c r="O1440" s="38">
        <v>0.78</v>
      </c>
      <c r="P1440" s="38">
        <v>0.78</v>
      </c>
      <c r="Q1440" s="1475">
        <f>L1440*$H1440</f>
        <v>1781910</v>
      </c>
      <c r="R1440" s="1475">
        <f>M1440*$H1440</f>
        <v>1781910</v>
      </c>
      <c r="S1440" s="1475">
        <f>N1440*$H1440</f>
        <v>1781910</v>
      </c>
      <c r="T1440" s="1475">
        <f>O1440*$H1440</f>
        <v>1781910</v>
      </c>
      <c r="U1440" s="1475">
        <f>P1440*$H1440</f>
        <v>1781910</v>
      </c>
      <c r="V1440" s="1475">
        <f t="shared" si="710"/>
        <v>8909550</v>
      </c>
    </row>
    <row r="1441" spans="1:22" s="39" customFormat="1" ht="24" customHeight="1">
      <c r="A1441" s="1860">
        <v>3</v>
      </c>
      <c r="B1441" s="1860"/>
      <c r="C1441" s="1860"/>
      <c r="D1441" s="1860"/>
      <c r="E1441" s="1839"/>
      <c r="F1441" s="1841"/>
      <c r="G1441" s="1671"/>
      <c r="H1441" s="1596">
        <f>810*0.05</f>
        <v>40.5</v>
      </c>
      <c r="I1441" s="1615"/>
      <c r="J1441" s="40" t="s">
        <v>82</v>
      </c>
      <c r="K1441" s="91"/>
      <c r="L1441" s="38">
        <v>0.22</v>
      </c>
      <c r="M1441" s="38">
        <v>0.22</v>
      </c>
      <c r="N1441" s="38">
        <v>0.22</v>
      </c>
      <c r="O1441" s="38">
        <v>0</v>
      </c>
      <c r="P1441" s="38">
        <v>0</v>
      </c>
      <c r="Q1441" s="1475">
        <f>L1441*$H1440</f>
        <v>502590</v>
      </c>
      <c r="R1441" s="1475">
        <f>M1441*$H1440</f>
        <v>502590</v>
      </c>
      <c r="S1441" s="1475">
        <f>N1441*$H1440</f>
        <v>502590</v>
      </c>
      <c r="T1441" s="1475">
        <f>O1441*$H1440</f>
        <v>0</v>
      </c>
      <c r="U1441" s="1475">
        <f>P1441*$H1440</f>
        <v>0</v>
      </c>
      <c r="V1441" s="1475">
        <f t="shared" si="710"/>
        <v>1507770</v>
      </c>
    </row>
    <row r="1442" spans="1:22" s="39" customFormat="1" ht="24" customHeight="1">
      <c r="A1442" s="1860">
        <v>3</v>
      </c>
      <c r="B1442" s="1860"/>
      <c r="C1442" s="1860"/>
      <c r="D1442" s="1860"/>
      <c r="E1442" s="1839"/>
      <c r="F1442" s="1841"/>
      <c r="G1442" s="1671"/>
      <c r="H1442" s="1596"/>
      <c r="I1442" s="1615"/>
      <c r="J1442" s="40" t="s">
        <v>90</v>
      </c>
      <c r="K1442" s="91"/>
      <c r="L1442" s="364">
        <v>0</v>
      </c>
      <c r="M1442" s="364">
        <v>0</v>
      </c>
      <c r="N1442" s="364">
        <v>0</v>
      </c>
      <c r="O1442" s="364">
        <v>0</v>
      </c>
      <c r="P1442" s="364">
        <v>0</v>
      </c>
      <c r="Q1442" s="1475">
        <f>L1442*$H1440</f>
        <v>0</v>
      </c>
      <c r="R1442" s="1475">
        <f>M1442*$H1440</f>
        <v>0</v>
      </c>
      <c r="S1442" s="1475">
        <f>N1442*$H1440</f>
        <v>0</v>
      </c>
      <c r="T1442" s="1475">
        <f>O1442*$H1440</f>
        <v>0</v>
      </c>
      <c r="U1442" s="1475">
        <f>P1442*$H1440</f>
        <v>0</v>
      </c>
      <c r="V1442" s="1475">
        <f t="shared" si="710"/>
        <v>0</v>
      </c>
    </row>
    <row r="1443" spans="1:22" s="39" customFormat="1" ht="24" customHeight="1">
      <c r="A1443" s="1860">
        <v>3</v>
      </c>
      <c r="B1443" s="1860"/>
      <c r="C1443" s="1860"/>
      <c r="D1443" s="1860"/>
      <c r="E1443" s="1839"/>
      <c r="F1443" s="1841"/>
      <c r="G1443" s="1671"/>
      <c r="H1443" s="1596"/>
      <c r="I1443" s="1615"/>
      <c r="J1443" s="40" t="s">
        <v>83</v>
      </c>
      <c r="K1443" s="91"/>
      <c r="L1443" s="364">
        <v>0</v>
      </c>
      <c r="M1443" s="364">
        <v>0</v>
      </c>
      <c r="N1443" s="364">
        <v>0</v>
      </c>
      <c r="O1443" s="364">
        <v>0</v>
      </c>
      <c r="P1443" s="364">
        <v>0</v>
      </c>
      <c r="Q1443" s="1475">
        <f>L1443*$H1440</f>
        <v>0</v>
      </c>
      <c r="R1443" s="1475">
        <f>M1443*$H1440</f>
        <v>0</v>
      </c>
      <c r="S1443" s="1475">
        <f>N1443*$H1440</f>
        <v>0</v>
      </c>
      <c r="T1443" s="1475">
        <f>O1443*$H1440</f>
        <v>0</v>
      </c>
      <c r="U1443" s="1475">
        <f>P1443*$H1440</f>
        <v>0</v>
      </c>
      <c r="V1443" s="1475">
        <f t="shared" si="710"/>
        <v>0</v>
      </c>
    </row>
    <row r="1444" spans="1:22" s="39" customFormat="1" ht="24" customHeight="1" thickBot="1">
      <c r="A1444" s="1860">
        <v>3</v>
      </c>
      <c r="B1444" s="1860"/>
      <c r="C1444" s="1860"/>
      <c r="D1444" s="1860"/>
      <c r="E1444" s="1839"/>
      <c r="F1444" s="1841"/>
      <c r="G1444" s="1672"/>
      <c r="H1444" s="1618"/>
      <c r="I1444" s="1617"/>
      <c r="J1444" s="40" t="s">
        <v>84</v>
      </c>
      <c r="K1444" s="91"/>
      <c r="L1444" s="364">
        <f>L1435-L1436</f>
        <v>0</v>
      </c>
      <c r="M1444" s="364">
        <f t="shared" ref="M1444:U1444" si="713">M1435-M1436</f>
        <v>0</v>
      </c>
      <c r="N1444" s="364">
        <f t="shared" si="713"/>
        <v>0</v>
      </c>
      <c r="O1444" s="364">
        <f t="shared" si="713"/>
        <v>0.21999999999999997</v>
      </c>
      <c r="P1444" s="364">
        <f t="shared" si="713"/>
        <v>0.21999999999999997</v>
      </c>
      <c r="Q1444" s="1475">
        <f t="shared" si="713"/>
        <v>0</v>
      </c>
      <c r="R1444" s="1475">
        <f t="shared" si="713"/>
        <v>0</v>
      </c>
      <c r="S1444" s="1475">
        <f t="shared" si="713"/>
        <v>0</v>
      </c>
      <c r="T1444" s="1475">
        <f t="shared" si="713"/>
        <v>502590</v>
      </c>
      <c r="U1444" s="1475">
        <f t="shared" si="713"/>
        <v>502590</v>
      </c>
      <c r="V1444" s="1475">
        <f t="shared" si="710"/>
        <v>1005180</v>
      </c>
    </row>
    <row r="1445" spans="1:22" s="39" customFormat="1" ht="24" customHeight="1">
      <c r="A1445" s="1860">
        <v>3</v>
      </c>
      <c r="B1445" s="1860">
        <v>1</v>
      </c>
      <c r="C1445" s="1860">
        <v>1</v>
      </c>
      <c r="D1445" s="1860">
        <v>2</v>
      </c>
      <c r="E1445" s="1839" t="s">
        <v>15</v>
      </c>
      <c r="F1445" s="1841" t="str">
        <f>CONCATENATE(A1445,".",B1445,".",C1445,".",D1445,)</f>
        <v>3.1.1.2</v>
      </c>
      <c r="G1445" s="1670" t="s">
        <v>209</v>
      </c>
      <c r="H1445" s="1601" t="s">
        <v>142</v>
      </c>
      <c r="I1445" s="1614" t="s">
        <v>1152</v>
      </c>
      <c r="J1445" s="36" t="s">
        <v>79</v>
      </c>
      <c r="K1445" s="896"/>
      <c r="L1445" s="383">
        <v>2</v>
      </c>
      <c r="M1445" s="383">
        <v>0</v>
      </c>
      <c r="N1445" s="383">
        <v>0</v>
      </c>
      <c r="O1445" s="383">
        <v>0</v>
      </c>
      <c r="P1445" s="383">
        <v>0</v>
      </c>
      <c r="Q1445" s="1475">
        <f>L1445*H1450</f>
        <v>89682.6</v>
      </c>
      <c r="R1445" s="1475">
        <f>M1445*H1450</f>
        <v>0</v>
      </c>
      <c r="S1445" s="1475">
        <f>N1445*H1450</f>
        <v>0</v>
      </c>
      <c r="T1445" s="1475">
        <f>O1445*H1450</f>
        <v>0</v>
      </c>
      <c r="U1445" s="1475">
        <f>P1445*H1450</f>
        <v>0</v>
      </c>
      <c r="V1445" s="1475">
        <f t="shared" si="710"/>
        <v>89682.6</v>
      </c>
    </row>
    <row r="1446" spans="1:22" s="39" customFormat="1" ht="24" customHeight="1">
      <c r="A1446" s="1860">
        <v>3</v>
      </c>
      <c r="B1446" s="1860"/>
      <c r="C1446" s="1860"/>
      <c r="D1446" s="1860"/>
      <c r="E1446" s="1839"/>
      <c r="F1446" s="1841"/>
      <c r="G1446" s="1671"/>
      <c r="H1446" s="1601"/>
      <c r="I1446" s="1615"/>
      <c r="J1446" s="40" t="s">
        <v>80</v>
      </c>
      <c r="K1446" s="91"/>
      <c r="L1446" s="364">
        <f t="shared" ref="L1446:U1446" si="714">SUM(L1447:L1453)</f>
        <v>2</v>
      </c>
      <c r="M1446" s="364">
        <f t="shared" si="714"/>
        <v>0</v>
      </c>
      <c r="N1446" s="364">
        <f t="shared" si="714"/>
        <v>0</v>
      </c>
      <c r="O1446" s="364">
        <f t="shared" si="714"/>
        <v>0</v>
      </c>
      <c r="P1446" s="364">
        <f t="shared" si="714"/>
        <v>0</v>
      </c>
      <c r="Q1446" s="1475">
        <f t="shared" si="714"/>
        <v>89682.6</v>
      </c>
      <c r="R1446" s="1475">
        <f t="shared" si="714"/>
        <v>0</v>
      </c>
      <c r="S1446" s="1475">
        <f t="shared" si="714"/>
        <v>0</v>
      </c>
      <c r="T1446" s="1475">
        <f t="shared" si="714"/>
        <v>0</v>
      </c>
      <c r="U1446" s="1475">
        <f t="shared" si="714"/>
        <v>0</v>
      </c>
      <c r="V1446" s="1475">
        <f t="shared" si="710"/>
        <v>89682.6</v>
      </c>
    </row>
    <row r="1447" spans="1:22" s="39" customFormat="1" ht="24" customHeight="1">
      <c r="A1447" s="1860">
        <v>3</v>
      </c>
      <c r="B1447" s="1860"/>
      <c r="C1447" s="1860"/>
      <c r="D1447" s="1860"/>
      <c r="E1447" s="1839"/>
      <c r="F1447" s="1841"/>
      <c r="G1447" s="1671"/>
      <c r="H1447" s="1601"/>
      <c r="I1447" s="1615"/>
      <c r="J1447" s="40" t="s">
        <v>429</v>
      </c>
      <c r="K1447" s="91"/>
      <c r="L1447" s="364">
        <v>0</v>
      </c>
      <c r="M1447" s="364">
        <v>0</v>
      </c>
      <c r="N1447" s="364">
        <v>0</v>
      </c>
      <c r="O1447" s="364">
        <v>0</v>
      </c>
      <c r="P1447" s="364">
        <v>0</v>
      </c>
      <c r="Q1447" s="1475">
        <f>L1447*$H1450</f>
        <v>0</v>
      </c>
      <c r="R1447" s="1475">
        <f>M1447*$H1450</f>
        <v>0</v>
      </c>
      <c r="S1447" s="1475">
        <f>N1447*$H1450</f>
        <v>0</v>
      </c>
      <c r="T1447" s="1475">
        <f>O1447*$H1450</f>
        <v>0</v>
      </c>
      <c r="U1447" s="1475">
        <f>P1447*$H1450</f>
        <v>0</v>
      </c>
      <c r="V1447" s="1475">
        <f t="shared" si="710"/>
        <v>0</v>
      </c>
    </row>
    <row r="1448" spans="1:22" s="39" customFormat="1" ht="24" customHeight="1">
      <c r="A1448" s="1860">
        <v>3</v>
      </c>
      <c r="B1448" s="1860"/>
      <c r="C1448" s="1860"/>
      <c r="D1448" s="1860"/>
      <c r="E1448" s="1839"/>
      <c r="F1448" s="1841"/>
      <c r="G1448" s="1671"/>
      <c r="H1448" s="1601"/>
      <c r="I1448" s="1615"/>
      <c r="J1448" s="40" t="s">
        <v>133</v>
      </c>
      <c r="K1448" s="91"/>
      <c r="L1448" s="364">
        <v>0</v>
      </c>
      <c r="M1448" s="364">
        <v>0</v>
      </c>
      <c r="N1448" s="364">
        <v>0</v>
      </c>
      <c r="O1448" s="364">
        <v>0</v>
      </c>
      <c r="P1448" s="364">
        <v>0</v>
      </c>
      <c r="Q1448" s="1475">
        <f>L1448*$H1450</f>
        <v>0</v>
      </c>
      <c r="R1448" s="1475">
        <f>M1448*$H1450</f>
        <v>0</v>
      </c>
      <c r="S1448" s="1475">
        <f>N1448*$H1450</f>
        <v>0</v>
      </c>
      <c r="T1448" s="1475">
        <f>O1448*$H1450</f>
        <v>0</v>
      </c>
      <c r="U1448" s="1475">
        <f>P1448*$H1450</f>
        <v>0</v>
      </c>
      <c r="V1448" s="1475">
        <f t="shared" si="710"/>
        <v>0</v>
      </c>
    </row>
    <row r="1449" spans="1:22" s="39" customFormat="1" ht="24" customHeight="1">
      <c r="A1449" s="1860">
        <v>3</v>
      </c>
      <c r="B1449" s="1860"/>
      <c r="C1449" s="1860"/>
      <c r="D1449" s="1860"/>
      <c r="E1449" s="1839"/>
      <c r="F1449" s="1841"/>
      <c r="G1449" s="1671"/>
      <c r="H1449" s="1601"/>
      <c r="I1449" s="1615"/>
      <c r="J1449" s="40" t="s">
        <v>81</v>
      </c>
      <c r="K1449" s="91"/>
      <c r="L1449" s="364">
        <v>0</v>
      </c>
      <c r="M1449" s="364">
        <v>0</v>
      </c>
      <c r="N1449" s="364">
        <v>0</v>
      </c>
      <c r="O1449" s="364">
        <v>0</v>
      </c>
      <c r="P1449" s="364">
        <v>0</v>
      </c>
      <c r="Q1449" s="1475">
        <f>L1449*$H1450</f>
        <v>0</v>
      </c>
      <c r="R1449" s="1475">
        <f>M1449*$H1450</f>
        <v>0</v>
      </c>
      <c r="S1449" s="1475">
        <f>N1449*$H1450</f>
        <v>0</v>
      </c>
      <c r="T1449" s="1475">
        <f>O1449*$H1450</f>
        <v>0</v>
      </c>
      <c r="U1449" s="1475">
        <f>P1449*$H1450</f>
        <v>0</v>
      </c>
      <c r="V1449" s="1475">
        <f t="shared" si="710"/>
        <v>0</v>
      </c>
    </row>
    <row r="1450" spans="1:22" s="39" customFormat="1" ht="24" customHeight="1">
      <c r="A1450" s="1860">
        <v>3</v>
      </c>
      <c r="B1450" s="1860"/>
      <c r="C1450" s="1860"/>
      <c r="D1450" s="1860"/>
      <c r="E1450" s="1839"/>
      <c r="F1450" s="1841"/>
      <c r="G1450" s="1671"/>
      <c r="H1450" s="1595">
        <f>'Budget assumption'!H43</f>
        <v>44841.3</v>
      </c>
      <c r="I1450" s="1615"/>
      <c r="J1450" s="40" t="s">
        <v>134</v>
      </c>
      <c r="K1450" s="91"/>
      <c r="L1450" s="364">
        <v>0</v>
      </c>
      <c r="M1450" s="364">
        <v>0</v>
      </c>
      <c r="N1450" s="364">
        <v>0</v>
      </c>
      <c r="O1450" s="364">
        <v>0</v>
      </c>
      <c r="P1450" s="364">
        <v>0</v>
      </c>
      <c r="Q1450" s="1475">
        <f>L1450*$H1450</f>
        <v>0</v>
      </c>
      <c r="R1450" s="1475">
        <f>M1450*$H1450</f>
        <v>0</v>
      </c>
      <c r="S1450" s="1475">
        <f>N1450*$H1450</f>
        <v>0</v>
      </c>
      <c r="T1450" s="1475">
        <f>O1450*$H1450</f>
        <v>0</v>
      </c>
      <c r="U1450" s="1475">
        <f>P1450*$H1450</f>
        <v>0</v>
      </c>
      <c r="V1450" s="1475">
        <f t="shared" si="710"/>
        <v>0</v>
      </c>
    </row>
    <row r="1451" spans="1:22" s="39" customFormat="1" ht="24" customHeight="1">
      <c r="A1451" s="1860">
        <v>3</v>
      </c>
      <c r="B1451" s="1860"/>
      <c r="C1451" s="1860"/>
      <c r="D1451" s="1860"/>
      <c r="E1451" s="1839"/>
      <c r="F1451" s="1841"/>
      <c r="G1451" s="1671"/>
      <c r="H1451" s="1596">
        <f>810*0.05</f>
        <v>40.5</v>
      </c>
      <c r="I1451" s="1615"/>
      <c r="J1451" s="40" t="s">
        <v>82</v>
      </c>
      <c r="K1451" s="91"/>
      <c r="L1451" s="364">
        <v>2</v>
      </c>
      <c r="M1451" s="364">
        <v>0</v>
      </c>
      <c r="N1451" s="364">
        <v>0</v>
      </c>
      <c r="O1451" s="364">
        <v>0</v>
      </c>
      <c r="P1451" s="364">
        <v>0</v>
      </c>
      <c r="Q1451" s="1475">
        <f>L1451*$H1450</f>
        <v>89682.6</v>
      </c>
      <c r="R1451" s="1475">
        <f>M1451*$H1450</f>
        <v>0</v>
      </c>
      <c r="S1451" s="1475">
        <f>N1451*$H1450</f>
        <v>0</v>
      </c>
      <c r="T1451" s="1475">
        <f>O1451*$H1450</f>
        <v>0</v>
      </c>
      <c r="U1451" s="1475">
        <f>P1451*$H1450</f>
        <v>0</v>
      </c>
      <c r="V1451" s="1475">
        <f t="shared" si="710"/>
        <v>89682.6</v>
      </c>
    </row>
    <row r="1452" spans="1:22" s="39" customFormat="1" ht="24" customHeight="1">
      <c r="A1452" s="1860">
        <v>3</v>
      </c>
      <c r="B1452" s="1860"/>
      <c r="C1452" s="1860"/>
      <c r="D1452" s="1860"/>
      <c r="E1452" s="1839"/>
      <c r="F1452" s="1841"/>
      <c r="G1452" s="1671"/>
      <c r="H1452" s="1596"/>
      <c r="I1452" s="1615"/>
      <c r="J1452" s="40" t="s">
        <v>90</v>
      </c>
      <c r="K1452" s="91"/>
      <c r="L1452" s="364">
        <v>0</v>
      </c>
      <c r="M1452" s="364">
        <v>0</v>
      </c>
      <c r="N1452" s="364">
        <v>0</v>
      </c>
      <c r="O1452" s="364">
        <v>0</v>
      </c>
      <c r="P1452" s="364">
        <v>0</v>
      </c>
      <c r="Q1452" s="1475">
        <f>L1452*$H1450</f>
        <v>0</v>
      </c>
      <c r="R1452" s="1475">
        <f>M1452*$H1450</f>
        <v>0</v>
      </c>
      <c r="S1452" s="1475">
        <f>N1452*$H1450</f>
        <v>0</v>
      </c>
      <c r="T1452" s="1475">
        <f>O1452*$H1450</f>
        <v>0</v>
      </c>
      <c r="U1452" s="1475">
        <f>P1452*$H1450</f>
        <v>0</v>
      </c>
      <c r="V1452" s="1475">
        <f t="shared" si="710"/>
        <v>0</v>
      </c>
    </row>
    <row r="1453" spans="1:22" s="39" customFormat="1" ht="24" customHeight="1">
      <c r="A1453" s="1860">
        <v>3</v>
      </c>
      <c r="B1453" s="1860"/>
      <c r="C1453" s="1860"/>
      <c r="D1453" s="1860"/>
      <c r="E1453" s="1839"/>
      <c r="F1453" s="1841"/>
      <c r="G1453" s="1671"/>
      <c r="H1453" s="1596"/>
      <c r="I1453" s="1615"/>
      <c r="J1453" s="40" t="s">
        <v>83</v>
      </c>
      <c r="K1453" s="42"/>
      <c r="L1453" s="364">
        <v>0</v>
      </c>
      <c r="M1453" s="364">
        <v>0</v>
      </c>
      <c r="N1453" s="364">
        <v>0</v>
      </c>
      <c r="O1453" s="364">
        <v>0</v>
      </c>
      <c r="P1453" s="364">
        <v>0</v>
      </c>
      <c r="Q1453" s="1475">
        <f>L1453*$H1450</f>
        <v>0</v>
      </c>
      <c r="R1453" s="1475">
        <f>M1453*$H1450</f>
        <v>0</v>
      </c>
      <c r="S1453" s="1475">
        <f>N1453*$H1450</f>
        <v>0</v>
      </c>
      <c r="T1453" s="1475">
        <f>O1453*$H1450</f>
        <v>0</v>
      </c>
      <c r="U1453" s="1475">
        <f>P1453*$H1450</f>
        <v>0</v>
      </c>
      <c r="V1453" s="1475">
        <f t="shared" si="710"/>
        <v>0</v>
      </c>
    </row>
    <row r="1454" spans="1:22" s="39" customFormat="1" ht="24" customHeight="1">
      <c r="A1454" s="1860">
        <v>3</v>
      </c>
      <c r="B1454" s="1860"/>
      <c r="C1454" s="1860"/>
      <c r="D1454" s="1860"/>
      <c r="E1454" s="1839"/>
      <c r="F1454" s="1841"/>
      <c r="G1454" s="1672"/>
      <c r="H1454" s="1618"/>
      <c r="I1454" s="1617"/>
      <c r="J1454" s="40" t="s">
        <v>84</v>
      </c>
      <c r="K1454" s="42"/>
      <c r="L1454" s="364">
        <f>L1445-L1446</f>
        <v>0</v>
      </c>
      <c r="M1454" s="364">
        <f t="shared" ref="M1454:U1454" si="715">M1445-M1446</f>
        <v>0</v>
      </c>
      <c r="N1454" s="364">
        <f t="shared" si="715"/>
        <v>0</v>
      </c>
      <c r="O1454" s="364">
        <f t="shared" si="715"/>
        <v>0</v>
      </c>
      <c r="P1454" s="364">
        <f t="shared" si="715"/>
        <v>0</v>
      </c>
      <c r="Q1454" s="1475">
        <f t="shared" si="715"/>
        <v>0</v>
      </c>
      <c r="R1454" s="1475">
        <f t="shared" si="715"/>
        <v>0</v>
      </c>
      <c r="S1454" s="1475">
        <f t="shared" si="715"/>
        <v>0</v>
      </c>
      <c r="T1454" s="1475">
        <f t="shared" si="715"/>
        <v>0</v>
      </c>
      <c r="U1454" s="1475">
        <f t="shared" si="715"/>
        <v>0</v>
      </c>
      <c r="V1454" s="1475">
        <f t="shared" si="710"/>
        <v>0</v>
      </c>
    </row>
    <row r="1455" spans="1:22" s="39" customFormat="1" ht="29.1" customHeight="1" thickBot="1">
      <c r="A1455" s="75">
        <v>3</v>
      </c>
      <c r="B1455" s="75">
        <v>1</v>
      </c>
      <c r="C1455" s="75">
        <v>2</v>
      </c>
      <c r="D1455" s="75"/>
      <c r="E1455" s="74" t="s">
        <v>13</v>
      </c>
      <c r="F1455" s="71" t="str">
        <f>CONCATENATE(A1455,".",B1455,".",C1455,)</f>
        <v>3.1.2</v>
      </c>
      <c r="G1455" s="1605" t="s">
        <v>210</v>
      </c>
      <c r="H1455" s="1606"/>
      <c r="I1455" s="1606"/>
      <c r="J1455" s="1607"/>
      <c r="K1455" s="66"/>
      <c r="L1455" s="382"/>
      <c r="M1455" s="382"/>
      <c r="N1455" s="382"/>
      <c r="O1455" s="382"/>
      <c r="P1455" s="382"/>
      <c r="Q1455" s="1521">
        <f>Q1457+Q1467+Q1477</f>
        <v>0</v>
      </c>
      <c r="R1455" s="1521">
        <f t="shared" ref="R1455:U1455" si="716">R1457+R1467+R1477</f>
        <v>176550</v>
      </c>
      <c r="S1455" s="1521">
        <f t="shared" si="716"/>
        <v>60000</v>
      </c>
      <c r="T1455" s="1521">
        <f t="shared" si="716"/>
        <v>0</v>
      </c>
      <c r="U1455" s="1521">
        <f t="shared" si="716"/>
        <v>0</v>
      </c>
      <c r="V1455" s="1521">
        <f t="shared" si="710"/>
        <v>236550</v>
      </c>
    </row>
    <row r="1456" spans="1:22" s="39" customFormat="1" ht="24" customHeight="1">
      <c r="A1456" s="1860">
        <v>3</v>
      </c>
      <c r="B1456" s="1860">
        <v>1</v>
      </c>
      <c r="C1456" s="1860">
        <v>2</v>
      </c>
      <c r="D1456" s="1860">
        <v>1</v>
      </c>
      <c r="E1456" s="1839" t="s">
        <v>15</v>
      </c>
      <c r="F1456" s="1841" t="str">
        <f>CONCATENATE(A1456,".",B1456,".",C1456,".",D1456,)</f>
        <v>3.1.2.1</v>
      </c>
      <c r="G1456" s="1670" t="s">
        <v>212</v>
      </c>
      <c r="H1456" s="1601" t="s">
        <v>195</v>
      </c>
      <c r="I1456" s="1614" t="s">
        <v>630</v>
      </c>
      <c r="J1456" s="36" t="s">
        <v>79</v>
      </c>
      <c r="K1456" s="896"/>
      <c r="L1456" s="383">
        <v>0</v>
      </c>
      <c r="M1456" s="383">
        <v>1</v>
      </c>
      <c r="N1456" s="383">
        <v>0</v>
      </c>
      <c r="O1456" s="383">
        <v>0</v>
      </c>
      <c r="P1456" s="383">
        <v>0</v>
      </c>
      <c r="Q1456" s="1475">
        <f>L1456*H1461</f>
        <v>0</v>
      </c>
      <c r="R1456" s="1475">
        <f>M1456*H1461</f>
        <v>176550</v>
      </c>
      <c r="S1456" s="1475">
        <f>N1456*H1461</f>
        <v>0</v>
      </c>
      <c r="T1456" s="1475">
        <f>O1456*H1461</f>
        <v>0</v>
      </c>
      <c r="U1456" s="1475">
        <f>P1456*H1461</f>
        <v>0</v>
      </c>
      <c r="V1456" s="1475">
        <f t="shared" si="710"/>
        <v>176550</v>
      </c>
    </row>
    <row r="1457" spans="1:22" s="39" customFormat="1" ht="24" customHeight="1">
      <c r="A1457" s="1860">
        <v>3</v>
      </c>
      <c r="B1457" s="1860"/>
      <c r="C1457" s="1860"/>
      <c r="D1457" s="1860"/>
      <c r="E1457" s="1839"/>
      <c r="F1457" s="1841"/>
      <c r="G1457" s="1671"/>
      <c r="H1457" s="1601"/>
      <c r="I1457" s="1615"/>
      <c r="J1457" s="40" t="s">
        <v>80</v>
      </c>
      <c r="K1457" s="91"/>
      <c r="L1457" s="364">
        <f t="shared" ref="L1457:U1457" si="717">SUM(L1458:L1464)</f>
        <v>0</v>
      </c>
      <c r="M1457" s="364">
        <f t="shared" si="717"/>
        <v>1</v>
      </c>
      <c r="N1457" s="364">
        <f t="shared" si="717"/>
        <v>0</v>
      </c>
      <c r="O1457" s="364">
        <f t="shared" si="717"/>
        <v>0</v>
      </c>
      <c r="P1457" s="364">
        <f t="shared" si="717"/>
        <v>0</v>
      </c>
      <c r="Q1457" s="1475">
        <f t="shared" si="717"/>
        <v>0</v>
      </c>
      <c r="R1457" s="1475">
        <f t="shared" si="717"/>
        <v>176550</v>
      </c>
      <c r="S1457" s="1475">
        <f t="shared" si="717"/>
        <v>0</v>
      </c>
      <c r="T1457" s="1475">
        <f t="shared" si="717"/>
        <v>0</v>
      </c>
      <c r="U1457" s="1475">
        <f t="shared" si="717"/>
        <v>0</v>
      </c>
      <c r="V1457" s="1475">
        <f t="shared" si="710"/>
        <v>176550</v>
      </c>
    </row>
    <row r="1458" spans="1:22" s="39" customFormat="1" ht="24" customHeight="1">
      <c r="A1458" s="1860">
        <v>3</v>
      </c>
      <c r="B1458" s="1860"/>
      <c r="C1458" s="1860"/>
      <c r="D1458" s="1860"/>
      <c r="E1458" s="1839"/>
      <c r="F1458" s="1841"/>
      <c r="G1458" s="1671"/>
      <c r="H1458" s="1601"/>
      <c r="I1458" s="1615"/>
      <c r="J1458" s="40" t="s">
        <v>429</v>
      </c>
      <c r="K1458" s="91"/>
      <c r="L1458" s="364">
        <v>0</v>
      </c>
      <c r="M1458" s="364">
        <v>0</v>
      </c>
      <c r="N1458" s="364">
        <v>0</v>
      </c>
      <c r="O1458" s="364">
        <v>0</v>
      </c>
      <c r="P1458" s="364">
        <v>0</v>
      </c>
      <c r="Q1458" s="1475">
        <f>L1458*$H1461</f>
        <v>0</v>
      </c>
      <c r="R1458" s="1475">
        <f>M1458*$H1461</f>
        <v>0</v>
      </c>
      <c r="S1458" s="1475">
        <f>N1458*$H1461</f>
        <v>0</v>
      </c>
      <c r="T1458" s="1475">
        <f>O1458*$H1461</f>
        <v>0</v>
      </c>
      <c r="U1458" s="1475">
        <f>P1458*$H1461</f>
        <v>0</v>
      </c>
      <c r="V1458" s="1475">
        <f t="shared" si="710"/>
        <v>0</v>
      </c>
    </row>
    <row r="1459" spans="1:22" s="39" customFormat="1" ht="24" customHeight="1">
      <c r="A1459" s="1860">
        <v>3</v>
      </c>
      <c r="B1459" s="1860"/>
      <c r="C1459" s="1860"/>
      <c r="D1459" s="1860"/>
      <c r="E1459" s="1839"/>
      <c r="F1459" s="1841"/>
      <c r="G1459" s="1671"/>
      <c r="H1459" s="1601"/>
      <c r="I1459" s="1615"/>
      <c r="J1459" s="40" t="s">
        <v>133</v>
      </c>
      <c r="K1459" s="91"/>
      <c r="L1459" s="364">
        <v>0</v>
      </c>
      <c r="M1459" s="364">
        <v>0</v>
      </c>
      <c r="N1459" s="364">
        <v>0</v>
      </c>
      <c r="O1459" s="364">
        <v>0</v>
      </c>
      <c r="P1459" s="364">
        <v>0</v>
      </c>
      <c r="Q1459" s="1475">
        <f>L1459*$H1461</f>
        <v>0</v>
      </c>
      <c r="R1459" s="1475">
        <f>M1459*$H1461</f>
        <v>0</v>
      </c>
      <c r="S1459" s="1475">
        <f>N1459*$H1461</f>
        <v>0</v>
      </c>
      <c r="T1459" s="1475">
        <f>O1459*$H1461</f>
        <v>0</v>
      </c>
      <c r="U1459" s="1475">
        <f>P1459*$H1461</f>
        <v>0</v>
      </c>
      <c r="V1459" s="1475">
        <f t="shared" si="710"/>
        <v>0</v>
      </c>
    </row>
    <row r="1460" spans="1:22" s="39" customFormat="1" ht="24" customHeight="1">
      <c r="A1460" s="1860">
        <v>3</v>
      </c>
      <c r="B1460" s="1860"/>
      <c r="C1460" s="1860"/>
      <c r="D1460" s="1860"/>
      <c r="E1460" s="1839"/>
      <c r="F1460" s="1841"/>
      <c r="G1460" s="1671"/>
      <c r="H1460" s="1601"/>
      <c r="I1460" s="1615"/>
      <c r="J1460" s="40" t="s">
        <v>81</v>
      </c>
      <c r="K1460" s="91"/>
      <c r="L1460" s="364">
        <v>0</v>
      </c>
      <c r="M1460" s="364">
        <v>0</v>
      </c>
      <c r="N1460" s="364">
        <v>0</v>
      </c>
      <c r="O1460" s="364">
        <v>0</v>
      </c>
      <c r="P1460" s="364">
        <v>0</v>
      </c>
      <c r="Q1460" s="1475">
        <f>L1460*$H1461</f>
        <v>0</v>
      </c>
      <c r="R1460" s="1475">
        <f>M1460*$H1461</f>
        <v>0</v>
      </c>
      <c r="S1460" s="1475">
        <f>N1460*$H1461</f>
        <v>0</v>
      </c>
      <c r="T1460" s="1475">
        <f>O1460*$H1461</f>
        <v>0</v>
      </c>
      <c r="U1460" s="1475">
        <f>P1460*$H1461</f>
        <v>0</v>
      </c>
      <c r="V1460" s="1475">
        <f t="shared" si="710"/>
        <v>0</v>
      </c>
    </row>
    <row r="1461" spans="1:22" s="39" customFormat="1" ht="24" customHeight="1">
      <c r="A1461" s="1860">
        <v>3</v>
      </c>
      <c r="B1461" s="1860"/>
      <c r="C1461" s="1860"/>
      <c r="D1461" s="1860"/>
      <c r="E1461" s="1839"/>
      <c r="F1461" s="1841"/>
      <c r="G1461" s="1671"/>
      <c r="H1461" s="1595">
        <f>'Budget assumption'!F350</f>
        <v>176550</v>
      </c>
      <c r="I1461" s="1615"/>
      <c r="J1461" s="40" t="s">
        <v>134</v>
      </c>
      <c r="K1461" s="91"/>
      <c r="L1461" s="364">
        <v>0</v>
      </c>
      <c r="M1461" s="364">
        <v>0</v>
      </c>
      <c r="N1461" s="364">
        <v>0</v>
      </c>
      <c r="O1461" s="364">
        <v>0</v>
      </c>
      <c r="P1461" s="364">
        <v>0</v>
      </c>
      <c r="Q1461" s="1475">
        <f>L1461*$H1461</f>
        <v>0</v>
      </c>
      <c r="R1461" s="1475">
        <f>M1461*$H1461</f>
        <v>0</v>
      </c>
      <c r="S1461" s="1475">
        <f>N1461*$H1461</f>
        <v>0</v>
      </c>
      <c r="T1461" s="1475">
        <f>O1461*$H1461</f>
        <v>0</v>
      </c>
      <c r="U1461" s="1475">
        <f>P1461*$H1461</f>
        <v>0</v>
      </c>
      <c r="V1461" s="1475">
        <f t="shared" si="710"/>
        <v>0</v>
      </c>
    </row>
    <row r="1462" spans="1:22" s="39" customFormat="1" ht="24" customHeight="1">
      <c r="A1462" s="1860">
        <v>3</v>
      </c>
      <c r="B1462" s="1860"/>
      <c r="C1462" s="1860"/>
      <c r="D1462" s="1860"/>
      <c r="E1462" s="1839"/>
      <c r="F1462" s="1841"/>
      <c r="G1462" s="1671"/>
      <c r="H1462" s="1596">
        <f>810*0.05</f>
        <v>40.5</v>
      </c>
      <c r="I1462" s="1615"/>
      <c r="J1462" s="40" t="s">
        <v>82</v>
      </c>
      <c r="K1462" s="91"/>
      <c r="L1462" s="364">
        <v>0</v>
      </c>
      <c r="M1462" s="364">
        <v>1</v>
      </c>
      <c r="N1462" s="364">
        <v>0</v>
      </c>
      <c r="O1462" s="364">
        <v>0</v>
      </c>
      <c r="P1462" s="364">
        <v>0</v>
      </c>
      <c r="Q1462" s="1475">
        <f>L1462*$H1461</f>
        <v>0</v>
      </c>
      <c r="R1462" s="1475">
        <f>M1462*$H1461</f>
        <v>176550</v>
      </c>
      <c r="S1462" s="1475">
        <f>N1462*$H1461</f>
        <v>0</v>
      </c>
      <c r="T1462" s="1475">
        <f>O1462*$H1461</f>
        <v>0</v>
      </c>
      <c r="U1462" s="1475">
        <f>P1462*$H1461</f>
        <v>0</v>
      </c>
      <c r="V1462" s="1475">
        <f t="shared" si="710"/>
        <v>176550</v>
      </c>
    </row>
    <row r="1463" spans="1:22" s="39" customFormat="1" ht="24" customHeight="1">
      <c r="A1463" s="1860">
        <v>3</v>
      </c>
      <c r="B1463" s="1860"/>
      <c r="C1463" s="1860"/>
      <c r="D1463" s="1860"/>
      <c r="E1463" s="1839"/>
      <c r="F1463" s="1841"/>
      <c r="G1463" s="1671"/>
      <c r="H1463" s="1596"/>
      <c r="I1463" s="1615"/>
      <c r="J1463" s="40" t="s">
        <v>90</v>
      </c>
      <c r="K1463" s="91"/>
      <c r="L1463" s="364">
        <v>0</v>
      </c>
      <c r="M1463" s="364">
        <v>0</v>
      </c>
      <c r="N1463" s="364">
        <v>0</v>
      </c>
      <c r="O1463" s="364">
        <v>0</v>
      </c>
      <c r="P1463" s="364">
        <v>0</v>
      </c>
      <c r="Q1463" s="1475">
        <f>L1463*$H1461</f>
        <v>0</v>
      </c>
      <c r="R1463" s="1475">
        <f>M1463*$H1461</f>
        <v>0</v>
      </c>
      <c r="S1463" s="1475">
        <f>N1463*$H1461</f>
        <v>0</v>
      </c>
      <c r="T1463" s="1475">
        <f>O1463*$H1461</f>
        <v>0</v>
      </c>
      <c r="U1463" s="1475">
        <f>P1463*$H1461</f>
        <v>0</v>
      </c>
      <c r="V1463" s="1475">
        <f t="shared" si="710"/>
        <v>0</v>
      </c>
    </row>
    <row r="1464" spans="1:22" s="39" customFormat="1" ht="24" customHeight="1">
      <c r="A1464" s="1860">
        <v>3</v>
      </c>
      <c r="B1464" s="1860"/>
      <c r="C1464" s="1860"/>
      <c r="D1464" s="1860"/>
      <c r="E1464" s="1839"/>
      <c r="F1464" s="1841"/>
      <c r="G1464" s="1671"/>
      <c r="H1464" s="1596"/>
      <c r="I1464" s="1615"/>
      <c r="J1464" s="40" t="s">
        <v>83</v>
      </c>
      <c r="K1464" s="91"/>
      <c r="L1464" s="364">
        <v>0</v>
      </c>
      <c r="M1464" s="364">
        <v>0</v>
      </c>
      <c r="N1464" s="364">
        <v>0</v>
      </c>
      <c r="O1464" s="364">
        <v>0</v>
      </c>
      <c r="P1464" s="364">
        <v>0</v>
      </c>
      <c r="Q1464" s="1475">
        <f>L1464*$H1461</f>
        <v>0</v>
      </c>
      <c r="R1464" s="1475">
        <f>M1464*$H1461</f>
        <v>0</v>
      </c>
      <c r="S1464" s="1475">
        <f>N1464*$H1461</f>
        <v>0</v>
      </c>
      <c r="T1464" s="1475">
        <f>O1464*$H1461</f>
        <v>0</v>
      </c>
      <c r="U1464" s="1475">
        <f>P1464*$H1461</f>
        <v>0</v>
      </c>
      <c r="V1464" s="1475">
        <f t="shared" si="710"/>
        <v>0</v>
      </c>
    </row>
    <row r="1465" spans="1:22" s="39" customFormat="1" ht="24" customHeight="1" thickBot="1">
      <c r="A1465" s="1860">
        <v>3</v>
      </c>
      <c r="B1465" s="1860"/>
      <c r="C1465" s="1860"/>
      <c r="D1465" s="1860"/>
      <c r="E1465" s="1839"/>
      <c r="F1465" s="1841"/>
      <c r="G1465" s="1672"/>
      <c r="H1465" s="1618"/>
      <c r="I1465" s="1617"/>
      <c r="J1465" s="40" t="s">
        <v>84</v>
      </c>
      <c r="K1465" s="91"/>
      <c r="L1465" s="364">
        <f>L1456-L1457</f>
        <v>0</v>
      </c>
      <c r="M1465" s="364">
        <f t="shared" ref="M1465:U1465" si="718">M1456-M1457</f>
        <v>0</v>
      </c>
      <c r="N1465" s="364">
        <f t="shared" si="718"/>
        <v>0</v>
      </c>
      <c r="O1465" s="364">
        <f t="shared" si="718"/>
        <v>0</v>
      </c>
      <c r="P1465" s="364">
        <f t="shared" si="718"/>
        <v>0</v>
      </c>
      <c r="Q1465" s="1475">
        <f t="shared" si="718"/>
        <v>0</v>
      </c>
      <c r="R1465" s="1475">
        <f t="shared" si="718"/>
        <v>0</v>
      </c>
      <c r="S1465" s="1475">
        <f t="shared" si="718"/>
        <v>0</v>
      </c>
      <c r="T1465" s="1475">
        <f t="shared" si="718"/>
        <v>0</v>
      </c>
      <c r="U1465" s="1475">
        <f t="shared" si="718"/>
        <v>0</v>
      </c>
      <c r="V1465" s="1475">
        <f t="shared" si="710"/>
        <v>0</v>
      </c>
    </row>
    <row r="1466" spans="1:22" s="39" customFormat="1" ht="24" customHeight="1">
      <c r="A1466" s="1860">
        <v>3</v>
      </c>
      <c r="B1466" s="1860">
        <v>1</v>
      </c>
      <c r="C1466" s="1860">
        <v>2</v>
      </c>
      <c r="D1466" s="1860">
        <v>2</v>
      </c>
      <c r="E1466" s="1839" t="s">
        <v>15</v>
      </c>
      <c r="F1466" s="1841" t="str">
        <f>CONCATENATE(A1466,".",B1466,".",C1466,".",D1466,)</f>
        <v>3.1.2.2</v>
      </c>
      <c r="G1466" s="1670" t="s">
        <v>213</v>
      </c>
      <c r="H1466" s="1601" t="s">
        <v>195</v>
      </c>
      <c r="I1466" s="1614" t="s">
        <v>632</v>
      </c>
      <c r="J1466" s="36" t="s">
        <v>79</v>
      </c>
      <c r="K1466" s="896"/>
      <c r="L1466" s="383">
        <v>0</v>
      </c>
      <c r="M1466" s="383">
        <v>0</v>
      </c>
      <c r="N1466" s="383">
        <v>30</v>
      </c>
      <c r="O1466" s="383">
        <v>0</v>
      </c>
      <c r="P1466" s="383">
        <v>0</v>
      </c>
      <c r="Q1466" s="1475">
        <f>L1466*H1471</f>
        <v>0</v>
      </c>
      <c r="R1466" s="1475">
        <f>M1466*H1471</f>
        <v>0</v>
      </c>
      <c r="S1466" s="1475">
        <f>N1466*H1471</f>
        <v>60000</v>
      </c>
      <c r="T1466" s="1475">
        <f>O1466*H1471</f>
        <v>0</v>
      </c>
      <c r="U1466" s="1475">
        <f>P1466*H1471</f>
        <v>0</v>
      </c>
      <c r="V1466" s="1475">
        <f t="shared" ref="V1466:V1539" si="719">SUM(Q1466:U1466)</f>
        <v>60000</v>
      </c>
    </row>
    <row r="1467" spans="1:22" s="39" customFormat="1" ht="24" customHeight="1">
      <c r="A1467" s="1860">
        <v>3</v>
      </c>
      <c r="B1467" s="1860"/>
      <c r="C1467" s="1860"/>
      <c r="D1467" s="1860"/>
      <c r="E1467" s="1839"/>
      <c r="F1467" s="1841"/>
      <c r="G1467" s="1671"/>
      <c r="H1467" s="1601"/>
      <c r="I1467" s="1615"/>
      <c r="J1467" s="40" t="s">
        <v>80</v>
      </c>
      <c r="K1467" s="91"/>
      <c r="L1467" s="364">
        <f t="shared" ref="L1467:U1467" si="720">SUM(L1468:L1474)</f>
        <v>0</v>
      </c>
      <c r="M1467" s="364">
        <f t="shared" si="720"/>
        <v>0</v>
      </c>
      <c r="N1467" s="364">
        <f t="shared" si="720"/>
        <v>30</v>
      </c>
      <c r="O1467" s="364">
        <f t="shared" si="720"/>
        <v>0</v>
      </c>
      <c r="P1467" s="364">
        <f t="shared" si="720"/>
        <v>0</v>
      </c>
      <c r="Q1467" s="1475">
        <f t="shared" si="720"/>
        <v>0</v>
      </c>
      <c r="R1467" s="1475">
        <f t="shared" si="720"/>
        <v>0</v>
      </c>
      <c r="S1467" s="1475">
        <f t="shared" si="720"/>
        <v>60000</v>
      </c>
      <c r="T1467" s="1475">
        <f t="shared" si="720"/>
        <v>0</v>
      </c>
      <c r="U1467" s="1475">
        <f t="shared" si="720"/>
        <v>0</v>
      </c>
      <c r="V1467" s="1475">
        <f t="shared" si="719"/>
        <v>60000</v>
      </c>
    </row>
    <row r="1468" spans="1:22" s="39" customFormat="1" ht="24" customHeight="1">
      <c r="A1468" s="1860">
        <v>3</v>
      </c>
      <c r="B1468" s="1860"/>
      <c r="C1468" s="1860"/>
      <c r="D1468" s="1860"/>
      <c r="E1468" s="1839"/>
      <c r="F1468" s="1841"/>
      <c r="G1468" s="1671"/>
      <c r="H1468" s="1601"/>
      <c r="I1468" s="1615"/>
      <c r="J1468" s="40" t="s">
        <v>429</v>
      </c>
      <c r="K1468" s="91"/>
      <c r="L1468" s="364">
        <v>0</v>
      </c>
      <c r="M1468" s="364">
        <v>0</v>
      </c>
      <c r="N1468" s="364">
        <v>0</v>
      </c>
      <c r="O1468" s="364">
        <v>0</v>
      </c>
      <c r="P1468" s="364">
        <v>0</v>
      </c>
      <c r="Q1468" s="1475">
        <f>L1468*$H1471</f>
        <v>0</v>
      </c>
      <c r="R1468" s="1475">
        <f>M1468*$H1471</f>
        <v>0</v>
      </c>
      <c r="S1468" s="1475">
        <f>N1468*$H1471</f>
        <v>0</v>
      </c>
      <c r="T1468" s="1475">
        <f>O1468*$H1471</f>
        <v>0</v>
      </c>
      <c r="U1468" s="1475">
        <f>P1468*$H1471</f>
        <v>0</v>
      </c>
      <c r="V1468" s="1475">
        <f t="shared" si="719"/>
        <v>0</v>
      </c>
    </row>
    <row r="1469" spans="1:22" s="39" customFormat="1" ht="24" customHeight="1">
      <c r="A1469" s="1860">
        <v>3</v>
      </c>
      <c r="B1469" s="1860"/>
      <c r="C1469" s="1860"/>
      <c r="D1469" s="1860"/>
      <c r="E1469" s="1839"/>
      <c r="F1469" s="1841"/>
      <c r="G1469" s="1671"/>
      <c r="H1469" s="1601"/>
      <c r="I1469" s="1615"/>
      <c r="J1469" s="40" t="s">
        <v>133</v>
      </c>
      <c r="K1469" s="91"/>
      <c r="L1469" s="364">
        <v>0</v>
      </c>
      <c r="M1469" s="364">
        <v>0</v>
      </c>
      <c r="N1469" s="364">
        <v>0</v>
      </c>
      <c r="O1469" s="364">
        <v>0</v>
      </c>
      <c r="P1469" s="364">
        <v>0</v>
      </c>
      <c r="Q1469" s="1475">
        <f>L1469*$H1471</f>
        <v>0</v>
      </c>
      <c r="R1469" s="1475">
        <f>M1469*$H1471</f>
        <v>0</v>
      </c>
      <c r="S1469" s="1475">
        <f>N1469*$H1471</f>
        <v>0</v>
      </c>
      <c r="T1469" s="1475">
        <f>O1469*$H1471</f>
        <v>0</v>
      </c>
      <c r="U1469" s="1475">
        <f>P1469*$H1471</f>
        <v>0</v>
      </c>
      <c r="V1469" s="1475">
        <f t="shared" si="719"/>
        <v>0</v>
      </c>
    </row>
    <row r="1470" spans="1:22" s="39" customFormat="1" ht="24" customHeight="1">
      <c r="A1470" s="1860">
        <v>3</v>
      </c>
      <c r="B1470" s="1860"/>
      <c r="C1470" s="1860"/>
      <c r="D1470" s="1860"/>
      <c r="E1470" s="1839"/>
      <c r="F1470" s="1841"/>
      <c r="G1470" s="1671"/>
      <c r="H1470" s="1601"/>
      <c r="I1470" s="1615"/>
      <c r="J1470" s="40" t="s">
        <v>81</v>
      </c>
      <c r="K1470" s="91"/>
      <c r="L1470" s="364">
        <v>0</v>
      </c>
      <c r="M1470" s="364">
        <v>0</v>
      </c>
      <c r="N1470" s="364">
        <v>0</v>
      </c>
      <c r="O1470" s="364">
        <v>0</v>
      </c>
      <c r="P1470" s="364">
        <v>0</v>
      </c>
      <c r="Q1470" s="1475">
        <f>L1470*$H1471</f>
        <v>0</v>
      </c>
      <c r="R1470" s="1475">
        <f>M1470*$H1471</f>
        <v>0</v>
      </c>
      <c r="S1470" s="1475">
        <f>N1470*$H1471</f>
        <v>0</v>
      </c>
      <c r="T1470" s="1475">
        <f>O1470*$H1471</f>
        <v>0</v>
      </c>
      <c r="U1470" s="1475">
        <f>P1470*$H1471</f>
        <v>0</v>
      </c>
      <c r="V1470" s="1475">
        <f t="shared" si="719"/>
        <v>0</v>
      </c>
    </row>
    <row r="1471" spans="1:22" s="39" customFormat="1" ht="24" customHeight="1">
      <c r="A1471" s="1860">
        <v>3</v>
      </c>
      <c r="B1471" s="1860"/>
      <c r="C1471" s="1860"/>
      <c r="D1471" s="1860"/>
      <c r="E1471" s="1839"/>
      <c r="F1471" s="1841"/>
      <c r="G1471" s="1671"/>
      <c r="H1471" s="1595">
        <f>'Budget assumption'!$C$4</f>
        <v>2000</v>
      </c>
      <c r="I1471" s="1615"/>
      <c r="J1471" s="40" t="s">
        <v>134</v>
      </c>
      <c r="K1471" s="91"/>
      <c r="L1471" s="364">
        <v>0</v>
      </c>
      <c r="M1471" s="364">
        <v>0</v>
      </c>
      <c r="N1471" s="364">
        <v>0</v>
      </c>
      <c r="O1471" s="364">
        <v>0</v>
      </c>
      <c r="P1471" s="364">
        <v>0</v>
      </c>
      <c r="Q1471" s="1475">
        <f>L1471*$H1471</f>
        <v>0</v>
      </c>
      <c r="R1471" s="1475">
        <f>M1471*$H1471</f>
        <v>0</v>
      </c>
      <c r="S1471" s="1475">
        <f>N1471*$H1471</f>
        <v>0</v>
      </c>
      <c r="T1471" s="1475">
        <f>O1471*$H1471</f>
        <v>0</v>
      </c>
      <c r="U1471" s="1475">
        <f>P1471*$H1471</f>
        <v>0</v>
      </c>
      <c r="V1471" s="1475">
        <f t="shared" si="719"/>
        <v>0</v>
      </c>
    </row>
    <row r="1472" spans="1:22" s="39" customFormat="1" ht="24" customHeight="1">
      <c r="A1472" s="1860">
        <v>3</v>
      </c>
      <c r="B1472" s="1860"/>
      <c r="C1472" s="1860"/>
      <c r="D1472" s="1860"/>
      <c r="E1472" s="1839"/>
      <c r="F1472" s="1841"/>
      <c r="G1472" s="1671"/>
      <c r="H1472" s="1596">
        <f>810*0.05</f>
        <v>40.5</v>
      </c>
      <c r="I1472" s="1615"/>
      <c r="J1472" s="40" t="s">
        <v>82</v>
      </c>
      <c r="K1472" s="91"/>
      <c r="L1472" s="364">
        <v>0</v>
      </c>
      <c r="M1472" s="364">
        <v>0</v>
      </c>
      <c r="N1472" s="364">
        <v>30</v>
      </c>
      <c r="O1472" s="364">
        <v>0</v>
      </c>
      <c r="P1472" s="364">
        <v>0</v>
      </c>
      <c r="Q1472" s="1475">
        <f>L1472*$H1471</f>
        <v>0</v>
      </c>
      <c r="R1472" s="1475">
        <f>M1472*$H1471</f>
        <v>0</v>
      </c>
      <c r="S1472" s="1475">
        <f>N1472*$H1471</f>
        <v>60000</v>
      </c>
      <c r="T1472" s="1475">
        <f>O1472*$H1471</f>
        <v>0</v>
      </c>
      <c r="U1472" s="1475">
        <f>P1472*$H1471</f>
        <v>0</v>
      </c>
      <c r="V1472" s="1475">
        <f t="shared" si="719"/>
        <v>60000</v>
      </c>
    </row>
    <row r="1473" spans="1:22" s="39" customFormat="1" ht="24" customHeight="1">
      <c r="A1473" s="1860">
        <v>3</v>
      </c>
      <c r="B1473" s="1860"/>
      <c r="C1473" s="1860"/>
      <c r="D1473" s="1860"/>
      <c r="E1473" s="1839"/>
      <c r="F1473" s="1841"/>
      <c r="G1473" s="1671"/>
      <c r="H1473" s="1596"/>
      <c r="I1473" s="1615"/>
      <c r="J1473" s="40" t="s">
        <v>90</v>
      </c>
      <c r="K1473" s="91"/>
      <c r="L1473" s="364">
        <v>0</v>
      </c>
      <c r="M1473" s="364">
        <v>0</v>
      </c>
      <c r="N1473" s="364">
        <v>0</v>
      </c>
      <c r="O1473" s="364">
        <v>0</v>
      </c>
      <c r="P1473" s="364">
        <v>0</v>
      </c>
      <c r="Q1473" s="1475">
        <f>L1473*$H1471</f>
        <v>0</v>
      </c>
      <c r="R1473" s="1475">
        <f>M1473*$H1471</f>
        <v>0</v>
      </c>
      <c r="S1473" s="1475">
        <f>N1473*$H1471</f>
        <v>0</v>
      </c>
      <c r="T1473" s="1475">
        <f>O1473*$H1471</f>
        <v>0</v>
      </c>
      <c r="U1473" s="1475">
        <f>P1473*$H1471</f>
        <v>0</v>
      </c>
      <c r="V1473" s="1475">
        <f t="shared" si="719"/>
        <v>0</v>
      </c>
    </row>
    <row r="1474" spans="1:22" s="39" customFormat="1" ht="24" customHeight="1">
      <c r="A1474" s="1860">
        <v>3</v>
      </c>
      <c r="B1474" s="1860"/>
      <c r="C1474" s="1860"/>
      <c r="D1474" s="1860"/>
      <c r="E1474" s="1839"/>
      <c r="F1474" s="1841"/>
      <c r="G1474" s="1671"/>
      <c r="H1474" s="1596"/>
      <c r="I1474" s="1615"/>
      <c r="J1474" s="40" t="s">
        <v>83</v>
      </c>
      <c r="K1474" s="91"/>
      <c r="L1474" s="364">
        <v>0</v>
      </c>
      <c r="M1474" s="364">
        <v>0</v>
      </c>
      <c r="N1474" s="364">
        <v>0</v>
      </c>
      <c r="O1474" s="364">
        <v>0</v>
      </c>
      <c r="P1474" s="364">
        <v>0</v>
      </c>
      <c r="Q1474" s="1475">
        <f>L1474*$H1471</f>
        <v>0</v>
      </c>
      <c r="R1474" s="1475">
        <f>M1474*$H1471</f>
        <v>0</v>
      </c>
      <c r="S1474" s="1475">
        <f>N1474*$H1471</f>
        <v>0</v>
      </c>
      <c r="T1474" s="1475">
        <f>O1474*$H1471</f>
        <v>0</v>
      </c>
      <c r="U1474" s="1475">
        <f>P1474*$H1471</f>
        <v>0</v>
      </c>
      <c r="V1474" s="1475">
        <f t="shared" si="719"/>
        <v>0</v>
      </c>
    </row>
    <row r="1475" spans="1:22" s="39" customFormat="1" ht="24" customHeight="1" thickBot="1">
      <c r="A1475" s="1860">
        <v>3</v>
      </c>
      <c r="B1475" s="1860"/>
      <c r="C1475" s="1860"/>
      <c r="D1475" s="1860"/>
      <c r="E1475" s="1839"/>
      <c r="F1475" s="1841"/>
      <c r="G1475" s="1672"/>
      <c r="H1475" s="1618"/>
      <c r="I1475" s="1617"/>
      <c r="J1475" s="40" t="s">
        <v>84</v>
      </c>
      <c r="K1475" s="91"/>
      <c r="L1475" s="364">
        <f>L1466-L1467</f>
        <v>0</v>
      </c>
      <c r="M1475" s="364">
        <f t="shared" ref="M1475:U1475" si="721">M1466-M1467</f>
        <v>0</v>
      </c>
      <c r="N1475" s="364">
        <f t="shared" si="721"/>
        <v>0</v>
      </c>
      <c r="O1475" s="364">
        <f t="shared" si="721"/>
        <v>0</v>
      </c>
      <c r="P1475" s="364">
        <f t="shared" si="721"/>
        <v>0</v>
      </c>
      <c r="Q1475" s="1475">
        <f t="shared" si="721"/>
        <v>0</v>
      </c>
      <c r="R1475" s="1475">
        <f t="shared" si="721"/>
        <v>0</v>
      </c>
      <c r="S1475" s="1475">
        <f t="shared" si="721"/>
        <v>0</v>
      </c>
      <c r="T1475" s="1475">
        <f t="shared" si="721"/>
        <v>0</v>
      </c>
      <c r="U1475" s="1475">
        <f t="shared" si="721"/>
        <v>0</v>
      </c>
      <c r="V1475" s="1475">
        <f t="shared" si="719"/>
        <v>0</v>
      </c>
    </row>
    <row r="1476" spans="1:22" s="39" customFormat="1" ht="24" customHeight="1">
      <c r="A1476" s="1860">
        <v>3</v>
      </c>
      <c r="B1476" s="1860">
        <v>1</v>
      </c>
      <c r="C1476" s="1860">
        <v>2</v>
      </c>
      <c r="D1476" s="1860">
        <v>3</v>
      </c>
      <c r="E1476" s="1839" t="s">
        <v>15</v>
      </c>
      <c r="F1476" s="1844" t="str">
        <f>CONCATENATE(A1476,".",B1476,".",C1476,".",D1476,)</f>
        <v>3.1.2.3</v>
      </c>
      <c r="G1476" s="1670" t="s">
        <v>214</v>
      </c>
      <c r="H1476" s="1601" t="s">
        <v>1142</v>
      </c>
      <c r="I1476" s="1764" t="s">
        <v>1159</v>
      </c>
      <c r="J1476" s="36" t="s">
        <v>79</v>
      </c>
      <c r="K1476" s="896"/>
      <c r="L1476" s="383">
        <v>0</v>
      </c>
      <c r="M1476" s="383">
        <v>0</v>
      </c>
      <c r="N1476" s="383">
        <v>0</v>
      </c>
      <c r="O1476" s="383">
        <v>0</v>
      </c>
      <c r="P1476" s="383">
        <v>0</v>
      </c>
      <c r="Q1476" s="1475">
        <f>L1476*H1481</f>
        <v>0</v>
      </c>
      <c r="R1476" s="1475">
        <f>M1476*H1481</f>
        <v>0</v>
      </c>
      <c r="S1476" s="1475">
        <f>N1476*H1481</f>
        <v>0</v>
      </c>
      <c r="T1476" s="1475">
        <f>O1476*H1481</f>
        <v>0</v>
      </c>
      <c r="U1476" s="1475">
        <f>P1476*H1481</f>
        <v>0</v>
      </c>
      <c r="V1476" s="1475">
        <f t="shared" si="719"/>
        <v>0</v>
      </c>
    </row>
    <row r="1477" spans="1:22" s="39" customFormat="1" ht="24" customHeight="1">
      <c r="A1477" s="1860">
        <v>3</v>
      </c>
      <c r="B1477" s="1860"/>
      <c r="C1477" s="1860"/>
      <c r="D1477" s="1860"/>
      <c r="E1477" s="1839"/>
      <c r="F1477" s="1844"/>
      <c r="G1477" s="1671"/>
      <c r="H1477" s="1601"/>
      <c r="I1477" s="1765"/>
      <c r="J1477" s="40" t="s">
        <v>80</v>
      </c>
      <c r="K1477" s="91"/>
      <c r="L1477" s="364">
        <f t="shared" ref="L1477:U1477" si="722">SUM(L1478:L1484)</f>
        <v>0</v>
      </c>
      <c r="M1477" s="364">
        <f t="shared" si="722"/>
        <v>0</v>
      </c>
      <c r="N1477" s="364">
        <f t="shared" si="722"/>
        <v>0</v>
      </c>
      <c r="O1477" s="364">
        <f t="shared" si="722"/>
        <v>0</v>
      </c>
      <c r="P1477" s="364">
        <f t="shared" si="722"/>
        <v>0</v>
      </c>
      <c r="Q1477" s="1475">
        <f t="shared" si="722"/>
        <v>0</v>
      </c>
      <c r="R1477" s="1475">
        <f t="shared" si="722"/>
        <v>0</v>
      </c>
      <c r="S1477" s="1475">
        <f t="shared" si="722"/>
        <v>0</v>
      </c>
      <c r="T1477" s="1475">
        <f t="shared" si="722"/>
        <v>0</v>
      </c>
      <c r="U1477" s="1475">
        <f t="shared" si="722"/>
        <v>0</v>
      </c>
      <c r="V1477" s="1475">
        <f t="shared" si="719"/>
        <v>0</v>
      </c>
    </row>
    <row r="1478" spans="1:22" s="39" customFormat="1" ht="24" customHeight="1">
      <c r="A1478" s="1860">
        <v>3</v>
      </c>
      <c r="B1478" s="1860"/>
      <c r="C1478" s="1860"/>
      <c r="D1478" s="1860"/>
      <c r="E1478" s="1839"/>
      <c r="F1478" s="1844"/>
      <c r="G1478" s="1671"/>
      <c r="H1478" s="1601"/>
      <c r="I1478" s="1765"/>
      <c r="J1478" s="40" t="s">
        <v>429</v>
      </c>
      <c r="K1478" s="91"/>
      <c r="L1478" s="364">
        <v>0</v>
      </c>
      <c r="M1478" s="364">
        <v>0</v>
      </c>
      <c r="N1478" s="364">
        <v>0</v>
      </c>
      <c r="O1478" s="364">
        <v>0</v>
      </c>
      <c r="P1478" s="364">
        <v>0</v>
      </c>
      <c r="Q1478" s="1475">
        <f>L1478*$H1481</f>
        <v>0</v>
      </c>
      <c r="R1478" s="1475">
        <f>M1478*$H1481</f>
        <v>0</v>
      </c>
      <c r="S1478" s="1475">
        <f>N1478*$H1481</f>
        <v>0</v>
      </c>
      <c r="T1478" s="1475">
        <f>O1478*$H1481</f>
        <v>0</v>
      </c>
      <c r="U1478" s="1475">
        <f>P1478*$H1481</f>
        <v>0</v>
      </c>
      <c r="V1478" s="1475">
        <f t="shared" si="719"/>
        <v>0</v>
      </c>
    </row>
    <row r="1479" spans="1:22" s="39" customFormat="1" ht="24" customHeight="1">
      <c r="A1479" s="1860">
        <v>3</v>
      </c>
      <c r="B1479" s="1860"/>
      <c r="C1479" s="1860"/>
      <c r="D1479" s="1860"/>
      <c r="E1479" s="1839"/>
      <c r="F1479" s="1844"/>
      <c r="G1479" s="1671"/>
      <c r="H1479" s="1601"/>
      <c r="I1479" s="1765"/>
      <c r="J1479" s="40" t="s">
        <v>133</v>
      </c>
      <c r="K1479" s="91"/>
      <c r="L1479" s="364">
        <v>0</v>
      </c>
      <c r="M1479" s="364">
        <v>0</v>
      </c>
      <c r="N1479" s="364">
        <v>0</v>
      </c>
      <c r="O1479" s="364">
        <v>0</v>
      </c>
      <c r="P1479" s="364">
        <v>0</v>
      </c>
      <c r="Q1479" s="1475">
        <f>L1479*$H1481</f>
        <v>0</v>
      </c>
      <c r="R1479" s="1475">
        <f>M1479*$H1481</f>
        <v>0</v>
      </c>
      <c r="S1479" s="1475">
        <f>N1479*$H1481</f>
        <v>0</v>
      </c>
      <c r="T1479" s="1475">
        <f>O1479*$H1481</f>
        <v>0</v>
      </c>
      <c r="U1479" s="1475">
        <f>P1479*$H1481</f>
        <v>0</v>
      </c>
      <c r="V1479" s="1475">
        <f t="shared" si="719"/>
        <v>0</v>
      </c>
    </row>
    <row r="1480" spans="1:22" s="39" customFormat="1" ht="24" customHeight="1">
      <c r="A1480" s="1860">
        <v>3</v>
      </c>
      <c r="B1480" s="1860"/>
      <c r="C1480" s="1860"/>
      <c r="D1480" s="1860"/>
      <c r="E1480" s="1839"/>
      <c r="F1480" s="1844"/>
      <c r="G1480" s="1671"/>
      <c r="H1480" s="1601"/>
      <c r="I1480" s="1765"/>
      <c r="J1480" s="40" t="s">
        <v>81</v>
      </c>
      <c r="K1480" s="91"/>
      <c r="L1480" s="364">
        <v>0</v>
      </c>
      <c r="M1480" s="364">
        <v>0</v>
      </c>
      <c r="N1480" s="364">
        <v>0</v>
      </c>
      <c r="O1480" s="364">
        <v>0</v>
      </c>
      <c r="P1480" s="364">
        <v>0</v>
      </c>
      <c r="Q1480" s="1475">
        <f>L1480*$H1481</f>
        <v>0</v>
      </c>
      <c r="R1480" s="1475">
        <f>M1480*$H1481</f>
        <v>0</v>
      </c>
      <c r="S1480" s="1475">
        <f>N1480*$H1481</f>
        <v>0</v>
      </c>
      <c r="T1480" s="1475">
        <f>O1480*$H1481</f>
        <v>0</v>
      </c>
      <c r="U1480" s="1475">
        <f>P1480*$H1481</f>
        <v>0</v>
      </c>
      <c r="V1480" s="1475">
        <f t="shared" si="719"/>
        <v>0</v>
      </c>
    </row>
    <row r="1481" spans="1:22" s="39" customFormat="1" ht="24" customHeight="1">
      <c r="A1481" s="1860">
        <v>3</v>
      </c>
      <c r="B1481" s="1860"/>
      <c r="C1481" s="1860"/>
      <c r="D1481" s="1860"/>
      <c r="E1481" s="1839"/>
      <c r="F1481" s="1844"/>
      <c r="G1481" s="1671"/>
      <c r="H1481" s="1595">
        <v>0</v>
      </c>
      <c r="I1481" s="1765"/>
      <c r="J1481" s="40" t="s">
        <v>134</v>
      </c>
      <c r="K1481" s="91"/>
      <c r="L1481" s="364">
        <v>0</v>
      </c>
      <c r="M1481" s="364">
        <v>0</v>
      </c>
      <c r="N1481" s="364">
        <v>0</v>
      </c>
      <c r="O1481" s="364">
        <v>0</v>
      </c>
      <c r="P1481" s="364">
        <v>0</v>
      </c>
      <c r="Q1481" s="1475">
        <f>L1481*$H1481</f>
        <v>0</v>
      </c>
      <c r="R1481" s="1475">
        <f>M1481*$H1481</f>
        <v>0</v>
      </c>
      <c r="S1481" s="1475">
        <f>N1481*$H1481</f>
        <v>0</v>
      </c>
      <c r="T1481" s="1475">
        <f>O1481*$H1481</f>
        <v>0</v>
      </c>
      <c r="U1481" s="1475">
        <f>P1481*$H1481</f>
        <v>0</v>
      </c>
      <c r="V1481" s="1475">
        <f t="shared" si="719"/>
        <v>0</v>
      </c>
    </row>
    <row r="1482" spans="1:22" s="39" customFormat="1" ht="24" customHeight="1">
      <c r="A1482" s="1860">
        <v>3</v>
      </c>
      <c r="B1482" s="1860"/>
      <c r="C1482" s="1860"/>
      <c r="D1482" s="1860"/>
      <c r="E1482" s="1839"/>
      <c r="F1482" s="1844"/>
      <c r="G1482" s="1671"/>
      <c r="H1482" s="1596">
        <f>810*0.05</f>
        <v>40.5</v>
      </c>
      <c r="I1482" s="1765"/>
      <c r="J1482" s="40" t="s">
        <v>82</v>
      </c>
      <c r="K1482" s="91"/>
      <c r="L1482" s="364">
        <v>0</v>
      </c>
      <c r="M1482" s="364">
        <v>0</v>
      </c>
      <c r="N1482" s="364">
        <v>0</v>
      </c>
      <c r="O1482" s="364">
        <v>0</v>
      </c>
      <c r="P1482" s="364">
        <v>0</v>
      </c>
      <c r="Q1482" s="1475">
        <f>L1482*$H1481</f>
        <v>0</v>
      </c>
      <c r="R1482" s="1475">
        <f>M1482*$H1481</f>
        <v>0</v>
      </c>
      <c r="S1482" s="1475">
        <f>N1482*$H1481</f>
        <v>0</v>
      </c>
      <c r="T1482" s="1475">
        <f>O1482*$H1481</f>
        <v>0</v>
      </c>
      <c r="U1482" s="1475">
        <f>P1482*$H1481</f>
        <v>0</v>
      </c>
      <c r="V1482" s="1475">
        <f t="shared" si="719"/>
        <v>0</v>
      </c>
    </row>
    <row r="1483" spans="1:22" s="39" customFormat="1" ht="24" customHeight="1">
      <c r="A1483" s="1860">
        <v>3</v>
      </c>
      <c r="B1483" s="1860"/>
      <c r="C1483" s="1860"/>
      <c r="D1483" s="1860"/>
      <c r="E1483" s="1839"/>
      <c r="F1483" s="1844"/>
      <c r="G1483" s="1671"/>
      <c r="H1483" s="1596"/>
      <c r="I1483" s="1765"/>
      <c r="J1483" s="40" t="s">
        <v>90</v>
      </c>
      <c r="K1483" s="91"/>
      <c r="L1483" s="364">
        <v>0</v>
      </c>
      <c r="M1483" s="364">
        <v>0</v>
      </c>
      <c r="N1483" s="364">
        <v>0</v>
      </c>
      <c r="O1483" s="364">
        <v>0</v>
      </c>
      <c r="P1483" s="364">
        <v>0</v>
      </c>
      <c r="Q1483" s="1475">
        <f>L1483*$H1481</f>
        <v>0</v>
      </c>
      <c r="R1483" s="1475">
        <f>M1483*$H1481</f>
        <v>0</v>
      </c>
      <c r="S1483" s="1475">
        <f>N1483*$H1481</f>
        <v>0</v>
      </c>
      <c r="T1483" s="1475">
        <f>O1483*$H1481</f>
        <v>0</v>
      </c>
      <c r="U1483" s="1475">
        <f>P1483*$H1481</f>
        <v>0</v>
      </c>
      <c r="V1483" s="1475">
        <f t="shared" si="719"/>
        <v>0</v>
      </c>
    </row>
    <row r="1484" spans="1:22" s="39" customFormat="1" ht="24" customHeight="1">
      <c r="A1484" s="1860">
        <v>3</v>
      </c>
      <c r="B1484" s="1860"/>
      <c r="C1484" s="1860"/>
      <c r="D1484" s="1860"/>
      <c r="E1484" s="1839"/>
      <c r="F1484" s="1844"/>
      <c r="G1484" s="1671"/>
      <c r="H1484" s="1596"/>
      <c r="I1484" s="1765"/>
      <c r="J1484" s="40" t="s">
        <v>83</v>
      </c>
      <c r="K1484" s="91"/>
      <c r="L1484" s="364">
        <v>0</v>
      </c>
      <c r="M1484" s="364">
        <v>0</v>
      </c>
      <c r="N1484" s="364">
        <v>0</v>
      </c>
      <c r="O1484" s="364">
        <v>0</v>
      </c>
      <c r="P1484" s="364">
        <v>0</v>
      </c>
      <c r="Q1484" s="1475">
        <f>L1484*$H1481</f>
        <v>0</v>
      </c>
      <c r="R1484" s="1475">
        <f>M1484*$H1481</f>
        <v>0</v>
      </c>
      <c r="S1484" s="1475">
        <f>N1484*$H1481</f>
        <v>0</v>
      </c>
      <c r="T1484" s="1475">
        <f>O1484*$H1481</f>
        <v>0</v>
      </c>
      <c r="U1484" s="1475">
        <f>P1484*$H1481</f>
        <v>0</v>
      </c>
      <c r="V1484" s="1475">
        <f t="shared" si="719"/>
        <v>0</v>
      </c>
    </row>
    <row r="1485" spans="1:22" s="39" customFormat="1" ht="24" customHeight="1">
      <c r="A1485" s="1860">
        <v>3</v>
      </c>
      <c r="B1485" s="1860"/>
      <c r="C1485" s="1860"/>
      <c r="D1485" s="1860"/>
      <c r="E1485" s="1839"/>
      <c r="F1485" s="1844"/>
      <c r="G1485" s="1672"/>
      <c r="H1485" s="1618"/>
      <c r="I1485" s="1788"/>
      <c r="J1485" s="40" t="s">
        <v>84</v>
      </c>
      <c r="K1485" s="91"/>
      <c r="L1485" s="364">
        <f>L1476-L1477</f>
        <v>0</v>
      </c>
      <c r="M1485" s="364">
        <f t="shared" ref="M1485:U1485" si="723">M1476-M1477</f>
        <v>0</v>
      </c>
      <c r="N1485" s="364">
        <f t="shared" si="723"/>
        <v>0</v>
      </c>
      <c r="O1485" s="364">
        <f t="shared" si="723"/>
        <v>0</v>
      </c>
      <c r="P1485" s="364">
        <f t="shared" si="723"/>
        <v>0</v>
      </c>
      <c r="Q1485" s="1475">
        <f t="shared" si="723"/>
        <v>0</v>
      </c>
      <c r="R1485" s="1475">
        <f t="shared" si="723"/>
        <v>0</v>
      </c>
      <c r="S1485" s="1475">
        <f t="shared" si="723"/>
        <v>0</v>
      </c>
      <c r="T1485" s="1475">
        <f t="shared" si="723"/>
        <v>0</v>
      </c>
      <c r="U1485" s="1475">
        <f t="shared" si="723"/>
        <v>0</v>
      </c>
      <c r="V1485" s="1475">
        <f t="shared" si="719"/>
        <v>0</v>
      </c>
    </row>
    <row r="1486" spans="1:22" s="69" customFormat="1" ht="24" customHeight="1">
      <c r="A1486" s="75">
        <v>3</v>
      </c>
      <c r="B1486" s="75">
        <v>2</v>
      </c>
      <c r="C1486" s="75"/>
      <c r="D1486" s="75"/>
      <c r="E1486" s="74" t="s">
        <v>12</v>
      </c>
      <c r="F1486" s="915" t="str">
        <f>CONCATENATE(A1486,".",B1486)</f>
        <v>3.2</v>
      </c>
      <c r="G1486" s="1573" t="s">
        <v>229</v>
      </c>
      <c r="H1486" s="1574"/>
      <c r="I1486" s="1574"/>
      <c r="J1486" s="1575"/>
      <c r="K1486" s="915"/>
      <c r="L1486" s="916"/>
      <c r="M1486" s="916"/>
      <c r="N1486" s="916"/>
      <c r="O1486" s="916"/>
      <c r="P1486" s="916"/>
      <c r="Q1486" s="1514">
        <f ca="1">Q1487+Q1528+Q1599+Q1670+Q1821</f>
        <v>7290648.8886999991</v>
      </c>
      <c r="R1486" s="1514">
        <f ca="1">R1487+R1528+R1599+R1670+R1821</f>
        <v>2699240.676</v>
      </c>
      <c r="S1486" s="1514">
        <f ca="1">S1487+S1528+S1599+S1670+S1821</f>
        <v>3003230.3056000001</v>
      </c>
      <c r="T1486" s="1514">
        <f ca="1">T1487+T1528+T1599+T1670+T1821</f>
        <v>127465.72856000002</v>
      </c>
      <c r="U1486" s="1514">
        <f ca="1">U1487+U1528+U1599+U1670+U1821</f>
        <v>159683.85741600004</v>
      </c>
      <c r="V1486" s="1514">
        <f t="shared" ca="1" si="719"/>
        <v>13280269.456276001</v>
      </c>
    </row>
    <row r="1487" spans="1:22" s="39" customFormat="1" ht="24" customHeight="1" thickBot="1">
      <c r="A1487" s="75">
        <v>3</v>
      </c>
      <c r="B1487" s="75">
        <v>2</v>
      </c>
      <c r="C1487" s="75">
        <v>1</v>
      </c>
      <c r="D1487" s="75"/>
      <c r="E1487" s="74" t="s">
        <v>13</v>
      </c>
      <c r="F1487" s="71" t="str">
        <f>CONCATENATE(A1487,".",B1487,".",C1487,)</f>
        <v>3.2.1</v>
      </c>
      <c r="G1487" s="1605" t="s">
        <v>59</v>
      </c>
      <c r="H1487" s="1606"/>
      <c r="I1487" s="1606"/>
      <c r="J1487" s="1607"/>
      <c r="K1487" s="66"/>
      <c r="L1487" s="382"/>
      <c r="M1487" s="382"/>
      <c r="N1487" s="382"/>
      <c r="O1487" s="382"/>
      <c r="P1487" s="382"/>
      <c r="Q1487" s="1521">
        <f>Q1499+Q1519+Q1489+Q1509</f>
        <v>4271983.0866999999</v>
      </c>
      <c r="R1487" s="1521">
        <f t="shared" ref="R1487:U1487" si="724">R1499+R1519+R1489+R1509</f>
        <v>827566.6</v>
      </c>
      <c r="S1487" s="1521">
        <f t="shared" si="724"/>
        <v>827566.6</v>
      </c>
      <c r="T1487" s="1521">
        <f t="shared" si="724"/>
        <v>0</v>
      </c>
      <c r="U1487" s="1521">
        <f t="shared" si="724"/>
        <v>0</v>
      </c>
      <c r="V1487" s="1521">
        <f t="shared" si="719"/>
        <v>5927116.2866999991</v>
      </c>
    </row>
    <row r="1488" spans="1:22" s="39" customFormat="1" ht="24" customHeight="1">
      <c r="A1488" s="1860">
        <v>3</v>
      </c>
      <c r="B1488" s="1860">
        <v>2</v>
      </c>
      <c r="C1488" s="1860">
        <v>1</v>
      </c>
      <c r="D1488" s="1860">
        <v>1</v>
      </c>
      <c r="E1488" s="1839" t="s">
        <v>15</v>
      </c>
      <c r="F1488" s="1841" t="str">
        <f>CONCATENATE(A1488,".",B1488,".",C1488,".",D1488,)</f>
        <v>3.2.1.1</v>
      </c>
      <c r="G1488" s="1775" t="s">
        <v>1143</v>
      </c>
      <c r="H1488" s="1822" t="s">
        <v>144</v>
      </c>
      <c r="I1488" s="1823" t="s">
        <v>775</v>
      </c>
      <c r="J1488" s="36" t="s">
        <v>79</v>
      </c>
      <c r="K1488" s="896"/>
      <c r="L1488" s="383">
        <v>1</v>
      </c>
      <c r="M1488" s="383">
        <v>0</v>
      </c>
      <c r="N1488" s="383">
        <v>0</v>
      </c>
      <c r="O1488" s="383">
        <v>0</v>
      </c>
      <c r="P1488" s="383">
        <v>0</v>
      </c>
      <c r="Q1488" s="1475">
        <f>L1488*H1493</f>
        <v>3495240</v>
      </c>
      <c r="R1488" s="1475">
        <f t="shared" ref="R1488:U1488" si="725">M1488*$H$1493</f>
        <v>0</v>
      </c>
      <c r="S1488" s="1475">
        <f t="shared" si="725"/>
        <v>0</v>
      </c>
      <c r="T1488" s="1475">
        <f t="shared" si="725"/>
        <v>0</v>
      </c>
      <c r="U1488" s="1475">
        <f t="shared" si="725"/>
        <v>0</v>
      </c>
      <c r="V1488" s="1475">
        <f t="shared" ref="V1488:V1497" si="726">SUM(Q1488:U1488)</f>
        <v>3495240</v>
      </c>
    </row>
    <row r="1489" spans="1:22" s="39" customFormat="1" ht="24" customHeight="1">
      <c r="A1489" s="1860">
        <v>3</v>
      </c>
      <c r="B1489" s="1860"/>
      <c r="C1489" s="1860"/>
      <c r="D1489" s="1860"/>
      <c r="E1489" s="1839"/>
      <c r="F1489" s="1841"/>
      <c r="G1489" s="1776"/>
      <c r="H1489" s="1822"/>
      <c r="I1489" s="1824"/>
      <c r="J1489" s="40" t="s">
        <v>80</v>
      </c>
      <c r="K1489" s="91"/>
      <c r="L1489" s="364">
        <f t="shared" ref="L1489:U1489" si="727">SUM(L1490:L1496)</f>
        <v>1</v>
      </c>
      <c r="M1489" s="364">
        <f t="shared" si="727"/>
        <v>0</v>
      </c>
      <c r="N1489" s="364">
        <f t="shared" si="727"/>
        <v>0</v>
      </c>
      <c r="O1489" s="364">
        <f t="shared" si="727"/>
        <v>0</v>
      </c>
      <c r="P1489" s="364">
        <f t="shared" si="727"/>
        <v>0</v>
      </c>
      <c r="Q1489" s="1475">
        <f t="shared" si="727"/>
        <v>3495240</v>
      </c>
      <c r="R1489" s="1475">
        <f t="shared" si="727"/>
        <v>0</v>
      </c>
      <c r="S1489" s="1475">
        <f t="shared" si="727"/>
        <v>0</v>
      </c>
      <c r="T1489" s="1475">
        <f t="shared" si="727"/>
        <v>0</v>
      </c>
      <c r="U1489" s="1475">
        <f t="shared" si="727"/>
        <v>0</v>
      </c>
      <c r="V1489" s="1475">
        <f t="shared" si="726"/>
        <v>3495240</v>
      </c>
    </row>
    <row r="1490" spans="1:22" s="39" customFormat="1" ht="24" customHeight="1">
      <c r="A1490" s="1860">
        <v>3</v>
      </c>
      <c r="B1490" s="1860"/>
      <c r="C1490" s="1860"/>
      <c r="D1490" s="1860"/>
      <c r="E1490" s="1839"/>
      <c r="F1490" s="1841"/>
      <c r="G1490" s="1776"/>
      <c r="H1490" s="1822"/>
      <c r="I1490" s="1824"/>
      <c r="J1490" s="40" t="s">
        <v>429</v>
      </c>
      <c r="K1490" s="91"/>
      <c r="L1490" s="364">
        <v>0</v>
      </c>
      <c r="M1490" s="364">
        <v>0</v>
      </c>
      <c r="N1490" s="364">
        <v>0</v>
      </c>
      <c r="O1490" s="364">
        <v>0</v>
      </c>
      <c r="P1490" s="364">
        <v>0</v>
      </c>
      <c r="Q1490" s="1475">
        <f>L1490*$H1493</f>
        <v>0</v>
      </c>
      <c r="R1490" s="1475">
        <f>M1490*$H1493</f>
        <v>0</v>
      </c>
      <c r="S1490" s="1475">
        <f>N1490*$H1493</f>
        <v>0</v>
      </c>
      <c r="T1490" s="1475">
        <f>O1490*$H1493</f>
        <v>0</v>
      </c>
      <c r="U1490" s="1475">
        <f>P1490*$H1493</f>
        <v>0</v>
      </c>
      <c r="V1490" s="1475">
        <f t="shared" si="726"/>
        <v>0</v>
      </c>
    </row>
    <row r="1491" spans="1:22" s="39" customFormat="1" ht="24" customHeight="1">
      <c r="A1491" s="1860">
        <v>3</v>
      </c>
      <c r="B1491" s="1860"/>
      <c r="C1491" s="1860"/>
      <c r="D1491" s="1860"/>
      <c r="E1491" s="1839"/>
      <c r="F1491" s="1841"/>
      <c r="G1491" s="1776"/>
      <c r="H1491" s="1822"/>
      <c r="I1491" s="1824"/>
      <c r="J1491" s="40" t="s">
        <v>133</v>
      </c>
      <c r="K1491" s="91"/>
      <c r="L1491" s="364">
        <v>0</v>
      </c>
      <c r="M1491" s="364">
        <v>0</v>
      </c>
      <c r="N1491" s="364">
        <v>0</v>
      </c>
      <c r="O1491" s="364">
        <v>0</v>
      </c>
      <c r="P1491" s="364">
        <v>0</v>
      </c>
      <c r="Q1491" s="1475">
        <f>L1491*$H1493</f>
        <v>0</v>
      </c>
      <c r="R1491" s="1475">
        <f>M1491*$H1493</f>
        <v>0</v>
      </c>
      <c r="S1491" s="1475">
        <f>N1491*$H1493</f>
        <v>0</v>
      </c>
      <c r="T1491" s="1475">
        <f>O1491*$H1493</f>
        <v>0</v>
      </c>
      <c r="U1491" s="1475">
        <f>P1491*$H1493</f>
        <v>0</v>
      </c>
      <c r="V1491" s="1475">
        <f t="shared" si="726"/>
        <v>0</v>
      </c>
    </row>
    <row r="1492" spans="1:22" s="39" customFormat="1" ht="24" customHeight="1">
      <c r="A1492" s="1860">
        <v>3</v>
      </c>
      <c r="B1492" s="1860"/>
      <c r="C1492" s="1860"/>
      <c r="D1492" s="1860"/>
      <c r="E1492" s="1839"/>
      <c r="F1492" s="1841"/>
      <c r="G1492" s="1776"/>
      <c r="H1492" s="1822"/>
      <c r="I1492" s="1824"/>
      <c r="J1492" s="40" t="s">
        <v>81</v>
      </c>
      <c r="K1492" s="91"/>
      <c r="L1492" s="364">
        <v>0</v>
      </c>
      <c r="M1492" s="364">
        <v>0</v>
      </c>
      <c r="N1492" s="364">
        <v>0</v>
      </c>
      <c r="O1492" s="364">
        <v>0</v>
      </c>
      <c r="P1492" s="364">
        <v>0</v>
      </c>
      <c r="Q1492" s="1475">
        <f>L1492*$H1493</f>
        <v>0</v>
      </c>
      <c r="R1492" s="1475">
        <f>M1492*$H1493</f>
        <v>0</v>
      </c>
      <c r="S1492" s="1475">
        <f>N1492*$H1493</f>
        <v>0</v>
      </c>
      <c r="T1492" s="1475">
        <f>O1492*$H1493</f>
        <v>0</v>
      </c>
      <c r="U1492" s="1475">
        <f>P1492*$H1493</f>
        <v>0</v>
      </c>
      <c r="V1492" s="1475">
        <f t="shared" si="726"/>
        <v>0</v>
      </c>
    </row>
    <row r="1493" spans="1:22" s="39" customFormat="1" ht="24" customHeight="1">
      <c r="A1493" s="1860">
        <v>3</v>
      </c>
      <c r="B1493" s="1860"/>
      <c r="C1493" s="1860"/>
      <c r="D1493" s="1860"/>
      <c r="E1493" s="1839"/>
      <c r="F1493" s="1841"/>
      <c r="G1493" s="1776"/>
      <c r="H1493" s="1756">
        <f>'Budget assumption'!E374</f>
        <v>3495240</v>
      </c>
      <c r="I1493" s="1824"/>
      <c r="J1493" s="40" t="s">
        <v>134</v>
      </c>
      <c r="K1493" s="91"/>
      <c r="L1493" s="364">
        <v>0</v>
      </c>
      <c r="M1493" s="364">
        <v>0</v>
      </c>
      <c r="N1493" s="364">
        <v>0</v>
      </c>
      <c r="O1493" s="364">
        <v>0</v>
      </c>
      <c r="P1493" s="364">
        <v>0</v>
      </c>
      <c r="Q1493" s="1475">
        <f>L1493*$H1493</f>
        <v>0</v>
      </c>
      <c r="R1493" s="1475">
        <f>M1493*$H1493</f>
        <v>0</v>
      </c>
      <c r="S1493" s="1475">
        <f>N1493*$H1493</f>
        <v>0</v>
      </c>
      <c r="T1493" s="1475">
        <f>O1493*$H1493</f>
        <v>0</v>
      </c>
      <c r="U1493" s="1475">
        <f>P1493*$H1493</f>
        <v>0</v>
      </c>
      <c r="V1493" s="1475">
        <f t="shared" si="726"/>
        <v>0</v>
      </c>
    </row>
    <row r="1494" spans="1:22" s="39" customFormat="1" ht="24" customHeight="1">
      <c r="A1494" s="1860">
        <v>3</v>
      </c>
      <c r="B1494" s="1860"/>
      <c r="C1494" s="1860"/>
      <c r="D1494" s="1860"/>
      <c r="E1494" s="1839"/>
      <c r="F1494" s="1841"/>
      <c r="G1494" s="1776"/>
      <c r="H1494" s="1757"/>
      <c r="I1494" s="1824"/>
      <c r="J1494" s="40" t="s">
        <v>82</v>
      </c>
      <c r="K1494" s="91"/>
      <c r="L1494" s="364">
        <v>1</v>
      </c>
      <c r="M1494" s="364">
        <v>0</v>
      </c>
      <c r="N1494" s="364">
        <v>0</v>
      </c>
      <c r="O1494" s="364">
        <v>0</v>
      </c>
      <c r="P1494" s="364">
        <v>0</v>
      </c>
      <c r="Q1494" s="1475">
        <f>L1494*$H1493</f>
        <v>3495240</v>
      </c>
      <c r="R1494" s="1475">
        <f>H1493*M1494</f>
        <v>0</v>
      </c>
      <c r="S1494" s="1475">
        <f>H1493*N1494</f>
        <v>0</v>
      </c>
      <c r="T1494" s="1475">
        <f>O1494*$H1493</f>
        <v>0</v>
      </c>
      <c r="U1494" s="1475">
        <f>P1494*$H1493</f>
        <v>0</v>
      </c>
      <c r="V1494" s="1475">
        <f t="shared" si="726"/>
        <v>3495240</v>
      </c>
    </row>
    <row r="1495" spans="1:22" s="39" customFormat="1" ht="24" customHeight="1">
      <c r="A1495" s="1860">
        <v>3</v>
      </c>
      <c r="B1495" s="1860"/>
      <c r="C1495" s="1860"/>
      <c r="D1495" s="1860"/>
      <c r="E1495" s="1839"/>
      <c r="F1495" s="1841"/>
      <c r="G1495" s="1776"/>
      <c r="H1495" s="1757"/>
      <c r="I1495" s="1824"/>
      <c r="J1495" s="40" t="s">
        <v>90</v>
      </c>
      <c r="K1495" s="91"/>
      <c r="L1495" s="364">
        <v>0</v>
      </c>
      <c r="M1495" s="364">
        <v>0</v>
      </c>
      <c r="N1495" s="364">
        <v>0</v>
      </c>
      <c r="O1495" s="364">
        <v>0</v>
      </c>
      <c r="P1495" s="364">
        <v>0</v>
      </c>
      <c r="Q1495" s="1475">
        <f>L1495*$H1493</f>
        <v>0</v>
      </c>
      <c r="R1495" s="1475">
        <f>M1495*$H1493</f>
        <v>0</v>
      </c>
      <c r="S1495" s="1475">
        <f>N1495*$H1493</f>
        <v>0</v>
      </c>
      <c r="T1495" s="1475">
        <f>O1495*$H1493</f>
        <v>0</v>
      </c>
      <c r="U1495" s="1475">
        <f>P1495*$H1493</f>
        <v>0</v>
      </c>
      <c r="V1495" s="1475">
        <f t="shared" si="726"/>
        <v>0</v>
      </c>
    </row>
    <row r="1496" spans="1:22" s="39" customFormat="1" ht="24" customHeight="1">
      <c r="A1496" s="1860">
        <v>3</v>
      </c>
      <c r="B1496" s="1860"/>
      <c r="C1496" s="1860"/>
      <c r="D1496" s="1860"/>
      <c r="E1496" s="1839"/>
      <c r="F1496" s="1841"/>
      <c r="G1496" s="1776"/>
      <c r="H1496" s="1757"/>
      <c r="I1496" s="1824"/>
      <c r="J1496" s="40" t="s">
        <v>83</v>
      </c>
      <c r="K1496" s="91"/>
      <c r="L1496" s="364">
        <v>0</v>
      </c>
      <c r="M1496" s="364">
        <v>0</v>
      </c>
      <c r="N1496" s="364">
        <v>0</v>
      </c>
      <c r="O1496" s="364">
        <v>0</v>
      </c>
      <c r="P1496" s="364">
        <v>0</v>
      </c>
      <c r="Q1496" s="1475">
        <f>L1496*$H1493</f>
        <v>0</v>
      </c>
      <c r="R1496" s="1475">
        <f>M1496*$H1493</f>
        <v>0</v>
      </c>
      <c r="S1496" s="1475">
        <f>N1496*$H1493</f>
        <v>0</v>
      </c>
      <c r="T1496" s="1475">
        <f>O1496*$H1493</f>
        <v>0</v>
      </c>
      <c r="U1496" s="1475">
        <f>P1496*$H1493</f>
        <v>0</v>
      </c>
      <c r="V1496" s="1475">
        <f t="shared" si="726"/>
        <v>0</v>
      </c>
    </row>
    <row r="1497" spans="1:22" s="39" customFormat="1" ht="24" customHeight="1" thickBot="1">
      <c r="A1497" s="1860">
        <v>3</v>
      </c>
      <c r="B1497" s="1860"/>
      <c r="C1497" s="1860"/>
      <c r="D1497" s="1860"/>
      <c r="E1497" s="1839"/>
      <c r="F1497" s="1841"/>
      <c r="G1497" s="1777"/>
      <c r="H1497" s="1758"/>
      <c r="I1497" s="1825"/>
      <c r="J1497" s="40" t="s">
        <v>84</v>
      </c>
      <c r="K1497" s="91"/>
      <c r="L1497" s="364">
        <f>L1488-L1489</f>
        <v>0</v>
      </c>
      <c r="M1497" s="364">
        <f t="shared" ref="M1497:U1497" si="728">M1488-M1489</f>
        <v>0</v>
      </c>
      <c r="N1497" s="364">
        <f t="shared" si="728"/>
        <v>0</v>
      </c>
      <c r="O1497" s="364">
        <f t="shared" si="728"/>
        <v>0</v>
      </c>
      <c r="P1497" s="364">
        <f t="shared" si="728"/>
        <v>0</v>
      </c>
      <c r="Q1497" s="1475">
        <f t="shared" si="728"/>
        <v>0</v>
      </c>
      <c r="R1497" s="1475">
        <f t="shared" si="728"/>
        <v>0</v>
      </c>
      <c r="S1497" s="1475">
        <f t="shared" si="728"/>
        <v>0</v>
      </c>
      <c r="T1497" s="1475">
        <f t="shared" si="728"/>
        <v>0</v>
      </c>
      <c r="U1497" s="1475">
        <f t="shared" si="728"/>
        <v>0</v>
      </c>
      <c r="V1497" s="1475">
        <f t="shared" si="726"/>
        <v>0</v>
      </c>
    </row>
    <row r="1498" spans="1:22" s="39" customFormat="1" ht="24" customHeight="1">
      <c r="A1498" s="1860">
        <v>3</v>
      </c>
      <c r="B1498" s="1860">
        <v>2</v>
      </c>
      <c r="C1498" s="1860">
        <v>1</v>
      </c>
      <c r="D1498" s="1860">
        <v>2</v>
      </c>
      <c r="E1498" s="1839" t="s">
        <v>15</v>
      </c>
      <c r="F1498" s="1841" t="str">
        <f>CONCATENATE(A1498,".",B1498,".",C1498,".",D1498,)</f>
        <v>3.2.1.2</v>
      </c>
      <c r="G1498" s="1878" t="s">
        <v>1110</v>
      </c>
      <c r="H1498" s="1817" t="s">
        <v>565</v>
      </c>
      <c r="I1498" s="1614" t="s">
        <v>661</v>
      </c>
      <c r="J1498" s="36" t="s">
        <v>79</v>
      </c>
      <c r="K1498" s="896"/>
      <c r="L1498" s="383">
        <v>1</v>
      </c>
      <c r="M1498" s="383">
        <v>0</v>
      </c>
      <c r="N1498" s="383">
        <v>0</v>
      </c>
      <c r="O1498" s="383">
        <v>0</v>
      </c>
      <c r="P1498" s="383">
        <v>0</v>
      </c>
      <c r="Q1498" s="1475">
        <f>L1498*H1503</f>
        <v>370906.88670000003</v>
      </c>
      <c r="R1498" s="1475">
        <f>M1498*H1503</f>
        <v>0</v>
      </c>
      <c r="S1498" s="1475">
        <f>N1498*H1503</f>
        <v>0</v>
      </c>
      <c r="T1498" s="1475">
        <f>O1498*H1503</f>
        <v>0</v>
      </c>
      <c r="U1498" s="1475">
        <f>P1498*H1503</f>
        <v>0</v>
      </c>
      <c r="V1498" s="1475">
        <f t="shared" si="719"/>
        <v>370906.88670000003</v>
      </c>
    </row>
    <row r="1499" spans="1:22" s="39" customFormat="1" ht="24" customHeight="1">
      <c r="A1499" s="1860">
        <v>3</v>
      </c>
      <c r="B1499" s="1860"/>
      <c r="C1499" s="1860"/>
      <c r="D1499" s="1860"/>
      <c r="E1499" s="1839"/>
      <c r="F1499" s="1841"/>
      <c r="G1499" s="1879"/>
      <c r="H1499" s="1817"/>
      <c r="I1499" s="1615"/>
      <c r="J1499" s="40" t="s">
        <v>80</v>
      </c>
      <c r="K1499" s="91"/>
      <c r="L1499" s="364">
        <f t="shared" ref="L1499:U1499" si="729">SUM(L1500:L1506)</f>
        <v>1</v>
      </c>
      <c r="M1499" s="364">
        <f t="shared" si="729"/>
        <v>0</v>
      </c>
      <c r="N1499" s="364">
        <f t="shared" si="729"/>
        <v>0</v>
      </c>
      <c r="O1499" s="364">
        <f t="shared" si="729"/>
        <v>0</v>
      </c>
      <c r="P1499" s="364">
        <f t="shared" si="729"/>
        <v>0</v>
      </c>
      <c r="Q1499" s="1475">
        <f t="shared" si="729"/>
        <v>370906.88670000003</v>
      </c>
      <c r="R1499" s="1475">
        <f t="shared" si="729"/>
        <v>0</v>
      </c>
      <c r="S1499" s="1475">
        <f t="shared" si="729"/>
        <v>0</v>
      </c>
      <c r="T1499" s="1475">
        <f t="shared" si="729"/>
        <v>0</v>
      </c>
      <c r="U1499" s="1475">
        <f t="shared" si="729"/>
        <v>0</v>
      </c>
      <c r="V1499" s="1475">
        <f t="shared" si="719"/>
        <v>370906.88670000003</v>
      </c>
    </row>
    <row r="1500" spans="1:22" s="39" customFormat="1" ht="24" customHeight="1">
      <c r="A1500" s="1860">
        <v>3</v>
      </c>
      <c r="B1500" s="1860"/>
      <c r="C1500" s="1860"/>
      <c r="D1500" s="1860"/>
      <c r="E1500" s="1839"/>
      <c r="F1500" s="1841"/>
      <c r="G1500" s="1879"/>
      <c r="H1500" s="1817"/>
      <c r="I1500" s="1615"/>
      <c r="J1500" s="40" t="s">
        <v>429</v>
      </c>
      <c r="K1500" s="91"/>
      <c r="L1500" s="364">
        <v>0</v>
      </c>
      <c r="M1500" s="364">
        <v>0</v>
      </c>
      <c r="N1500" s="364">
        <v>0</v>
      </c>
      <c r="O1500" s="364">
        <v>0</v>
      </c>
      <c r="P1500" s="364">
        <v>0</v>
      </c>
      <c r="Q1500" s="1475">
        <f>L1500*$H1503</f>
        <v>0</v>
      </c>
      <c r="R1500" s="1475">
        <f>M1500*$H1503</f>
        <v>0</v>
      </c>
      <c r="S1500" s="1475">
        <f>N1500*$H1503</f>
        <v>0</v>
      </c>
      <c r="T1500" s="1475">
        <f>O1500*$H1503</f>
        <v>0</v>
      </c>
      <c r="U1500" s="1475">
        <f>P1500*$H1503</f>
        <v>0</v>
      </c>
      <c r="V1500" s="1475">
        <f t="shared" si="719"/>
        <v>0</v>
      </c>
    </row>
    <row r="1501" spans="1:22" s="39" customFormat="1" ht="24" customHeight="1">
      <c r="A1501" s="1860">
        <v>3</v>
      </c>
      <c r="B1501" s="1860"/>
      <c r="C1501" s="1860"/>
      <c r="D1501" s="1860"/>
      <c r="E1501" s="1839"/>
      <c r="F1501" s="1841"/>
      <c r="G1501" s="1879"/>
      <c r="H1501" s="1817"/>
      <c r="I1501" s="1615"/>
      <c r="J1501" s="40" t="s">
        <v>133</v>
      </c>
      <c r="K1501" s="91"/>
      <c r="L1501" s="364">
        <v>0</v>
      </c>
      <c r="M1501" s="364">
        <v>0</v>
      </c>
      <c r="N1501" s="364">
        <v>0</v>
      </c>
      <c r="O1501" s="364">
        <v>0</v>
      </c>
      <c r="P1501" s="364">
        <v>0</v>
      </c>
      <c r="Q1501" s="1475">
        <f>L1501*$H1503</f>
        <v>0</v>
      </c>
      <c r="R1501" s="1475">
        <f>M1501*$H1503</f>
        <v>0</v>
      </c>
      <c r="S1501" s="1475">
        <f>N1501*$H1503</f>
        <v>0</v>
      </c>
      <c r="T1501" s="1475">
        <f>O1501*$H1503</f>
        <v>0</v>
      </c>
      <c r="U1501" s="1475">
        <f>P1501*$H1503</f>
        <v>0</v>
      </c>
      <c r="V1501" s="1475">
        <f t="shared" si="719"/>
        <v>0</v>
      </c>
    </row>
    <row r="1502" spans="1:22" s="39" customFormat="1" ht="24" customHeight="1">
      <c r="A1502" s="1860">
        <v>3</v>
      </c>
      <c r="B1502" s="1860"/>
      <c r="C1502" s="1860"/>
      <c r="D1502" s="1860"/>
      <c r="E1502" s="1839"/>
      <c r="F1502" s="1841"/>
      <c r="G1502" s="1879"/>
      <c r="H1502" s="1817"/>
      <c r="I1502" s="1615"/>
      <c r="J1502" s="40" t="s">
        <v>81</v>
      </c>
      <c r="K1502" s="91"/>
      <c r="L1502" s="364">
        <v>0</v>
      </c>
      <c r="M1502" s="364">
        <v>0</v>
      </c>
      <c r="N1502" s="364">
        <v>0</v>
      </c>
      <c r="O1502" s="364">
        <v>0</v>
      </c>
      <c r="P1502" s="364">
        <v>0</v>
      </c>
      <c r="Q1502" s="1475">
        <f>L1502*$H1503</f>
        <v>0</v>
      </c>
      <c r="R1502" s="1475">
        <f>M1502*$H1503</f>
        <v>0</v>
      </c>
      <c r="S1502" s="1475">
        <f>N1502*$H1503</f>
        <v>0</v>
      </c>
      <c r="T1502" s="1475">
        <f>O1502*$H1503</f>
        <v>0</v>
      </c>
      <c r="U1502" s="1475">
        <f>P1502*$H1503</f>
        <v>0</v>
      </c>
      <c r="V1502" s="1475">
        <f t="shared" si="719"/>
        <v>0</v>
      </c>
    </row>
    <row r="1503" spans="1:22" s="39" customFormat="1" ht="24" customHeight="1">
      <c r="A1503" s="1860">
        <v>3</v>
      </c>
      <c r="B1503" s="1860"/>
      <c r="C1503" s="1860"/>
      <c r="D1503" s="1860"/>
      <c r="E1503" s="1839"/>
      <c r="F1503" s="1841"/>
      <c r="G1503" s="1879"/>
      <c r="H1503" s="1595">
        <f>'Budget assumption'!F380</f>
        <v>370906.88670000003</v>
      </c>
      <c r="I1503" s="1615"/>
      <c r="J1503" s="40" t="s">
        <v>134</v>
      </c>
      <c r="K1503" s="91"/>
      <c r="L1503" s="364">
        <v>0</v>
      </c>
      <c r="M1503" s="364">
        <v>0</v>
      </c>
      <c r="N1503" s="364">
        <v>0</v>
      </c>
      <c r="O1503" s="364">
        <v>0</v>
      </c>
      <c r="P1503" s="364">
        <v>0</v>
      </c>
      <c r="Q1503" s="1475">
        <f>L1503*$H1503</f>
        <v>0</v>
      </c>
      <c r="R1503" s="1475">
        <f>M1503*$H1503</f>
        <v>0</v>
      </c>
      <c r="S1503" s="1475">
        <f>N1503*$H1503</f>
        <v>0</v>
      </c>
      <c r="T1503" s="1475">
        <f>O1503*$H1503</f>
        <v>0</v>
      </c>
      <c r="U1503" s="1475">
        <f>P1503*$H1503</f>
        <v>0</v>
      </c>
      <c r="V1503" s="1475">
        <f t="shared" si="719"/>
        <v>0</v>
      </c>
    </row>
    <row r="1504" spans="1:22" s="39" customFormat="1" ht="24" customHeight="1">
      <c r="A1504" s="1860">
        <v>3</v>
      </c>
      <c r="B1504" s="1860"/>
      <c r="C1504" s="1860"/>
      <c r="D1504" s="1860"/>
      <c r="E1504" s="1839"/>
      <c r="F1504" s="1841"/>
      <c r="G1504" s="1879"/>
      <c r="H1504" s="1596"/>
      <c r="I1504" s="1615"/>
      <c r="J1504" s="40" t="s">
        <v>82</v>
      </c>
      <c r="K1504" s="91"/>
      <c r="L1504" s="364">
        <v>1</v>
      </c>
      <c r="M1504" s="364">
        <v>0</v>
      </c>
      <c r="N1504" s="364">
        <v>0</v>
      </c>
      <c r="O1504" s="364">
        <v>0</v>
      </c>
      <c r="P1504" s="364">
        <v>0</v>
      </c>
      <c r="Q1504" s="1475">
        <f>L1504*$H1503</f>
        <v>370906.88670000003</v>
      </c>
      <c r="R1504" s="1475">
        <f>M1504*$H1503</f>
        <v>0</v>
      </c>
      <c r="S1504" s="1475">
        <f>N1504*$H1503</f>
        <v>0</v>
      </c>
      <c r="T1504" s="1475">
        <f>O1504*$H1503</f>
        <v>0</v>
      </c>
      <c r="U1504" s="1475">
        <f>P1504*$H1503</f>
        <v>0</v>
      </c>
      <c r="V1504" s="1475">
        <f t="shared" si="719"/>
        <v>370906.88670000003</v>
      </c>
    </row>
    <row r="1505" spans="1:22" s="39" customFormat="1" ht="24" customHeight="1">
      <c r="A1505" s="1860">
        <v>3</v>
      </c>
      <c r="B1505" s="1860"/>
      <c r="C1505" s="1860"/>
      <c r="D1505" s="1860"/>
      <c r="E1505" s="1839"/>
      <c r="F1505" s="1841"/>
      <c r="G1505" s="1879"/>
      <c r="H1505" s="1596"/>
      <c r="I1505" s="1615"/>
      <c r="J1505" s="40" t="s">
        <v>90</v>
      </c>
      <c r="K1505" s="91"/>
      <c r="L1505" s="364">
        <v>0</v>
      </c>
      <c r="M1505" s="364">
        <v>0</v>
      </c>
      <c r="N1505" s="364">
        <v>0</v>
      </c>
      <c r="O1505" s="364">
        <v>0</v>
      </c>
      <c r="P1505" s="364">
        <v>0</v>
      </c>
      <c r="Q1505" s="1475">
        <f>L1505*$H1503</f>
        <v>0</v>
      </c>
      <c r="R1505" s="1475">
        <f>M1505*$H1503</f>
        <v>0</v>
      </c>
      <c r="S1505" s="1475">
        <f>N1505*$H1503</f>
        <v>0</v>
      </c>
      <c r="T1505" s="1475">
        <f>O1505*$H1503</f>
        <v>0</v>
      </c>
      <c r="U1505" s="1475">
        <f>P1505*$H1503</f>
        <v>0</v>
      </c>
      <c r="V1505" s="1475">
        <f t="shared" si="719"/>
        <v>0</v>
      </c>
    </row>
    <row r="1506" spans="1:22" s="39" customFormat="1" ht="24" customHeight="1">
      <c r="A1506" s="1860">
        <v>3</v>
      </c>
      <c r="B1506" s="1860"/>
      <c r="C1506" s="1860"/>
      <c r="D1506" s="1860"/>
      <c r="E1506" s="1839"/>
      <c r="F1506" s="1841"/>
      <c r="G1506" s="1879"/>
      <c r="H1506" s="1596"/>
      <c r="I1506" s="1615"/>
      <c r="J1506" s="40" t="s">
        <v>83</v>
      </c>
      <c r="K1506" s="91"/>
      <c r="L1506" s="364">
        <v>0</v>
      </c>
      <c r="M1506" s="364">
        <v>0</v>
      </c>
      <c r="N1506" s="364">
        <v>0</v>
      </c>
      <c r="O1506" s="364">
        <v>0</v>
      </c>
      <c r="P1506" s="364">
        <v>0</v>
      </c>
      <c r="Q1506" s="1475">
        <f>L1506*$H1503</f>
        <v>0</v>
      </c>
      <c r="R1506" s="1475">
        <f>M1506*$H1503</f>
        <v>0</v>
      </c>
      <c r="S1506" s="1475">
        <f>N1506*$H1503</f>
        <v>0</v>
      </c>
      <c r="T1506" s="1475">
        <f>O1506*$H1503</f>
        <v>0</v>
      </c>
      <c r="U1506" s="1475">
        <f>P1506*$H1503</f>
        <v>0</v>
      </c>
      <c r="V1506" s="1475">
        <f t="shared" si="719"/>
        <v>0</v>
      </c>
    </row>
    <row r="1507" spans="1:22" s="39" customFormat="1" ht="24" customHeight="1" thickBot="1">
      <c r="A1507" s="1860">
        <v>3</v>
      </c>
      <c r="B1507" s="1860"/>
      <c r="C1507" s="1860"/>
      <c r="D1507" s="1860"/>
      <c r="E1507" s="1839"/>
      <c r="F1507" s="1841"/>
      <c r="G1507" s="1880"/>
      <c r="H1507" s="1618"/>
      <c r="I1507" s="1617"/>
      <c r="J1507" s="40" t="s">
        <v>84</v>
      </c>
      <c r="K1507" s="91"/>
      <c r="L1507" s="364">
        <f>L1498-L1499</f>
        <v>0</v>
      </c>
      <c r="M1507" s="364">
        <f t="shared" ref="M1507:U1507" si="730">M1498-M1499</f>
        <v>0</v>
      </c>
      <c r="N1507" s="364">
        <f t="shared" si="730"/>
        <v>0</v>
      </c>
      <c r="O1507" s="364">
        <f t="shared" si="730"/>
        <v>0</v>
      </c>
      <c r="P1507" s="364">
        <f t="shared" si="730"/>
        <v>0</v>
      </c>
      <c r="Q1507" s="1475">
        <f t="shared" si="730"/>
        <v>0</v>
      </c>
      <c r="R1507" s="1475">
        <f t="shared" si="730"/>
        <v>0</v>
      </c>
      <c r="S1507" s="1475">
        <f t="shared" si="730"/>
        <v>0</v>
      </c>
      <c r="T1507" s="1475">
        <f t="shared" si="730"/>
        <v>0</v>
      </c>
      <c r="U1507" s="1475">
        <f t="shared" si="730"/>
        <v>0</v>
      </c>
      <c r="V1507" s="1475">
        <f t="shared" si="719"/>
        <v>0</v>
      </c>
    </row>
    <row r="1508" spans="1:22" s="39" customFormat="1" ht="24" customHeight="1">
      <c r="A1508" s="1860">
        <v>3</v>
      </c>
      <c r="B1508" s="1860">
        <v>2</v>
      </c>
      <c r="C1508" s="1860">
        <v>1</v>
      </c>
      <c r="D1508" s="1954">
        <v>3</v>
      </c>
      <c r="E1508" s="1962" t="s">
        <v>15</v>
      </c>
      <c r="F1508" s="1989" t="str">
        <f>CONCATENATE(A1508,".",B1508,".",C1508,".",D1508,)</f>
        <v>3.2.1.3</v>
      </c>
      <c r="G1508" s="1767" t="s">
        <v>776</v>
      </c>
      <c r="H1508" s="1782" t="s">
        <v>144</v>
      </c>
      <c r="I1508" s="1823" t="s">
        <v>1050</v>
      </c>
      <c r="J1508" s="36" t="s">
        <v>79</v>
      </c>
      <c r="K1508" s="896"/>
      <c r="L1508" s="1462">
        <v>0.55000000000000004</v>
      </c>
      <c r="M1508" s="1462">
        <v>1</v>
      </c>
      <c r="N1508" s="1462">
        <v>1</v>
      </c>
      <c r="O1508" s="1462">
        <v>1</v>
      </c>
      <c r="P1508" s="1462">
        <v>1</v>
      </c>
      <c r="Q1508" s="1475">
        <f>L1508*H1513</f>
        <v>405836.2</v>
      </c>
      <c r="R1508" s="1475">
        <f>M1508*H1513</f>
        <v>737884</v>
      </c>
      <c r="S1508" s="1475">
        <f>N1508*H1513</f>
        <v>737884</v>
      </c>
      <c r="T1508" s="1475">
        <f>O1508*H1513</f>
        <v>737884</v>
      </c>
      <c r="U1508" s="1475">
        <f>P1508*H1513</f>
        <v>737884</v>
      </c>
      <c r="V1508" s="1475">
        <f t="shared" ref="V1508:V1517" si="731">SUM(Q1508:U1508)</f>
        <v>3357372.2</v>
      </c>
    </row>
    <row r="1509" spans="1:22" s="39" customFormat="1" ht="24" customHeight="1">
      <c r="A1509" s="1860">
        <v>3</v>
      </c>
      <c r="B1509" s="1860"/>
      <c r="C1509" s="1860"/>
      <c r="D1509" s="1954"/>
      <c r="E1509" s="1962"/>
      <c r="F1509" s="1962"/>
      <c r="G1509" s="1768"/>
      <c r="H1509" s="1783"/>
      <c r="I1509" s="1824"/>
      <c r="J1509" s="40" t="s">
        <v>80</v>
      </c>
      <c r="K1509" s="91"/>
      <c r="L1509" s="820">
        <f t="shared" ref="L1509:U1509" si="732">SUM(L1510:L1516)</f>
        <v>0.55000000000000004</v>
      </c>
      <c r="M1509" s="820">
        <f t="shared" si="732"/>
        <v>1</v>
      </c>
      <c r="N1509" s="820">
        <f t="shared" si="732"/>
        <v>1</v>
      </c>
      <c r="O1509" s="820">
        <f t="shared" si="732"/>
        <v>0</v>
      </c>
      <c r="P1509" s="820">
        <f t="shared" si="732"/>
        <v>0</v>
      </c>
      <c r="Q1509" s="1475">
        <f t="shared" si="732"/>
        <v>405836.2</v>
      </c>
      <c r="R1509" s="1475">
        <f t="shared" si="732"/>
        <v>737884</v>
      </c>
      <c r="S1509" s="1475">
        <f t="shared" si="732"/>
        <v>737884</v>
      </c>
      <c r="T1509" s="1475">
        <f t="shared" si="732"/>
        <v>0</v>
      </c>
      <c r="U1509" s="1475">
        <f t="shared" si="732"/>
        <v>0</v>
      </c>
      <c r="V1509" s="1475">
        <f t="shared" si="731"/>
        <v>1881604.2</v>
      </c>
    </row>
    <row r="1510" spans="1:22" s="39" customFormat="1" ht="24" customHeight="1">
      <c r="A1510" s="1860">
        <v>3</v>
      </c>
      <c r="B1510" s="1860"/>
      <c r="C1510" s="1860"/>
      <c r="D1510" s="1954"/>
      <c r="E1510" s="1962"/>
      <c r="F1510" s="1962"/>
      <c r="G1510" s="1768"/>
      <c r="H1510" s="1783"/>
      <c r="I1510" s="1824"/>
      <c r="J1510" s="40" t="s">
        <v>429</v>
      </c>
      <c r="K1510" s="91"/>
      <c r="L1510" s="364">
        <v>0</v>
      </c>
      <c r="M1510" s="364">
        <v>0</v>
      </c>
      <c r="N1510" s="364">
        <v>0</v>
      </c>
      <c r="O1510" s="364">
        <v>0</v>
      </c>
      <c r="P1510" s="364">
        <v>0</v>
      </c>
      <c r="Q1510" s="1475">
        <f>L1510*$H1513</f>
        <v>0</v>
      </c>
      <c r="R1510" s="1475">
        <f>M1510*$H1513</f>
        <v>0</v>
      </c>
      <c r="S1510" s="1475">
        <f>N1510*$H1513</f>
        <v>0</v>
      </c>
      <c r="T1510" s="1475">
        <f>O1510*$H1513</f>
        <v>0</v>
      </c>
      <c r="U1510" s="1475">
        <f>P1510*$H1513</f>
        <v>0</v>
      </c>
      <c r="V1510" s="1475">
        <f t="shared" si="731"/>
        <v>0</v>
      </c>
    </row>
    <row r="1511" spans="1:22" s="39" customFormat="1" ht="24" customHeight="1">
      <c r="A1511" s="1860">
        <v>3</v>
      </c>
      <c r="B1511" s="1860"/>
      <c r="C1511" s="1860"/>
      <c r="D1511" s="1954"/>
      <c r="E1511" s="1962"/>
      <c r="F1511" s="1962"/>
      <c r="G1511" s="1768"/>
      <c r="H1511" s="1783"/>
      <c r="I1511" s="1824"/>
      <c r="J1511" s="40" t="s">
        <v>133</v>
      </c>
      <c r="K1511" s="91"/>
      <c r="L1511" s="364">
        <v>0</v>
      </c>
      <c r="M1511" s="364">
        <v>0</v>
      </c>
      <c r="N1511" s="364">
        <v>0</v>
      </c>
      <c r="O1511" s="364">
        <v>0</v>
      </c>
      <c r="P1511" s="364">
        <v>0</v>
      </c>
      <c r="Q1511" s="1475">
        <f>L1511*$H1513</f>
        <v>0</v>
      </c>
      <c r="R1511" s="1475">
        <f>M1511*$H1513</f>
        <v>0</v>
      </c>
      <c r="S1511" s="1475">
        <f>N1511*$H1513</f>
        <v>0</v>
      </c>
      <c r="T1511" s="1475">
        <f>O1511*$H1513</f>
        <v>0</v>
      </c>
      <c r="U1511" s="1475">
        <f>P1511*$H1513</f>
        <v>0</v>
      </c>
      <c r="V1511" s="1475">
        <f t="shared" si="731"/>
        <v>0</v>
      </c>
    </row>
    <row r="1512" spans="1:22" s="39" customFormat="1" ht="24" customHeight="1">
      <c r="A1512" s="1860">
        <v>3</v>
      </c>
      <c r="B1512" s="1860"/>
      <c r="C1512" s="1860"/>
      <c r="D1512" s="1954"/>
      <c r="E1512" s="1962"/>
      <c r="F1512" s="1962"/>
      <c r="G1512" s="1768"/>
      <c r="H1512" s="1784"/>
      <c r="I1512" s="1824"/>
      <c r="J1512" s="40" t="s">
        <v>81</v>
      </c>
      <c r="K1512" s="91"/>
      <c r="L1512" s="364">
        <v>0</v>
      </c>
      <c r="M1512" s="364">
        <v>0</v>
      </c>
      <c r="N1512" s="364">
        <v>0</v>
      </c>
      <c r="O1512" s="364">
        <v>0</v>
      </c>
      <c r="P1512" s="364">
        <v>0</v>
      </c>
      <c r="Q1512" s="1475">
        <f>L1512*$H1513</f>
        <v>0</v>
      </c>
      <c r="R1512" s="1475">
        <f>M1512*$H1513</f>
        <v>0</v>
      </c>
      <c r="S1512" s="1475">
        <f>N1512*$H1513</f>
        <v>0</v>
      </c>
      <c r="T1512" s="1475">
        <f>O1512*$H1513</f>
        <v>0</v>
      </c>
      <c r="U1512" s="1475">
        <f>P1512*$H1513</f>
        <v>0</v>
      </c>
      <c r="V1512" s="1475">
        <f t="shared" si="731"/>
        <v>0</v>
      </c>
    </row>
    <row r="1513" spans="1:22" s="39" customFormat="1" ht="24" customHeight="1">
      <c r="A1513" s="1860">
        <v>3</v>
      </c>
      <c r="B1513" s="1860"/>
      <c r="C1513" s="1860"/>
      <c r="D1513" s="1954"/>
      <c r="E1513" s="1962"/>
      <c r="F1513" s="1962"/>
      <c r="G1513" s="1768"/>
      <c r="H1513" s="1756">
        <f>'Budget assumption'!E373+'Budget assumption'!E372</f>
        <v>737884</v>
      </c>
      <c r="I1513" s="1824"/>
      <c r="J1513" s="40" t="s">
        <v>134</v>
      </c>
      <c r="K1513" s="91"/>
      <c r="L1513" s="364">
        <v>0</v>
      </c>
      <c r="M1513" s="364">
        <v>0</v>
      </c>
      <c r="N1513" s="364">
        <v>0</v>
      </c>
      <c r="O1513" s="364">
        <v>0</v>
      </c>
      <c r="P1513" s="364">
        <v>0</v>
      </c>
      <c r="Q1513" s="1475">
        <f>L1513*$H1513</f>
        <v>0</v>
      </c>
      <c r="R1513" s="1475">
        <f>M1513*$H1513</f>
        <v>0</v>
      </c>
      <c r="S1513" s="1475">
        <f>N1513*$H1513</f>
        <v>0</v>
      </c>
      <c r="T1513" s="1475">
        <f>O1513*$H1513</f>
        <v>0</v>
      </c>
      <c r="U1513" s="1475">
        <f>P1513*$H1513</f>
        <v>0</v>
      </c>
      <c r="V1513" s="1475">
        <f t="shared" si="731"/>
        <v>0</v>
      </c>
    </row>
    <row r="1514" spans="1:22" s="39" customFormat="1" ht="24" customHeight="1">
      <c r="A1514" s="1860">
        <v>3</v>
      </c>
      <c r="B1514" s="1860"/>
      <c r="C1514" s="1860"/>
      <c r="D1514" s="1954"/>
      <c r="E1514" s="1962"/>
      <c r="F1514" s="1962"/>
      <c r="G1514" s="1768"/>
      <c r="H1514" s="1757"/>
      <c r="I1514" s="1824"/>
      <c r="J1514" s="40" t="s">
        <v>82</v>
      </c>
      <c r="K1514" s="91"/>
      <c r="L1514" s="820">
        <v>0.55000000000000004</v>
      </c>
      <c r="M1514" s="820">
        <v>1</v>
      </c>
      <c r="N1514" s="820">
        <v>1</v>
      </c>
      <c r="O1514" s="820">
        <v>0</v>
      </c>
      <c r="P1514" s="820">
        <v>0</v>
      </c>
      <c r="Q1514" s="1475">
        <f>L1514*$H1513</f>
        <v>405836.2</v>
      </c>
      <c r="R1514" s="1475">
        <f>M1514*$H1513</f>
        <v>737884</v>
      </c>
      <c r="S1514" s="1475">
        <f>N1514*$H1513</f>
        <v>737884</v>
      </c>
      <c r="T1514" s="1475">
        <f>O1514*$H1513</f>
        <v>0</v>
      </c>
      <c r="U1514" s="1475">
        <f>P1514*$H1513</f>
        <v>0</v>
      </c>
      <c r="V1514" s="1475">
        <f t="shared" si="731"/>
        <v>1881604.2</v>
      </c>
    </row>
    <row r="1515" spans="1:22" s="39" customFormat="1" ht="24" customHeight="1">
      <c r="A1515" s="1860">
        <v>3</v>
      </c>
      <c r="B1515" s="1860"/>
      <c r="C1515" s="1860"/>
      <c r="D1515" s="1954"/>
      <c r="E1515" s="1962"/>
      <c r="F1515" s="1962"/>
      <c r="G1515" s="1768"/>
      <c r="H1515" s="1757"/>
      <c r="I1515" s="1824"/>
      <c r="J1515" s="40" t="s">
        <v>90</v>
      </c>
      <c r="K1515" s="91"/>
      <c r="L1515" s="820">
        <v>0</v>
      </c>
      <c r="M1515" s="820">
        <v>0</v>
      </c>
      <c r="N1515" s="820">
        <v>0</v>
      </c>
      <c r="O1515" s="820">
        <v>0</v>
      </c>
      <c r="P1515" s="820">
        <v>0</v>
      </c>
      <c r="Q1515" s="1475">
        <f>L1515*$H1513</f>
        <v>0</v>
      </c>
      <c r="R1515" s="1475">
        <f>M1515*$H1513</f>
        <v>0</v>
      </c>
      <c r="S1515" s="1475">
        <f>N1515*$H1513</f>
        <v>0</v>
      </c>
      <c r="T1515" s="1475">
        <f>O1515*$H1513</f>
        <v>0</v>
      </c>
      <c r="U1515" s="1475">
        <f>P1515*$H1513</f>
        <v>0</v>
      </c>
      <c r="V1515" s="1475">
        <f t="shared" si="731"/>
        <v>0</v>
      </c>
    </row>
    <row r="1516" spans="1:22" s="39" customFormat="1" ht="24" customHeight="1">
      <c r="A1516" s="1860">
        <v>3</v>
      </c>
      <c r="B1516" s="1860"/>
      <c r="C1516" s="1860"/>
      <c r="D1516" s="1954"/>
      <c r="E1516" s="1962"/>
      <c r="F1516" s="1962"/>
      <c r="G1516" s="1768"/>
      <c r="H1516" s="1757"/>
      <c r="I1516" s="1824"/>
      <c r="J1516" s="40" t="s">
        <v>83</v>
      </c>
      <c r="K1516" s="91"/>
      <c r="L1516" s="820">
        <v>0</v>
      </c>
      <c r="M1516" s="820">
        <v>0</v>
      </c>
      <c r="N1516" s="820">
        <v>0</v>
      </c>
      <c r="O1516" s="820">
        <v>0</v>
      </c>
      <c r="P1516" s="820">
        <v>0</v>
      </c>
      <c r="Q1516" s="1475">
        <f>L1516*$H1513</f>
        <v>0</v>
      </c>
      <c r="R1516" s="1475">
        <f>M1516*$H1513</f>
        <v>0</v>
      </c>
      <c r="S1516" s="1475">
        <f>N1516*$H1513</f>
        <v>0</v>
      </c>
      <c r="T1516" s="1475">
        <f>O1516*$H1513</f>
        <v>0</v>
      </c>
      <c r="U1516" s="1475">
        <f>P1516*$H1513</f>
        <v>0</v>
      </c>
      <c r="V1516" s="1475">
        <f t="shared" si="731"/>
        <v>0</v>
      </c>
    </row>
    <row r="1517" spans="1:22" s="39" customFormat="1" ht="24" customHeight="1" thickBot="1">
      <c r="A1517" s="1860">
        <v>3</v>
      </c>
      <c r="B1517" s="1860"/>
      <c r="C1517" s="1860"/>
      <c r="D1517" s="1954"/>
      <c r="E1517" s="1962"/>
      <c r="F1517" s="1990"/>
      <c r="G1517" s="1769"/>
      <c r="H1517" s="1871"/>
      <c r="I1517" s="1831"/>
      <c r="J1517" s="40" t="s">
        <v>84</v>
      </c>
      <c r="K1517" s="42"/>
      <c r="L1517" s="820">
        <f>L1508-L1509</f>
        <v>0</v>
      </c>
      <c r="M1517" s="820">
        <f t="shared" ref="M1517:U1517" si="733">M1508-M1509</f>
        <v>0</v>
      </c>
      <c r="N1517" s="820">
        <f t="shared" si="733"/>
        <v>0</v>
      </c>
      <c r="O1517" s="820">
        <f t="shared" si="733"/>
        <v>1</v>
      </c>
      <c r="P1517" s="820">
        <f t="shared" si="733"/>
        <v>1</v>
      </c>
      <c r="Q1517" s="1475">
        <f t="shared" si="733"/>
        <v>0</v>
      </c>
      <c r="R1517" s="1475">
        <f t="shared" si="733"/>
        <v>0</v>
      </c>
      <c r="S1517" s="1475">
        <f t="shared" si="733"/>
        <v>0</v>
      </c>
      <c r="T1517" s="1475">
        <f t="shared" si="733"/>
        <v>737884</v>
      </c>
      <c r="U1517" s="1475">
        <f t="shared" si="733"/>
        <v>737884</v>
      </c>
      <c r="V1517" s="1475">
        <f t="shared" si="731"/>
        <v>1475768</v>
      </c>
    </row>
    <row r="1518" spans="1:22" s="39" customFormat="1" ht="24" customHeight="1">
      <c r="A1518" s="1860">
        <v>3</v>
      </c>
      <c r="B1518" s="1860">
        <v>2</v>
      </c>
      <c r="C1518" s="1860">
        <v>1</v>
      </c>
      <c r="D1518" s="1954">
        <v>4</v>
      </c>
      <c r="E1518" s="1962" t="s">
        <v>15</v>
      </c>
      <c r="F1518" s="1863" t="str">
        <f>CONCATENATE(A1518,".",B1518,".",C1518,".",D1518,)</f>
        <v>3.2.1.4</v>
      </c>
      <c r="G1518" s="1834" t="s">
        <v>665</v>
      </c>
      <c r="H1518" s="1682" t="s">
        <v>142</v>
      </c>
      <c r="I1518" s="1614" t="s">
        <v>666</v>
      </c>
      <c r="J1518" s="36" t="s">
        <v>79</v>
      </c>
      <c r="K1518" s="896"/>
      <c r="L1518" s="383">
        <v>0</v>
      </c>
      <c r="M1518" s="383">
        <v>2</v>
      </c>
      <c r="N1518" s="383">
        <v>2</v>
      </c>
      <c r="O1518" s="383">
        <v>2</v>
      </c>
      <c r="P1518" s="383">
        <v>2</v>
      </c>
      <c r="Q1518" s="1475">
        <f>L1518*H1523</f>
        <v>0</v>
      </c>
      <c r="R1518" s="1475">
        <f>M1518*H1523</f>
        <v>89682.6</v>
      </c>
      <c r="S1518" s="1475">
        <f>N1518*H1523</f>
        <v>89682.6</v>
      </c>
      <c r="T1518" s="1475">
        <f>O1518*H1523</f>
        <v>89682.6</v>
      </c>
      <c r="U1518" s="1475">
        <f>P1518*H1523</f>
        <v>89682.6</v>
      </c>
      <c r="V1518" s="1475">
        <f t="shared" si="719"/>
        <v>358730.4</v>
      </c>
    </row>
    <row r="1519" spans="1:22" s="39" customFormat="1" ht="24" customHeight="1">
      <c r="A1519" s="1860">
        <v>3</v>
      </c>
      <c r="B1519" s="1860"/>
      <c r="C1519" s="1860"/>
      <c r="D1519" s="1954"/>
      <c r="E1519" s="1962"/>
      <c r="F1519" s="1965"/>
      <c r="G1519" s="1835"/>
      <c r="H1519" s="1680"/>
      <c r="I1519" s="1615"/>
      <c r="J1519" s="40" t="s">
        <v>80</v>
      </c>
      <c r="K1519" s="91"/>
      <c r="L1519" s="364">
        <f t="shared" ref="L1519:U1519" si="734">SUM(L1520:L1526)</f>
        <v>0</v>
      </c>
      <c r="M1519" s="364">
        <f t="shared" si="734"/>
        <v>2</v>
      </c>
      <c r="N1519" s="364">
        <f t="shared" si="734"/>
        <v>2</v>
      </c>
      <c r="O1519" s="364">
        <f t="shared" si="734"/>
        <v>0</v>
      </c>
      <c r="P1519" s="364">
        <f t="shared" si="734"/>
        <v>0</v>
      </c>
      <c r="Q1519" s="1475">
        <f t="shared" si="734"/>
        <v>0</v>
      </c>
      <c r="R1519" s="1475">
        <f t="shared" si="734"/>
        <v>89682.6</v>
      </c>
      <c r="S1519" s="1475">
        <f t="shared" si="734"/>
        <v>89682.6</v>
      </c>
      <c r="T1519" s="1475">
        <f t="shared" si="734"/>
        <v>0</v>
      </c>
      <c r="U1519" s="1475">
        <f t="shared" si="734"/>
        <v>0</v>
      </c>
      <c r="V1519" s="1475">
        <f t="shared" si="719"/>
        <v>179365.2</v>
      </c>
    </row>
    <row r="1520" spans="1:22" s="39" customFormat="1" ht="24" customHeight="1">
      <c r="A1520" s="1860">
        <v>3</v>
      </c>
      <c r="B1520" s="1860"/>
      <c r="C1520" s="1860"/>
      <c r="D1520" s="1954"/>
      <c r="E1520" s="1962"/>
      <c r="F1520" s="1965"/>
      <c r="G1520" s="1835"/>
      <c r="H1520" s="1680"/>
      <c r="I1520" s="1615"/>
      <c r="J1520" s="40" t="s">
        <v>429</v>
      </c>
      <c r="K1520" s="91"/>
      <c r="L1520" s="364">
        <v>0</v>
      </c>
      <c r="M1520" s="364">
        <v>0</v>
      </c>
      <c r="N1520" s="364">
        <v>0</v>
      </c>
      <c r="O1520" s="364">
        <v>0</v>
      </c>
      <c r="P1520" s="364">
        <v>0</v>
      </c>
      <c r="Q1520" s="1475">
        <f>L1520*$H1523</f>
        <v>0</v>
      </c>
      <c r="R1520" s="1475">
        <f>M1520*$H1523</f>
        <v>0</v>
      </c>
      <c r="S1520" s="1475">
        <f>N1520*$H1523</f>
        <v>0</v>
      </c>
      <c r="T1520" s="1475">
        <f>O1520*$H1523</f>
        <v>0</v>
      </c>
      <c r="U1520" s="1475">
        <f>P1520*$H1523</f>
        <v>0</v>
      </c>
      <c r="V1520" s="1475">
        <f t="shared" si="719"/>
        <v>0</v>
      </c>
    </row>
    <row r="1521" spans="1:22" s="39" customFormat="1" ht="24" customHeight="1">
      <c r="A1521" s="1860">
        <v>3</v>
      </c>
      <c r="B1521" s="1860"/>
      <c r="C1521" s="1860"/>
      <c r="D1521" s="1954"/>
      <c r="E1521" s="1962"/>
      <c r="F1521" s="1965"/>
      <c r="G1521" s="1835"/>
      <c r="H1521" s="1680"/>
      <c r="I1521" s="1615"/>
      <c r="J1521" s="40" t="s">
        <v>133</v>
      </c>
      <c r="K1521" s="91"/>
      <c r="L1521" s="364">
        <v>0</v>
      </c>
      <c r="M1521" s="364">
        <v>0</v>
      </c>
      <c r="N1521" s="364">
        <v>0</v>
      </c>
      <c r="O1521" s="364">
        <v>0</v>
      </c>
      <c r="P1521" s="364">
        <v>0</v>
      </c>
      <c r="Q1521" s="1475">
        <f>L1521*$H1523</f>
        <v>0</v>
      </c>
      <c r="R1521" s="1475">
        <f>M1521*$H1523</f>
        <v>0</v>
      </c>
      <c r="S1521" s="1475">
        <f>N1521*$H1523</f>
        <v>0</v>
      </c>
      <c r="T1521" s="1475">
        <f>O1521*$H1523</f>
        <v>0</v>
      </c>
      <c r="U1521" s="1475">
        <f>P1521*$H1523</f>
        <v>0</v>
      </c>
      <c r="V1521" s="1475">
        <f t="shared" si="719"/>
        <v>0</v>
      </c>
    </row>
    <row r="1522" spans="1:22" s="39" customFormat="1" ht="24" customHeight="1">
      <c r="A1522" s="1860">
        <v>3</v>
      </c>
      <c r="B1522" s="1860"/>
      <c r="C1522" s="1860"/>
      <c r="D1522" s="1954"/>
      <c r="E1522" s="1962"/>
      <c r="F1522" s="1965"/>
      <c r="G1522" s="1835"/>
      <c r="H1522" s="1681"/>
      <c r="I1522" s="1615"/>
      <c r="J1522" s="40" t="s">
        <v>81</v>
      </c>
      <c r="K1522" s="91"/>
      <c r="L1522" s="364">
        <v>0</v>
      </c>
      <c r="M1522" s="364">
        <v>0</v>
      </c>
      <c r="N1522" s="364">
        <v>0</v>
      </c>
      <c r="O1522" s="364">
        <v>0</v>
      </c>
      <c r="P1522" s="364">
        <v>0</v>
      </c>
      <c r="Q1522" s="1475">
        <f>L1522*$H1523</f>
        <v>0</v>
      </c>
      <c r="R1522" s="1475">
        <f>M1522*$H1523</f>
        <v>0</v>
      </c>
      <c r="S1522" s="1475">
        <f>N1522*$H1523</f>
        <v>0</v>
      </c>
      <c r="T1522" s="1475">
        <f>O1522*$H1523</f>
        <v>0</v>
      </c>
      <c r="U1522" s="1475">
        <f>P1522*$H1523</f>
        <v>0</v>
      </c>
      <c r="V1522" s="1475">
        <f t="shared" si="719"/>
        <v>0</v>
      </c>
    </row>
    <row r="1523" spans="1:22" s="39" customFormat="1" ht="24" customHeight="1">
      <c r="A1523" s="1860">
        <v>3</v>
      </c>
      <c r="B1523" s="1860"/>
      <c r="C1523" s="1860"/>
      <c r="D1523" s="1954"/>
      <c r="E1523" s="1962"/>
      <c r="F1523" s="1965"/>
      <c r="G1523" s="1835"/>
      <c r="H1523" s="1595">
        <f>'Budget assumption'!H43</f>
        <v>44841.3</v>
      </c>
      <c r="I1523" s="1615"/>
      <c r="J1523" s="40" t="s">
        <v>134</v>
      </c>
      <c r="K1523" s="91"/>
      <c r="L1523" s="364">
        <v>0</v>
      </c>
      <c r="M1523" s="364">
        <v>0</v>
      </c>
      <c r="N1523" s="364">
        <v>0</v>
      </c>
      <c r="O1523" s="364">
        <v>0</v>
      </c>
      <c r="P1523" s="364">
        <v>0</v>
      </c>
      <c r="Q1523" s="1475">
        <f>L1523*$H1523</f>
        <v>0</v>
      </c>
      <c r="R1523" s="1475">
        <f>M1523*$H1523</f>
        <v>0</v>
      </c>
      <c r="S1523" s="1475">
        <f>N1523*$H1523</f>
        <v>0</v>
      </c>
      <c r="T1523" s="1475">
        <f>O1523*$H1523</f>
        <v>0</v>
      </c>
      <c r="U1523" s="1475">
        <f>P1523*$H1523</f>
        <v>0</v>
      </c>
      <c r="V1523" s="1475">
        <f t="shared" si="719"/>
        <v>0</v>
      </c>
    </row>
    <row r="1524" spans="1:22" s="39" customFormat="1" ht="24" customHeight="1">
      <c r="A1524" s="1860">
        <v>3</v>
      </c>
      <c r="B1524" s="1860"/>
      <c r="C1524" s="1860"/>
      <c r="D1524" s="1954"/>
      <c r="E1524" s="1962"/>
      <c r="F1524" s="1965"/>
      <c r="G1524" s="1835"/>
      <c r="H1524" s="1596"/>
      <c r="I1524" s="1615"/>
      <c r="J1524" s="40" t="s">
        <v>82</v>
      </c>
      <c r="K1524" s="91"/>
      <c r="L1524" s="364">
        <v>0</v>
      </c>
      <c r="M1524" s="364">
        <v>2</v>
      </c>
      <c r="N1524" s="364">
        <v>2</v>
      </c>
      <c r="O1524" s="364">
        <v>0</v>
      </c>
      <c r="P1524" s="364">
        <v>0</v>
      </c>
      <c r="Q1524" s="1475">
        <f>L1524*$H1523</f>
        <v>0</v>
      </c>
      <c r="R1524" s="1475">
        <f>M1524*$H1523</f>
        <v>89682.6</v>
      </c>
      <c r="S1524" s="1475">
        <f>N1524*$H1523</f>
        <v>89682.6</v>
      </c>
      <c r="T1524" s="1475">
        <f>O1524*$H1523</f>
        <v>0</v>
      </c>
      <c r="U1524" s="1475">
        <f>P1524*$H1523</f>
        <v>0</v>
      </c>
      <c r="V1524" s="1475">
        <f t="shared" si="719"/>
        <v>179365.2</v>
      </c>
    </row>
    <row r="1525" spans="1:22" s="39" customFormat="1" ht="24" customHeight="1">
      <c r="A1525" s="1860">
        <v>3</v>
      </c>
      <c r="B1525" s="1860"/>
      <c r="C1525" s="1860"/>
      <c r="D1525" s="1954"/>
      <c r="E1525" s="1962"/>
      <c r="F1525" s="1965"/>
      <c r="G1525" s="1835"/>
      <c r="H1525" s="1596"/>
      <c r="I1525" s="1615"/>
      <c r="J1525" s="40" t="s">
        <v>90</v>
      </c>
      <c r="K1525" s="91"/>
      <c r="L1525" s="364">
        <v>0</v>
      </c>
      <c r="M1525" s="364">
        <v>0</v>
      </c>
      <c r="N1525" s="364">
        <v>0</v>
      </c>
      <c r="O1525" s="364">
        <v>0</v>
      </c>
      <c r="P1525" s="364">
        <v>0</v>
      </c>
      <c r="Q1525" s="1475">
        <f>L1525*$H1523</f>
        <v>0</v>
      </c>
      <c r="R1525" s="1475">
        <f>M1525*$H1523</f>
        <v>0</v>
      </c>
      <c r="S1525" s="1475">
        <f>N1525*$H1523</f>
        <v>0</v>
      </c>
      <c r="T1525" s="1475">
        <f>O1525*$H1523</f>
        <v>0</v>
      </c>
      <c r="U1525" s="1475">
        <f>P1525*$H1523</f>
        <v>0</v>
      </c>
      <c r="V1525" s="1475">
        <f t="shared" si="719"/>
        <v>0</v>
      </c>
    </row>
    <row r="1526" spans="1:22" s="39" customFormat="1" ht="24" customHeight="1">
      <c r="A1526" s="1860">
        <v>3</v>
      </c>
      <c r="B1526" s="1860"/>
      <c r="C1526" s="1860"/>
      <c r="D1526" s="1954"/>
      <c r="E1526" s="1962"/>
      <c r="F1526" s="1965"/>
      <c r="G1526" s="1835"/>
      <c r="H1526" s="1596"/>
      <c r="I1526" s="1615"/>
      <c r="J1526" s="40" t="s">
        <v>83</v>
      </c>
      <c r="K1526" s="91"/>
      <c r="L1526" s="364">
        <v>0</v>
      </c>
      <c r="M1526" s="364">
        <v>0</v>
      </c>
      <c r="N1526" s="364">
        <v>0</v>
      </c>
      <c r="O1526" s="364">
        <v>0</v>
      </c>
      <c r="P1526" s="364">
        <v>0</v>
      </c>
      <c r="Q1526" s="1475">
        <f>L1526*$H1523</f>
        <v>0</v>
      </c>
      <c r="R1526" s="1475">
        <f>M1526*$H1523</f>
        <v>0</v>
      </c>
      <c r="S1526" s="1475">
        <f>N1526*$H1523</f>
        <v>0</v>
      </c>
      <c r="T1526" s="1475">
        <f>O1526*$H1523</f>
        <v>0</v>
      </c>
      <c r="U1526" s="1475">
        <f>P1526*$H1523</f>
        <v>0</v>
      </c>
      <c r="V1526" s="1475">
        <f t="shared" si="719"/>
        <v>0</v>
      </c>
    </row>
    <row r="1527" spans="1:22" s="39" customFormat="1" ht="24" customHeight="1">
      <c r="A1527" s="1860">
        <v>3</v>
      </c>
      <c r="B1527" s="1860"/>
      <c r="C1527" s="1860"/>
      <c r="D1527" s="1954"/>
      <c r="E1527" s="1962"/>
      <c r="F1527" s="1854"/>
      <c r="G1527" s="1836"/>
      <c r="H1527" s="1683"/>
      <c r="I1527" s="1829"/>
      <c r="J1527" s="40" t="s">
        <v>84</v>
      </c>
      <c r="K1527" s="42"/>
      <c r="L1527" s="364">
        <f>L1518-L1519</f>
        <v>0</v>
      </c>
      <c r="M1527" s="364">
        <f t="shared" ref="M1527:U1527" si="735">M1518-M1519</f>
        <v>0</v>
      </c>
      <c r="N1527" s="364">
        <f t="shared" si="735"/>
        <v>0</v>
      </c>
      <c r="O1527" s="364">
        <f t="shared" si="735"/>
        <v>2</v>
      </c>
      <c r="P1527" s="364">
        <f t="shared" si="735"/>
        <v>2</v>
      </c>
      <c r="Q1527" s="1475">
        <f t="shared" si="735"/>
        <v>0</v>
      </c>
      <c r="R1527" s="1475">
        <f t="shared" si="735"/>
        <v>0</v>
      </c>
      <c r="S1527" s="1475">
        <f t="shared" si="735"/>
        <v>0</v>
      </c>
      <c r="T1527" s="1475">
        <f t="shared" si="735"/>
        <v>89682.6</v>
      </c>
      <c r="U1527" s="1475">
        <f t="shared" si="735"/>
        <v>89682.6</v>
      </c>
      <c r="V1527" s="1475">
        <f t="shared" si="719"/>
        <v>179365.2</v>
      </c>
    </row>
    <row r="1528" spans="1:22" s="39" customFormat="1" ht="24" customHeight="1">
      <c r="A1528" s="75">
        <v>3</v>
      </c>
      <c r="B1528" s="75">
        <v>2</v>
      </c>
      <c r="C1528" s="75">
        <v>2</v>
      </c>
      <c r="D1528" s="75"/>
      <c r="E1528" s="74" t="s">
        <v>13</v>
      </c>
      <c r="F1528" s="71" t="str">
        <f>CONCATENATE(A1528,".",B1528,".",C1528,)</f>
        <v>3.2.2</v>
      </c>
      <c r="G1528" s="1630" t="s">
        <v>38</v>
      </c>
      <c r="H1528" s="1631"/>
      <c r="I1528" s="1631"/>
      <c r="J1528" s="1632"/>
      <c r="K1528" s="66"/>
      <c r="L1528" s="382"/>
      <c r="M1528" s="382"/>
      <c r="N1528" s="382"/>
      <c r="O1528" s="382"/>
      <c r="P1528" s="382"/>
      <c r="Q1528" s="1521">
        <f>Q1530+Q1570+Q1580+Q1590+Q1540+Q1550+Q1560</f>
        <v>866216.34000000008</v>
      </c>
      <c r="R1528" s="1521">
        <f t="shared" ref="R1528:U1528" si="736">R1530+R1570+R1580+R1590+R1540+R1550+R1560</f>
        <v>866216.34000000008</v>
      </c>
      <c r="S1528" s="1521">
        <f t="shared" si="736"/>
        <v>947836.36</v>
      </c>
      <c r="T1528" s="1521">
        <f t="shared" si="736"/>
        <v>8700</v>
      </c>
      <c r="U1528" s="1521">
        <f t="shared" si="736"/>
        <v>8700</v>
      </c>
      <c r="V1528" s="1521">
        <f t="shared" si="719"/>
        <v>2697669.04</v>
      </c>
    </row>
    <row r="1529" spans="1:22" s="39" customFormat="1" ht="24" customHeight="1">
      <c r="A1529" s="1860">
        <v>3</v>
      </c>
      <c r="B1529" s="1860">
        <v>2</v>
      </c>
      <c r="C1529" s="1860">
        <v>2</v>
      </c>
      <c r="D1529" s="1889">
        <v>1</v>
      </c>
      <c r="E1529" s="1966" t="s">
        <v>15</v>
      </c>
      <c r="F1529" s="1844" t="str">
        <f>CONCATENATE(A1529,".",B1529,".",C1529,".",D1529,)</f>
        <v>3.2.2.1</v>
      </c>
      <c r="G1529" s="1875" t="s">
        <v>215</v>
      </c>
      <c r="H1529" s="1629" t="s">
        <v>195</v>
      </c>
      <c r="I1529" s="1557" t="s">
        <v>667</v>
      </c>
      <c r="J1529" s="979" t="s">
        <v>79</v>
      </c>
      <c r="K1529" s="919"/>
      <c r="L1529" s="893">
        <v>0.19</v>
      </c>
      <c r="M1529" s="893">
        <v>0.19</v>
      </c>
      <c r="N1529" s="893">
        <v>0.62</v>
      </c>
      <c r="O1529" s="383">
        <v>0.19</v>
      </c>
      <c r="P1529" s="383">
        <v>0.19</v>
      </c>
      <c r="Q1529" s="1475">
        <f>H1534*L1529</f>
        <v>36064.660000000003</v>
      </c>
      <c r="R1529" s="1475">
        <f>H1534*M1529</f>
        <v>36064.660000000003</v>
      </c>
      <c r="S1529" s="1475">
        <f>H1534*N1529</f>
        <v>117684.68</v>
      </c>
      <c r="T1529" s="1475">
        <f>H1534*O1529</f>
        <v>36064.660000000003</v>
      </c>
      <c r="U1529" s="1475">
        <f>H1534*P1529</f>
        <v>36064.660000000003</v>
      </c>
      <c r="V1529" s="1475">
        <f t="shared" si="719"/>
        <v>261943.32</v>
      </c>
    </row>
    <row r="1530" spans="1:22" s="39" customFormat="1" ht="24" customHeight="1">
      <c r="A1530" s="1860">
        <v>3</v>
      </c>
      <c r="B1530" s="1860"/>
      <c r="C1530" s="1860"/>
      <c r="D1530" s="1889"/>
      <c r="E1530" s="1966"/>
      <c r="F1530" s="1844"/>
      <c r="G1530" s="1876"/>
      <c r="H1530" s="1629"/>
      <c r="I1530" s="1558"/>
      <c r="J1530" s="846" t="s">
        <v>80</v>
      </c>
      <c r="K1530" s="980"/>
      <c r="L1530" s="365">
        <f t="shared" ref="L1530:U1530" si="737">SUM(L1531:L1537)</f>
        <v>0.19</v>
      </c>
      <c r="M1530" s="365">
        <f t="shared" si="737"/>
        <v>0.19</v>
      </c>
      <c r="N1530" s="365">
        <f t="shared" si="737"/>
        <v>0.62</v>
      </c>
      <c r="O1530" s="364">
        <f t="shared" si="737"/>
        <v>0</v>
      </c>
      <c r="P1530" s="364">
        <f t="shared" si="737"/>
        <v>0</v>
      </c>
      <c r="Q1530" s="1475">
        <f t="shared" si="737"/>
        <v>36064.660000000003</v>
      </c>
      <c r="R1530" s="1475">
        <f t="shared" si="737"/>
        <v>36064.660000000003</v>
      </c>
      <c r="S1530" s="1475">
        <f t="shared" si="737"/>
        <v>117684.68</v>
      </c>
      <c r="T1530" s="1475">
        <f t="shared" si="737"/>
        <v>0</v>
      </c>
      <c r="U1530" s="1475">
        <f t="shared" si="737"/>
        <v>0</v>
      </c>
      <c r="V1530" s="1475">
        <f t="shared" si="719"/>
        <v>189814</v>
      </c>
    </row>
    <row r="1531" spans="1:22" s="39" customFormat="1" ht="24" customHeight="1">
      <c r="A1531" s="1860">
        <v>3</v>
      </c>
      <c r="B1531" s="1860"/>
      <c r="C1531" s="1860"/>
      <c r="D1531" s="1889"/>
      <c r="E1531" s="1966"/>
      <c r="F1531" s="1844"/>
      <c r="G1531" s="1876"/>
      <c r="H1531" s="1629"/>
      <c r="I1531" s="1558"/>
      <c r="J1531" s="846" t="s">
        <v>429</v>
      </c>
      <c r="K1531" s="980"/>
      <c r="L1531" s="365">
        <v>0</v>
      </c>
      <c r="M1531" s="365">
        <v>0</v>
      </c>
      <c r="N1531" s="365">
        <v>0</v>
      </c>
      <c r="O1531" s="364">
        <v>0</v>
      </c>
      <c r="P1531" s="364">
        <v>0</v>
      </c>
      <c r="Q1531" s="1475">
        <f>L1531*$H1534</f>
        <v>0</v>
      </c>
      <c r="R1531" s="1475">
        <f>M1531*$H1534</f>
        <v>0</v>
      </c>
      <c r="S1531" s="1475">
        <f>N1531*$H1534</f>
        <v>0</v>
      </c>
      <c r="T1531" s="1475">
        <f>O1531*$H1534</f>
        <v>0</v>
      </c>
      <c r="U1531" s="1475">
        <f>P1531*$H1534</f>
        <v>0</v>
      </c>
      <c r="V1531" s="1475">
        <f t="shared" si="719"/>
        <v>0</v>
      </c>
    </row>
    <row r="1532" spans="1:22" s="39" customFormat="1" ht="24" customHeight="1">
      <c r="A1532" s="1860">
        <v>3</v>
      </c>
      <c r="B1532" s="1860"/>
      <c r="C1532" s="1860"/>
      <c r="D1532" s="1889"/>
      <c r="E1532" s="1966"/>
      <c r="F1532" s="1844"/>
      <c r="G1532" s="1876"/>
      <c r="H1532" s="1629"/>
      <c r="I1532" s="1558"/>
      <c r="J1532" s="846" t="s">
        <v>133</v>
      </c>
      <c r="K1532" s="980"/>
      <c r="L1532" s="365">
        <v>0</v>
      </c>
      <c r="M1532" s="365">
        <v>0</v>
      </c>
      <c r="N1532" s="365">
        <v>0</v>
      </c>
      <c r="O1532" s="364">
        <v>0</v>
      </c>
      <c r="P1532" s="364">
        <v>0</v>
      </c>
      <c r="Q1532" s="1475">
        <f>L1532*$H1534</f>
        <v>0</v>
      </c>
      <c r="R1532" s="1475">
        <f>M1532*$H1534</f>
        <v>0</v>
      </c>
      <c r="S1532" s="1475">
        <f>N1532*$H1534</f>
        <v>0</v>
      </c>
      <c r="T1532" s="1475">
        <f>O1532*$H1534</f>
        <v>0</v>
      </c>
      <c r="U1532" s="1475">
        <f>P1532*$H1534</f>
        <v>0</v>
      </c>
      <c r="V1532" s="1475">
        <f t="shared" si="719"/>
        <v>0</v>
      </c>
    </row>
    <row r="1533" spans="1:22" s="39" customFormat="1" ht="24" customHeight="1">
      <c r="A1533" s="1860">
        <v>3</v>
      </c>
      <c r="B1533" s="1860"/>
      <c r="C1533" s="1860"/>
      <c r="D1533" s="1889"/>
      <c r="E1533" s="1966"/>
      <c r="F1533" s="1844"/>
      <c r="G1533" s="1876"/>
      <c r="H1533" s="1629"/>
      <c r="I1533" s="1558"/>
      <c r="J1533" s="846" t="s">
        <v>81</v>
      </c>
      <c r="K1533" s="980"/>
      <c r="L1533" s="365">
        <v>0</v>
      </c>
      <c r="M1533" s="365">
        <v>0</v>
      </c>
      <c r="N1533" s="365">
        <v>0</v>
      </c>
      <c r="O1533" s="364">
        <v>0</v>
      </c>
      <c r="P1533" s="364">
        <v>0</v>
      </c>
      <c r="Q1533" s="1475">
        <f>L1533*$H1534</f>
        <v>0</v>
      </c>
      <c r="R1533" s="1475">
        <f>M1533*$H1534</f>
        <v>0</v>
      </c>
      <c r="S1533" s="1475">
        <f>N1533*$H1534</f>
        <v>0</v>
      </c>
      <c r="T1533" s="1475">
        <f>O1533*$H1534</f>
        <v>0</v>
      </c>
      <c r="U1533" s="1475">
        <f>P1533*$H1534</f>
        <v>0</v>
      </c>
      <c r="V1533" s="1475">
        <f t="shared" si="719"/>
        <v>0</v>
      </c>
    </row>
    <row r="1534" spans="1:22" s="39" customFormat="1" ht="24" customHeight="1">
      <c r="A1534" s="1860">
        <v>3</v>
      </c>
      <c r="B1534" s="1860"/>
      <c r="C1534" s="1860"/>
      <c r="D1534" s="1889"/>
      <c r="E1534" s="1966"/>
      <c r="F1534" s="1844"/>
      <c r="G1534" s="1876"/>
      <c r="H1534" s="1602">
        <f>'Budget assumption'!F391</f>
        <v>189814</v>
      </c>
      <c r="I1534" s="1558"/>
      <c r="J1534" s="846" t="s">
        <v>134</v>
      </c>
      <c r="K1534" s="980"/>
      <c r="L1534" s="365">
        <v>0</v>
      </c>
      <c r="M1534" s="365">
        <v>0</v>
      </c>
      <c r="N1534" s="365">
        <v>0</v>
      </c>
      <c r="O1534" s="364">
        <f>O1525*30%</f>
        <v>0</v>
      </c>
      <c r="P1534" s="364">
        <f>P1525*30%</f>
        <v>0</v>
      </c>
      <c r="Q1534" s="1475">
        <f>L1534*$H1534</f>
        <v>0</v>
      </c>
      <c r="R1534" s="1475">
        <f>M1534*$H1534</f>
        <v>0</v>
      </c>
      <c r="S1534" s="1475">
        <f>N1534*$H1534</f>
        <v>0</v>
      </c>
      <c r="T1534" s="1475">
        <f>O1534*$H1534</f>
        <v>0</v>
      </c>
      <c r="U1534" s="1475">
        <f>P1534*$H1534</f>
        <v>0</v>
      </c>
      <c r="V1534" s="1475">
        <f t="shared" si="719"/>
        <v>0</v>
      </c>
    </row>
    <row r="1535" spans="1:22" s="39" customFormat="1" ht="24" customHeight="1">
      <c r="A1535" s="1860">
        <v>3</v>
      </c>
      <c r="B1535" s="1860"/>
      <c r="C1535" s="1860"/>
      <c r="D1535" s="1889"/>
      <c r="E1535" s="1966"/>
      <c r="F1535" s="1844"/>
      <c r="G1535" s="1876"/>
      <c r="H1535" s="1603">
        <f>810*0.05</f>
        <v>40.5</v>
      </c>
      <c r="I1535" s="1558"/>
      <c r="J1535" s="846" t="s">
        <v>82</v>
      </c>
      <c r="K1535" s="980"/>
      <c r="L1535" s="1465">
        <v>0.19</v>
      </c>
      <c r="M1535" s="1465">
        <v>0.19</v>
      </c>
      <c r="N1535" s="365">
        <v>0.62</v>
      </c>
      <c r="O1535" s="364">
        <v>0</v>
      </c>
      <c r="P1535" s="364">
        <v>0</v>
      </c>
      <c r="Q1535" s="1475">
        <f>H1534*L1535</f>
        <v>36064.660000000003</v>
      </c>
      <c r="R1535" s="1475">
        <f>H1534*M1535</f>
        <v>36064.660000000003</v>
      </c>
      <c r="S1535" s="1475">
        <f>N1535*$H1534</f>
        <v>117684.68</v>
      </c>
      <c r="T1535" s="1475">
        <f>O1535*H1534</f>
        <v>0</v>
      </c>
      <c r="U1535" s="1475">
        <f t="shared" ref="U1535" si="738">K1534*P1535</f>
        <v>0</v>
      </c>
      <c r="V1535" s="1475">
        <f>L1534*Q1535</f>
        <v>0</v>
      </c>
    </row>
    <row r="1536" spans="1:22" s="39" customFormat="1" ht="24" customHeight="1">
      <c r="A1536" s="1860">
        <v>3</v>
      </c>
      <c r="B1536" s="1860"/>
      <c r="C1536" s="1860"/>
      <c r="D1536" s="1889"/>
      <c r="E1536" s="1966"/>
      <c r="F1536" s="1844"/>
      <c r="G1536" s="1876"/>
      <c r="H1536" s="1603"/>
      <c r="I1536" s="1558"/>
      <c r="J1536" s="846" t="s">
        <v>90</v>
      </c>
      <c r="K1536" s="980"/>
      <c r="L1536" s="365">
        <v>0</v>
      </c>
      <c r="M1536" s="365">
        <v>0</v>
      </c>
      <c r="N1536" s="365">
        <v>0</v>
      </c>
      <c r="O1536" s="364">
        <v>0</v>
      </c>
      <c r="P1536" s="364">
        <v>0</v>
      </c>
      <c r="Q1536" s="1475">
        <f>L1536*$H1534</f>
        <v>0</v>
      </c>
      <c r="R1536" s="1475">
        <f>M1536*$H1534</f>
        <v>0</v>
      </c>
      <c r="S1536" s="1475">
        <f>N1536*$H1534</f>
        <v>0</v>
      </c>
      <c r="T1536" s="1475">
        <f>O1536*$H1534</f>
        <v>0</v>
      </c>
      <c r="U1536" s="1475">
        <f>P1536*$H1534</f>
        <v>0</v>
      </c>
      <c r="V1536" s="1475">
        <f t="shared" si="719"/>
        <v>0</v>
      </c>
    </row>
    <row r="1537" spans="1:22" s="39" customFormat="1" ht="24" customHeight="1">
      <c r="A1537" s="1860">
        <v>3</v>
      </c>
      <c r="B1537" s="1860"/>
      <c r="C1537" s="1860"/>
      <c r="D1537" s="1889"/>
      <c r="E1537" s="1966"/>
      <c r="F1537" s="1844"/>
      <c r="G1537" s="1876"/>
      <c r="H1537" s="1603"/>
      <c r="I1537" s="1558"/>
      <c r="J1537" s="846" t="s">
        <v>83</v>
      </c>
      <c r="K1537" s="980"/>
      <c r="L1537" s="365">
        <v>0</v>
      </c>
      <c r="M1537" s="365">
        <v>0</v>
      </c>
      <c r="N1537" s="365">
        <v>0</v>
      </c>
      <c r="O1537" s="364">
        <v>0</v>
      </c>
      <c r="P1537" s="364">
        <v>0</v>
      </c>
      <c r="Q1537" s="1475">
        <f>L1537*$H1534</f>
        <v>0</v>
      </c>
      <c r="R1537" s="1475">
        <f>M1537*$H1534</f>
        <v>0</v>
      </c>
      <c r="S1537" s="1475">
        <f>N1537*$H1534</f>
        <v>0</v>
      </c>
      <c r="T1537" s="1475">
        <f>O1537*$H1534</f>
        <v>0</v>
      </c>
      <c r="U1537" s="1475">
        <f>P1537*$H1534</f>
        <v>0</v>
      </c>
      <c r="V1537" s="1475">
        <f t="shared" si="719"/>
        <v>0</v>
      </c>
    </row>
    <row r="1538" spans="1:22" s="39" customFormat="1" ht="48.75" customHeight="1">
      <c r="A1538" s="1860">
        <v>3</v>
      </c>
      <c r="B1538" s="1860"/>
      <c r="C1538" s="1860"/>
      <c r="D1538" s="1889"/>
      <c r="E1538" s="1966"/>
      <c r="F1538" s="1844"/>
      <c r="G1538" s="1877"/>
      <c r="H1538" s="1604"/>
      <c r="I1538" s="1559"/>
      <c r="J1538" s="846" t="s">
        <v>84</v>
      </c>
      <c r="K1538" s="980"/>
      <c r="L1538" s="365">
        <f>L1529-L1530</f>
        <v>0</v>
      </c>
      <c r="M1538" s="365">
        <f t="shared" ref="M1538:U1538" si="739">M1529-M1530</f>
        <v>0</v>
      </c>
      <c r="N1538" s="365">
        <f t="shared" si="739"/>
        <v>0</v>
      </c>
      <c r="O1538" s="364">
        <f t="shared" si="739"/>
        <v>0.19</v>
      </c>
      <c r="P1538" s="364">
        <f t="shared" si="739"/>
        <v>0.19</v>
      </c>
      <c r="Q1538" s="1475">
        <f t="shared" si="739"/>
        <v>0</v>
      </c>
      <c r="R1538" s="1475">
        <f t="shared" si="739"/>
        <v>0</v>
      </c>
      <c r="S1538" s="1475">
        <f t="shared" si="739"/>
        <v>0</v>
      </c>
      <c r="T1538" s="1475">
        <f t="shared" si="739"/>
        <v>36064.660000000003</v>
      </c>
      <c r="U1538" s="1475">
        <f t="shared" si="739"/>
        <v>36064.660000000003</v>
      </c>
      <c r="V1538" s="1475">
        <f t="shared" si="719"/>
        <v>72129.320000000007</v>
      </c>
    </row>
    <row r="1539" spans="1:22" s="39" customFormat="1" ht="24" customHeight="1">
      <c r="A1539" s="1860">
        <v>3</v>
      </c>
      <c r="B1539" s="1860">
        <v>2</v>
      </c>
      <c r="C1539" s="1860">
        <v>2</v>
      </c>
      <c r="D1539" s="1954">
        <v>2</v>
      </c>
      <c r="E1539" s="1962" t="s">
        <v>15</v>
      </c>
      <c r="F1539" s="1863" t="str">
        <f>CONCATENATE(A1539,".",B1539,".",C1539,".",D1539,)</f>
        <v>3.2.2.2</v>
      </c>
      <c r="G1539" s="1826" t="s">
        <v>768</v>
      </c>
      <c r="H1539" s="1808" t="s">
        <v>770</v>
      </c>
      <c r="I1539" s="1790" t="s">
        <v>769</v>
      </c>
      <c r="J1539" s="36" t="s">
        <v>79</v>
      </c>
      <c r="K1539" s="896"/>
      <c r="L1539" s="383">
        <v>12</v>
      </c>
      <c r="M1539" s="383">
        <v>12</v>
      </c>
      <c r="N1539" s="383">
        <v>12</v>
      </c>
      <c r="O1539" s="383">
        <v>12</v>
      </c>
      <c r="P1539" s="383">
        <v>12</v>
      </c>
      <c r="Q1539" s="1475">
        <f>L1539*H1544</f>
        <v>672000</v>
      </c>
      <c r="R1539" s="1475">
        <f>M1539*H1544</f>
        <v>672000</v>
      </c>
      <c r="S1539" s="1475">
        <f>N1539*H1544</f>
        <v>672000</v>
      </c>
      <c r="T1539" s="1475">
        <f>O1539*H1544</f>
        <v>672000</v>
      </c>
      <c r="U1539" s="1475">
        <f>P1539*H1544</f>
        <v>672000</v>
      </c>
      <c r="V1539" s="1475">
        <f t="shared" si="719"/>
        <v>3360000</v>
      </c>
    </row>
    <row r="1540" spans="1:22" s="39" customFormat="1" ht="24" customHeight="1">
      <c r="A1540" s="1860">
        <v>3</v>
      </c>
      <c r="B1540" s="1860"/>
      <c r="C1540" s="1860"/>
      <c r="D1540" s="1954"/>
      <c r="E1540" s="1962"/>
      <c r="F1540" s="1965"/>
      <c r="G1540" s="1827"/>
      <c r="H1540" s="1627"/>
      <c r="I1540" s="1791"/>
      <c r="J1540" s="40" t="s">
        <v>80</v>
      </c>
      <c r="K1540" s="91"/>
      <c r="L1540" s="364">
        <f t="shared" ref="L1540:U1540" si="740">SUM(L1541:L1547)</f>
        <v>12</v>
      </c>
      <c r="M1540" s="364">
        <f t="shared" si="740"/>
        <v>12</v>
      </c>
      <c r="N1540" s="364">
        <f t="shared" si="740"/>
        <v>12</v>
      </c>
      <c r="O1540" s="364">
        <f t="shared" si="740"/>
        <v>0</v>
      </c>
      <c r="P1540" s="364">
        <f t="shared" si="740"/>
        <v>0</v>
      </c>
      <c r="Q1540" s="1475">
        <f t="shared" si="740"/>
        <v>672000</v>
      </c>
      <c r="R1540" s="1475">
        <f t="shared" si="740"/>
        <v>672000</v>
      </c>
      <c r="S1540" s="1475">
        <f t="shared" si="740"/>
        <v>672000</v>
      </c>
      <c r="T1540" s="1475">
        <f t="shared" si="740"/>
        <v>0</v>
      </c>
      <c r="U1540" s="1475">
        <f t="shared" si="740"/>
        <v>0</v>
      </c>
      <c r="V1540" s="1475">
        <f t="shared" ref="V1540:V1598" si="741">SUM(Q1540:U1540)</f>
        <v>2016000</v>
      </c>
    </row>
    <row r="1541" spans="1:22" s="39" customFormat="1" ht="24" customHeight="1">
      <c r="A1541" s="1860">
        <v>3</v>
      </c>
      <c r="B1541" s="1860"/>
      <c r="C1541" s="1860"/>
      <c r="D1541" s="1954"/>
      <c r="E1541" s="1962"/>
      <c r="F1541" s="1965"/>
      <c r="G1541" s="1827"/>
      <c r="H1541" s="1627"/>
      <c r="I1541" s="1791"/>
      <c r="J1541" s="40" t="s">
        <v>429</v>
      </c>
      <c r="K1541" s="91"/>
      <c r="L1541" s="364">
        <v>0</v>
      </c>
      <c r="M1541" s="364">
        <v>0</v>
      </c>
      <c r="N1541" s="364">
        <v>0</v>
      </c>
      <c r="O1541" s="364">
        <v>0</v>
      </c>
      <c r="P1541" s="364">
        <v>0</v>
      </c>
      <c r="Q1541" s="1475">
        <f>L1541*$H$1544</f>
        <v>0</v>
      </c>
      <c r="R1541" s="1475">
        <f t="shared" ref="R1541:U1547" si="742">M1541*$H$1544</f>
        <v>0</v>
      </c>
      <c r="S1541" s="1475">
        <f t="shared" si="742"/>
        <v>0</v>
      </c>
      <c r="T1541" s="1475">
        <f t="shared" si="742"/>
        <v>0</v>
      </c>
      <c r="U1541" s="1475">
        <f t="shared" si="742"/>
        <v>0</v>
      </c>
      <c r="V1541" s="1475">
        <f t="shared" si="741"/>
        <v>0</v>
      </c>
    </row>
    <row r="1542" spans="1:22" s="39" customFormat="1" ht="24" customHeight="1">
      <c r="A1542" s="1860">
        <v>3</v>
      </c>
      <c r="B1542" s="1860"/>
      <c r="C1542" s="1860"/>
      <c r="D1542" s="1954"/>
      <c r="E1542" s="1962"/>
      <c r="F1542" s="1965"/>
      <c r="G1542" s="1827"/>
      <c r="H1542" s="1627"/>
      <c r="I1542" s="1791"/>
      <c r="J1542" s="40" t="s">
        <v>133</v>
      </c>
      <c r="K1542" s="91"/>
      <c r="L1542" s="364">
        <v>0</v>
      </c>
      <c r="M1542" s="364">
        <v>0</v>
      </c>
      <c r="N1542" s="364">
        <v>0</v>
      </c>
      <c r="O1542" s="364">
        <v>0</v>
      </c>
      <c r="P1542" s="364">
        <v>0</v>
      </c>
      <c r="Q1542" s="1475">
        <f t="shared" ref="Q1542:Q1547" si="743">L1542*$H$1544</f>
        <v>0</v>
      </c>
      <c r="R1542" s="1475">
        <f t="shared" si="742"/>
        <v>0</v>
      </c>
      <c r="S1542" s="1475">
        <f t="shared" si="742"/>
        <v>0</v>
      </c>
      <c r="T1542" s="1475">
        <f t="shared" si="742"/>
        <v>0</v>
      </c>
      <c r="U1542" s="1475">
        <f t="shared" si="742"/>
        <v>0</v>
      </c>
      <c r="V1542" s="1475">
        <f t="shared" si="741"/>
        <v>0</v>
      </c>
    </row>
    <row r="1543" spans="1:22" s="39" customFormat="1" ht="24" customHeight="1">
      <c r="A1543" s="1860">
        <v>3</v>
      </c>
      <c r="B1543" s="1860"/>
      <c r="C1543" s="1860"/>
      <c r="D1543" s="1954"/>
      <c r="E1543" s="1962"/>
      <c r="F1543" s="1965"/>
      <c r="G1543" s="1827"/>
      <c r="H1543" s="1628"/>
      <c r="I1543" s="1791"/>
      <c r="J1543" s="40" t="s">
        <v>81</v>
      </c>
      <c r="K1543" s="91"/>
      <c r="L1543" s="364">
        <v>0</v>
      </c>
      <c r="M1543" s="364">
        <v>0</v>
      </c>
      <c r="N1543" s="364">
        <v>0</v>
      </c>
      <c r="O1543" s="364">
        <v>0</v>
      </c>
      <c r="P1543" s="364">
        <v>0</v>
      </c>
      <c r="Q1543" s="1475">
        <f t="shared" si="743"/>
        <v>0</v>
      </c>
      <c r="R1543" s="1475">
        <f t="shared" si="742"/>
        <v>0</v>
      </c>
      <c r="S1543" s="1475">
        <f t="shared" si="742"/>
        <v>0</v>
      </c>
      <c r="T1543" s="1475">
        <f t="shared" si="742"/>
        <v>0</v>
      </c>
      <c r="U1543" s="1475">
        <f t="shared" si="742"/>
        <v>0</v>
      </c>
      <c r="V1543" s="1475">
        <f t="shared" si="741"/>
        <v>0</v>
      </c>
    </row>
    <row r="1544" spans="1:22" s="39" customFormat="1" ht="24" customHeight="1">
      <c r="A1544" s="1860">
        <v>3</v>
      </c>
      <c r="B1544" s="1860"/>
      <c r="C1544" s="1860"/>
      <c r="D1544" s="1954"/>
      <c r="E1544" s="1962"/>
      <c r="F1544" s="1965"/>
      <c r="G1544" s="1827"/>
      <c r="H1544" s="1595">
        <f>28000*2</f>
        <v>56000</v>
      </c>
      <c r="I1544" s="1791"/>
      <c r="J1544" s="40" t="s">
        <v>134</v>
      </c>
      <c r="K1544" s="91"/>
      <c r="L1544" s="364">
        <v>0</v>
      </c>
      <c r="M1544" s="364">
        <v>0</v>
      </c>
      <c r="N1544" s="364">
        <v>0</v>
      </c>
      <c r="O1544" s="364">
        <v>0</v>
      </c>
      <c r="P1544" s="364">
        <v>0</v>
      </c>
      <c r="Q1544" s="1475">
        <f t="shared" si="743"/>
        <v>0</v>
      </c>
      <c r="R1544" s="1475">
        <f t="shared" si="742"/>
        <v>0</v>
      </c>
      <c r="S1544" s="1475">
        <f t="shared" si="742"/>
        <v>0</v>
      </c>
      <c r="T1544" s="1475">
        <f t="shared" si="742"/>
        <v>0</v>
      </c>
      <c r="U1544" s="1475">
        <f t="shared" si="742"/>
        <v>0</v>
      </c>
      <c r="V1544" s="1475">
        <f t="shared" si="741"/>
        <v>0</v>
      </c>
    </row>
    <row r="1545" spans="1:22" s="39" customFormat="1" ht="24" customHeight="1">
      <c r="A1545" s="1860">
        <v>3</v>
      </c>
      <c r="B1545" s="1860"/>
      <c r="C1545" s="1860"/>
      <c r="D1545" s="1954"/>
      <c r="E1545" s="1962"/>
      <c r="F1545" s="1965"/>
      <c r="G1545" s="1827"/>
      <c r="H1545" s="1596">
        <f>810*0.05</f>
        <v>40.5</v>
      </c>
      <c r="I1545" s="1791"/>
      <c r="J1545" s="40" t="s">
        <v>82</v>
      </c>
      <c r="K1545" s="91"/>
      <c r="L1545" s="364">
        <v>12</v>
      </c>
      <c r="M1545" s="364">
        <v>12</v>
      </c>
      <c r="N1545" s="364">
        <v>12</v>
      </c>
      <c r="O1545" s="364">
        <v>0</v>
      </c>
      <c r="P1545" s="364">
        <v>0</v>
      </c>
      <c r="Q1545" s="1475">
        <f t="shared" si="743"/>
        <v>672000</v>
      </c>
      <c r="R1545" s="1475">
        <f t="shared" si="742"/>
        <v>672000</v>
      </c>
      <c r="S1545" s="1475">
        <f t="shared" si="742"/>
        <v>672000</v>
      </c>
      <c r="T1545" s="1475">
        <f t="shared" si="742"/>
        <v>0</v>
      </c>
      <c r="U1545" s="1475">
        <f t="shared" si="742"/>
        <v>0</v>
      </c>
      <c r="V1545" s="1475">
        <f t="shared" si="741"/>
        <v>2016000</v>
      </c>
    </row>
    <row r="1546" spans="1:22" s="39" customFormat="1" ht="24" customHeight="1">
      <c r="A1546" s="1860">
        <v>3</v>
      </c>
      <c r="B1546" s="1860"/>
      <c r="C1546" s="1860"/>
      <c r="D1546" s="1954"/>
      <c r="E1546" s="1962"/>
      <c r="F1546" s="1965"/>
      <c r="G1546" s="1827"/>
      <c r="H1546" s="1596"/>
      <c r="I1546" s="1791"/>
      <c r="J1546" s="40" t="s">
        <v>90</v>
      </c>
      <c r="K1546" s="91"/>
      <c r="L1546" s="364">
        <v>0</v>
      </c>
      <c r="M1546" s="364">
        <v>0</v>
      </c>
      <c r="N1546" s="364">
        <v>0</v>
      </c>
      <c r="O1546" s="364">
        <v>0</v>
      </c>
      <c r="P1546" s="364">
        <v>0</v>
      </c>
      <c r="Q1546" s="1475">
        <f t="shared" si="743"/>
        <v>0</v>
      </c>
      <c r="R1546" s="1475">
        <f t="shared" si="742"/>
        <v>0</v>
      </c>
      <c r="S1546" s="1475">
        <f t="shared" si="742"/>
        <v>0</v>
      </c>
      <c r="T1546" s="1475">
        <f t="shared" si="742"/>
        <v>0</v>
      </c>
      <c r="U1546" s="1475">
        <f t="shared" si="742"/>
        <v>0</v>
      </c>
      <c r="V1546" s="1475">
        <f t="shared" si="741"/>
        <v>0</v>
      </c>
    </row>
    <row r="1547" spans="1:22" s="39" customFormat="1" ht="24" customHeight="1">
      <c r="A1547" s="1860">
        <v>3</v>
      </c>
      <c r="B1547" s="1860"/>
      <c r="C1547" s="1860"/>
      <c r="D1547" s="1954"/>
      <c r="E1547" s="1962"/>
      <c r="F1547" s="1965"/>
      <c r="G1547" s="1827"/>
      <c r="H1547" s="1596"/>
      <c r="I1547" s="1791"/>
      <c r="J1547" s="40" t="s">
        <v>83</v>
      </c>
      <c r="K1547" s="91"/>
      <c r="L1547" s="364">
        <v>0</v>
      </c>
      <c r="M1547" s="364">
        <v>0</v>
      </c>
      <c r="N1547" s="364">
        <v>0</v>
      </c>
      <c r="O1547" s="364">
        <v>0</v>
      </c>
      <c r="P1547" s="364">
        <v>0</v>
      </c>
      <c r="Q1547" s="1475">
        <f t="shared" si="743"/>
        <v>0</v>
      </c>
      <c r="R1547" s="1475">
        <f t="shared" si="742"/>
        <v>0</v>
      </c>
      <c r="S1547" s="1475">
        <f t="shared" si="742"/>
        <v>0</v>
      </c>
      <c r="T1547" s="1475">
        <f t="shared" si="742"/>
        <v>0</v>
      </c>
      <c r="U1547" s="1475">
        <f t="shared" si="742"/>
        <v>0</v>
      </c>
      <c r="V1547" s="1475">
        <f t="shared" si="741"/>
        <v>0</v>
      </c>
    </row>
    <row r="1548" spans="1:22" s="39" customFormat="1" ht="24" customHeight="1">
      <c r="A1548" s="1860">
        <v>3</v>
      </c>
      <c r="B1548" s="1860"/>
      <c r="C1548" s="1860"/>
      <c r="D1548" s="1954"/>
      <c r="E1548" s="1962"/>
      <c r="F1548" s="1854"/>
      <c r="G1548" s="1886"/>
      <c r="H1548" s="1683"/>
      <c r="I1548" s="1830"/>
      <c r="J1548" s="40" t="s">
        <v>84</v>
      </c>
      <c r="K1548" s="91"/>
      <c r="L1548" s="364">
        <f>L1539-L1540</f>
        <v>0</v>
      </c>
      <c r="M1548" s="364">
        <f t="shared" ref="M1548:U1548" si="744">M1539-M1540</f>
        <v>0</v>
      </c>
      <c r="N1548" s="364">
        <f t="shared" si="744"/>
        <v>0</v>
      </c>
      <c r="O1548" s="364">
        <f t="shared" si="744"/>
        <v>12</v>
      </c>
      <c r="P1548" s="364">
        <f t="shared" si="744"/>
        <v>12</v>
      </c>
      <c r="Q1548" s="1475">
        <f t="shared" si="744"/>
        <v>0</v>
      </c>
      <c r="R1548" s="1475">
        <f t="shared" si="744"/>
        <v>0</v>
      </c>
      <c r="S1548" s="1475">
        <f t="shared" si="744"/>
        <v>0</v>
      </c>
      <c r="T1548" s="1475">
        <f t="shared" si="744"/>
        <v>672000</v>
      </c>
      <c r="U1548" s="1475">
        <f t="shared" si="744"/>
        <v>672000</v>
      </c>
      <c r="V1548" s="1475">
        <f t="shared" si="741"/>
        <v>1344000</v>
      </c>
    </row>
    <row r="1549" spans="1:22" s="39" customFormat="1" ht="24" customHeight="1">
      <c r="A1549" s="1860">
        <v>3</v>
      </c>
      <c r="B1549" s="1860">
        <v>2</v>
      </c>
      <c r="C1549" s="1860">
        <v>2</v>
      </c>
      <c r="D1549" s="1860">
        <v>3</v>
      </c>
      <c r="E1549" s="1839" t="s">
        <v>15</v>
      </c>
      <c r="F1549" s="1841" t="str">
        <f>CONCATENATE(A1549,".",B1549,".",C1549,".",D1549,)</f>
        <v>3.2.2.3</v>
      </c>
      <c r="G1549" s="1826" t="s">
        <v>771</v>
      </c>
      <c r="H1549" s="1601" t="s">
        <v>268</v>
      </c>
      <c r="I1549" s="1790" t="s">
        <v>1164</v>
      </c>
      <c r="J1549" s="36" t="s">
        <v>79</v>
      </c>
      <c r="K1549" s="896"/>
      <c r="L1549" s="383">
        <v>2</v>
      </c>
      <c r="M1549" s="383">
        <v>2</v>
      </c>
      <c r="N1549" s="383">
        <v>2</v>
      </c>
      <c r="O1549" s="383">
        <v>2</v>
      </c>
      <c r="P1549" s="383">
        <v>2</v>
      </c>
      <c r="Q1549" s="1475">
        <f>L1549*H1554</f>
        <v>38640</v>
      </c>
      <c r="R1549" s="1475">
        <f>M1549*H1554</f>
        <v>38640</v>
      </c>
      <c r="S1549" s="1475">
        <f>N1549*H1554</f>
        <v>38640</v>
      </c>
      <c r="T1549" s="1475">
        <f>O1549*H1554</f>
        <v>38640</v>
      </c>
      <c r="U1549" s="1475">
        <f>P1549*H1554</f>
        <v>38640</v>
      </c>
      <c r="V1549" s="1475">
        <f t="shared" si="741"/>
        <v>193200</v>
      </c>
    </row>
    <row r="1550" spans="1:22" s="39" customFormat="1" ht="24" customHeight="1">
      <c r="A1550" s="1860">
        <v>3</v>
      </c>
      <c r="B1550" s="1860"/>
      <c r="C1550" s="1860"/>
      <c r="D1550" s="1860"/>
      <c r="E1550" s="1839"/>
      <c r="F1550" s="1841"/>
      <c r="G1550" s="1827"/>
      <c r="H1550" s="1601"/>
      <c r="I1550" s="1791"/>
      <c r="J1550" s="40" t="s">
        <v>80</v>
      </c>
      <c r="K1550" s="91"/>
      <c r="L1550" s="364">
        <f t="shared" ref="L1550:U1550" si="745">SUM(L1551:L1557)</f>
        <v>2</v>
      </c>
      <c r="M1550" s="364">
        <f t="shared" si="745"/>
        <v>2</v>
      </c>
      <c r="N1550" s="364">
        <f t="shared" si="745"/>
        <v>2</v>
      </c>
      <c r="O1550" s="364">
        <f t="shared" si="745"/>
        <v>0</v>
      </c>
      <c r="P1550" s="364">
        <f t="shared" si="745"/>
        <v>0</v>
      </c>
      <c r="Q1550" s="1475">
        <f t="shared" si="745"/>
        <v>38640</v>
      </c>
      <c r="R1550" s="1475">
        <f t="shared" si="745"/>
        <v>38640</v>
      </c>
      <c r="S1550" s="1475">
        <f t="shared" si="745"/>
        <v>38640</v>
      </c>
      <c r="T1550" s="1475">
        <f t="shared" si="745"/>
        <v>0</v>
      </c>
      <c r="U1550" s="1475">
        <f t="shared" si="745"/>
        <v>0</v>
      </c>
      <c r="V1550" s="1475">
        <f t="shared" si="741"/>
        <v>115920</v>
      </c>
    </row>
    <row r="1551" spans="1:22" s="39" customFormat="1" ht="24" customHeight="1">
      <c r="A1551" s="1860">
        <v>3</v>
      </c>
      <c r="B1551" s="1860"/>
      <c r="C1551" s="1860"/>
      <c r="D1551" s="1860"/>
      <c r="E1551" s="1839"/>
      <c r="F1551" s="1841"/>
      <c r="G1551" s="1827"/>
      <c r="H1551" s="1601"/>
      <c r="I1551" s="1791"/>
      <c r="J1551" s="40" t="s">
        <v>429</v>
      </c>
      <c r="K1551" s="91"/>
      <c r="L1551" s="364">
        <v>0</v>
      </c>
      <c r="M1551" s="364">
        <v>0</v>
      </c>
      <c r="N1551" s="364">
        <v>0</v>
      </c>
      <c r="O1551" s="364">
        <v>0</v>
      </c>
      <c r="P1551" s="364">
        <v>0</v>
      </c>
      <c r="Q1551" s="1475">
        <f>L1551*$H$1554</f>
        <v>0</v>
      </c>
      <c r="R1551" s="1475">
        <f t="shared" ref="R1551:U1557" si="746">M1551*$H$1554</f>
        <v>0</v>
      </c>
      <c r="S1551" s="1475">
        <f t="shared" si="746"/>
        <v>0</v>
      </c>
      <c r="T1551" s="1475">
        <f t="shared" si="746"/>
        <v>0</v>
      </c>
      <c r="U1551" s="1475">
        <f t="shared" si="746"/>
        <v>0</v>
      </c>
      <c r="V1551" s="1475">
        <f t="shared" si="741"/>
        <v>0</v>
      </c>
    </row>
    <row r="1552" spans="1:22" s="39" customFormat="1" ht="24" customHeight="1">
      <c r="A1552" s="1860">
        <v>3</v>
      </c>
      <c r="B1552" s="1860"/>
      <c r="C1552" s="1860"/>
      <c r="D1552" s="1860"/>
      <c r="E1552" s="1839"/>
      <c r="F1552" s="1841"/>
      <c r="G1552" s="1827"/>
      <c r="H1552" s="1601"/>
      <c r="I1552" s="1791"/>
      <c r="J1552" s="40" t="s">
        <v>133</v>
      </c>
      <c r="K1552" s="91"/>
      <c r="L1552" s="364">
        <v>0</v>
      </c>
      <c r="M1552" s="364">
        <v>0</v>
      </c>
      <c r="N1552" s="364">
        <v>0</v>
      </c>
      <c r="O1552" s="364">
        <v>0</v>
      </c>
      <c r="P1552" s="364">
        <v>0</v>
      </c>
      <c r="Q1552" s="1475">
        <f t="shared" ref="Q1552:Q1557" si="747">L1552*$H$1554</f>
        <v>0</v>
      </c>
      <c r="R1552" s="1475">
        <f t="shared" si="746"/>
        <v>0</v>
      </c>
      <c r="S1552" s="1475">
        <f t="shared" si="746"/>
        <v>0</v>
      </c>
      <c r="T1552" s="1475">
        <f t="shared" si="746"/>
        <v>0</v>
      </c>
      <c r="U1552" s="1475">
        <f t="shared" si="746"/>
        <v>0</v>
      </c>
      <c r="V1552" s="1475">
        <f t="shared" si="741"/>
        <v>0</v>
      </c>
    </row>
    <row r="1553" spans="1:22" s="39" customFormat="1" ht="24" customHeight="1">
      <c r="A1553" s="1860">
        <v>3</v>
      </c>
      <c r="B1553" s="1860"/>
      <c r="C1553" s="1860"/>
      <c r="D1553" s="1860"/>
      <c r="E1553" s="1839"/>
      <c r="F1553" s="1841"/>
      <c r="G1553" s="1827"/>
      <c r="H1553" s="1601"/>
      <c r="I1553" s="1791"/>
      <c r="J1553" s="40" t="s">
        <v>81</v>
      </c>
      <c r="K1553" s="91"/>
      <c r="L1553" s="364">
        <v>0</v>
      </c>
      <c r="M1553" s="364">
        <v>0</v>
      </c>
      <c r="N1553" s="364">
        <v>0</v>
      </c>
      <c r="O1553" s="364">
        <v>0</v>
      </c>
      <c r="P1553" s="364">
        <v>0</v>
      </c>
      <c r="Q1553" s="1475">
        <f t="shared" si="747"/>
        <v>0</v>
      </c>
      <c r="R1553" s="1475">
        <f t="shared" si="746"/>
        <v>0</v>
      </c>
      <c r="S1553" s="1475">
        <f t="shared" si="746"/>
        <v>0</v>
      </c>
      <c r="T1553" s="1475">
        <f t="shared" si="746"/>
        <v>0</v>
      </c>
      <c r="U1553" s="1475">
        <f t="shared" si="746"/>
        <v>0</v>
      </c>
      <c r="V1553" s="1475">
        <f t="shared" si="741"/>
        <v>0</v>
      </c>
    </row>
    <row r="1554" spans="1:22" s="39" customFormat="1" ht="24" customHeight="1">
      <c r="A1554" s="1860">
        <v>3</v>
      </c>
      <c r="B1554" s="1860"/>
      <c r="C1554" s="1860"/>
      <c r="D1554" s="1860"/>
      <c r="E1554" s="1839"/>
      <c r="F1554" s="1841"/>
      <c r="G1554" s="1827"/>
      <c r="H1554" s="1595">
        <f>'Budget assumption'!H81</f>
        <v>19320</v>
      </c>
      <c r="I1554" s="1791"/>
      <c r="J1554" s="40" t="s">
        <v>134</v>
      </c>
      <c r="K1554" s="91"/>
      <c r="L1554" s="364">
        <v>0</v>
      </c>
      <c r="M1554" s="364">
        <v>0</v>
      </c>
      <c r="N1554" s="364">
        <v>0</v>
      </c>
      <c r="O1554" s="364">
        <v>0</v>
      </c>
      <c r="P1554" s="364">
        <v>0</v>
      </c>
      <c r="Q1554" s="1475">
        <f t="shared" si="747"/>
        <v>0</v>
      </c>
      <c r="R1554" s="1475">
        <f t="shared" si="746"/>
        <v>0</v>
      </c>
      <c r="S1554" s="1475">
        <f t="shared" si="746"/>
        <v>0</v>
      </c>
      <c r="T1554" s="1475">
        <f t="shared" si="746"/>
        <v>0</v>
      </c>
      <c r="U1554" s="1475">
        <f t="shared" si="746"/>
        <v>0</v>
      </c>
      <c r="V1554" s="1475">
        <f t="shared" si="741"/>
        <v>0</v>
      </c>
    </row>
    <row r="1555" spans="1:22" s="39" customFormat="1" ht="24" customHeight="1">
      <c r="A1555" s="1860">
        <v>3</v>
      </c>
      <c r="B1555" s="1860"/>
      <c r="C1555" s="1860"/>
      <c r="D1555" s="1860"/>
      <c r="E1555" s="1839"/>
      <c r="F1555" s="1841"/>
      <c r="G1555" s="1827"/>
      <c r="H1555" s="1596">
        <f>810*0.05</f>
        <v>40.5</v>
      </c>
      <c r="I1555" s="1791"/>
      <c r="J1555" s="40" t="s">
        <v>82</v>
      </c>
      <c r="K1555" s="91"/>
      <c r="L1555" s="364">
        <v>2</v>
      </c>
      <c r="M1555" s="364">
        <v>2</v>
      </c>
      <c r="N1555" s="364">
        <v>2</v>
      </c>
      <c r="O1555" s="364">
        <v>0</v>
      </c>
      <c r="P1555" s="364">
        <v>0</v>
      </c>
      <c r="Q1555" s="1475">
        <f t="shared" si="747"/>
        <v>38640</v>
      </c>
      <c r="R1555" s="1475">
        <f t="shared" si="746"/>
        <v>38640</v>
      </c>
      <c r="S1555" s="1475">
        <f t="shared" si="746"/>
        <v>38640</v>
      </c>
      <c r="T1555" s="1475">
        <f t="shared" si="746"/>
        <v>0</v>
      </c>
      <c r="U1555" s="1475">
        <f t="shared" si="746"/>
        <v>0</v>
      </c>
      <c r="V1555" s="1475">
        <f t="shared" si="741"/>
        <v>115920</v>
      </c>
    </row>
    <row r="1556" spans="1:22" s="39" customFormat="1" ht="24" customHeight="1">
      <c r="A1556" s="1860">
        <v>3</v>
      </c>
      <c r="B1556" s="1860"/>
      <c r="C1556" s="1860"/>
      <c r="D1556" s="1860"/>
      <c r="E1556" s="1839"/>
      <c r="F1556" s="1841"/>
      <c r="G1556" s="1827"/>
      <c r="H1556" s="1596"/>
      <c r="I1556" s="1791"/>
      <c r="J1556" s="40" t="s">
        <v>90</v>
      </c>
      <c r="K1556" s="91"/>
      <c r="L1556" s="364">
        <v>0</v>
      </c>
      <c r="M1556" s="364">
        <v>0</v>
      </c>
      <c r="N1556" s="364">
        <v>0</v>
      </c>
      <c r="O1556" s="364">
        <v>0</v>
      </c>
      <c r="P1556" s="364">
        <v>0</v>
      </c>
      <c r="Q1556" s="1475">
        <f t="shared" si="747"/>
        <v>0</v>
      </c>
      <c r="R1556" s="1475">
        <f t="shared" si="746"/>
        <v>0</v>
      </c>
      <c r="S1556" s="1475">
        <f t="shared" si="746"/>
        <v>0</v>
      </c>
      <c r="T1556" s="1475">
        <f t="shared" si="746"/>
        <v>0</v>
      </c>
      <c r="U1556" s="1475">
        <f t="shared" si="746"/>
        <v>0</v>
      </c>
      <c r="V1556" s="1475">
        <f t="shared" si="741"/>
        <v>0</v>
      </c>
    </row>
    <row r="1557" spans="1:22" s="39" customFormat="1" ht="24" customHeight="1">
      <c r="A1557" s="1860">
        <v>3</v>
      </c>
      <c r="B1557" s="1860"/>
      <c r="C1557" s="1860"/>
      <c r="D1557" s="1860"/>
      <c r="E1557" s="1839"/>
      <c r="F1557" s="1841"/>
      <c r="G1557" s="1827"/>
      <c r="H1557" s="1596"/>
      <c r="I1557" s="1791"/>
      <c r="J1557" s="40" t="s">
        <v>83</v>
      </c>
      <c r="K1557" s="91"/>
      <c r="L1557" s="364">
        <v>0</v>
      </c>
      <c r="M1557" s="364">
        <v>0</v>
      </c>
      <c r="N1557" s="364">
        <v>0</v>
      </c>
      <c r="O1557" s="364">
        <v>0</v>
      </c>
      <c r="P1557" s="364">
        <v>0</v>
      </c>
      <c r="Q1557" s="1475">
        <f t="shared" si="747"/>
        <v>0</v>
      </c>
      <c r="R1557" s="1475">
        <f t="shared" si="746"/>
        <v>0</v>
      </c>
      <c r="S1557" s="1475">
        <f t="shared" si="746"/>
        <v>0</v>
      </c>
      <c r="T1557" s="1475">
        <f t="shared" si="746"/>
        <v>0</v>
      </c>
      <c r="U1557" s="1475">
        <f t="shared" si="746"/>
        <v>0</v>
      </c>
      <c r="V1557" s="1475">
        <f t="shared" si="741"/>
        <v>0</v>
      </c>
    </row>
    <row r="1558" spans="1:22" s="39" customFormat="1" ht="24" customHeight="1">
      <c r="A1558" s="1860">
        <v>3</v>
      </c>
      <c r="B1558" s="1860"/>
      <c r="C1558" s="1860"/>
      <c r="D1558" s="1860"/>
      <c r="E1558" s="1839"/>
      <c r="F1558" s="1841"/>
      <c r="G1558" s="1828"/>
      <c r="H1558" s="1618"/>
      <c r="I1558" s="1792"/>
      <c r="J1558" s="40" t="s">
        <v>84</v>
      </c>
      <c r="K1558" s="91"/>
      <c r="L1558" s="364">
        <f>L1549-L1550</f>
        <v>0</v>
      </c>
      <c r="M1558" s="364">
        <f t="shared" ref="M1558:U1558" si="748">M1549-M1550</f>
        <v>0</v>
      </c>
      <c r="N1558" s="364">
        <f t="shared" si="748"/>
        <v>0</v>
      </c>
      <c r="O1558" s="364">
        <f t="shared" si="748"/>
        <v>2</v>
      </c>
      <c r="P1558" s="364">
        <f t="shared" si="748"/>
        <v>2</v>
      </c>
      <c r="Q1558" s="1475">
        <f t="shared" si="748"/>
        <v>0</v>
      </c>
      <c r="R1558" s="1475">
        <f t="shared" si="748"/>
        <v>0</v>
      </c>
      <c r="S1558" s="1475">
        <f t="shared" si="748"/>
        <v>0</v>
      </c>
      <c r="T1558" s="1475">
        <f t="shared" si="748"/>
        <v>38640</v>
      </c>
      <c r="U1558" s="1475">
        <f t="shared" si="748"/>
        <v>38640</v>
      </c>
      <c r="V1558" s="1475">
        <f t="shared" si="741"/>
        <v>77280</v>
      </c>
    </row>
    <row r="1559" spans="1:22" s="39" customFormat="1" ht="24" customHeight="1">
      <c r="A1559" s="1860">
        <v>3</v>
      </c>
      <c r="B1559" s="1860">
        <v>2</v>
      </c>
      <c r="C1559" s="1860">
        <v>2</v>
      </c>
      <c r="D1559" s="1860">
        <v>4</v>
      </c>
      <c r="E1559" s="1839" t="s">
        <v>15</v>
      </c>
      <c r="F1559" s="1841" t="str">
        <f>CONCATENATE(A1559,".",B1559,".",C1559,".",D1559,)</f>
        <v>3.2.2.4</v>
      </c>
      <c r="G1559" s="1864" t="s">
        <v>772</v>
      </c>
      <c r="H1559" s="1601" t="s">
        <v>195</v>
      </c>
      <c r="I1559" s="1790" t="s">
        <v>1124</v>
      </c>
      <c r="J1559" s="36" t="s">
        <v>79</v>
      </c>
      <c r="K1559" s="896"/>
      <c r="L1559" s="383">
        <v>0</v>
      </c>
      <c r="M1559" s="383">
        <v>0</v>
      </c>
      <c r="N1559" s="383">
        <v>14</v>
      </c>
      <c r="O1559" s="383">
        <v>0</v>
      </c>
      <c r="P1559" s="383">
        <v>0</v>
      </c>
      <c r="Q1559" s="1475">
        <f>L1559*$H$1564</f>
        <v>0</v>
      </c>
      <c r="R1559" s="1475">
        <f t="shared" ref="R1559:U1559" si="749">M1559*$H$1564</f>
        <v>0</v>
      </c>
      <c r="S1559" s="1475">
        <f t="shared" si="749"/>
        <v>28000</v>
      </c>
      <c r="T1559" s="1475">
        <f t="shared" si="749"/>
        <v>0</v>
      </c>
      <c r="U1559" s="1475">
        <f t="shared" si="749"/>
        <v>0</v>
      </c>
      <c r="V1559" s="1475">
        <f t="shared" si="741"/>
        <v>28000</v>
      </c>
    </row>
    <row r="1560" spans="1:22" s="39" customFormat="1" ht="24" customHeight="1">
      <c r="A1560" s="1860">
        <v>3</v>
      </c>
      <c r="B1560" s="1860"/>
      <c r="C1560" s="1860"/>
      <c r="D1560" s="1860"/>
      <c r="E1560" s="1839"/>
      <c r="F1560" s="1841"/>
      <c r="G1560" s="1865"/>
      <c r="H1560" s="1601"/>
      <c r="I1560" s="1791"/>
      <c r="J1560" s="40" t="s">
        <v>80</v>
      </c>
      <c r="K1560" s="91"/>
      <c r="L1560" s="364">
        <f t="shared" ref="L1560:P1560" si="750">SUM(L1561:L1567)</f>
        <v>0</v>
      </c>
      <c r="M1560" s="364">
        <f t="shared" si="750"/>
        <v>0</v>
      </c>
      <c r="N1560" s="364">
        <f t="shared" si="750"/>
        <v>0</v>
      </c>
      <c r="O1560" s="364">
        <f t="shared" si="750"/>
        <v>0</v>
      </c>
      <c r="P1560" s="364">
        <f t="shared" si="750"/>
        <v>0</v>
      </c>
      <c r="Q1560" s="1475">
        <f>SUM(Q1561:Q1567)</f>
        <v>0</v>
      </c>
      <c r="R1560" s="1475">
        <f t="shared" ref="R1560:U1560" si="751">SUM(R1561:R1567)</f>
        <v>0</v>
      </c>
      <c r="S1560" s="1475">
        <f t="shared" si="751"/>
        <v>0</v>
      </c>
      <c r="T1560" s="1475">
        <f t="shared" si="751"/>
        <v>0</v>
      </c>
      <c r="U1560" s="1475">
        <f t="shared" si="751"/>
        <v>0</v>
      </c>
      <c r="V1560" s="1475">
        <f t="shared" si="741"/>
        <v>0</v>
      </c>
    </row>
    <row r="1561" spans="1:22" s="39" customFormat="1" ht="24" customHeight="1">
      <c r="A1561" s="1860">
        <v>3</v>
      </c>
      <c r="B1561" s="1860"/>
      <c r="C1561" s="1860"/>
      <c r="D1561" s="1860"/>
      <c r="E1561" s="1839"/>
      <c r="F1561" s="1841"/>
      <c r="G1561" s="1865"/>
      <c r="H1561" s="1601"/>
      <c r="I1561" s="1791"/>
      <c r="J1561" s="40" t="s">
        <v>429</v>
      </c>
      <c r="K1561" s="91"/>
      <c r="L1561" s="364">
        <v>0</v>
      </c>
      <c r="M1561" s="364">
        <v>0</v>
      </c>
      <c r="N1561" s="364">
        <v>0</v>
      </c>
      <c r="O1561" s="364">
        <v>0</v>
      </c>
      <c r="P1561" s="364">
        <v>0</v>
      </c>
      <c r="Q1561" s="1475">
        <f t="shared" ref="Q1561:U1567" si="752">L1561*$H$1564</f>
        <v>0</v>
      </c>
      <c r="R1561" s="1475">
        <f t="shared" si="752"/>
        <v>0</v>
      </c>
      <c r="S1561" s="1475">
        <f t="shared" si="752"/>
        <v>0</v>
      </c>
      <c r="T1561" s="1475">
        <f t="shared" si="752"/>
        <v>0</v>
      </c>
      <c r="U1561" s="1475">
        <f t="shared" si="752"/>
        <v>0</v>
      </c>
      <c r="V1561" s="1475">
        <f t="shared" si="741"/>
        <v>0</v>
      </c>
    </row>
    <row r="1562" spans="1:22" s="39" customFormat="1" ht="24" customHeight="1">
      <c r="A1562" s="1860">
        <v>3</v>
      </c>
      <c r="B1562" s="1860"/>
      <c r="C1562" s="1860"/>
      <c r="D1562" s="1860"/>
      <c r="E1562" s="1839"/>
      <c r="F1562" s="1841"/>
      <c r="G1562" s="1865"/>
      <c r="H1562" s="1601"/>
      <c r="I1562" s="1791"/>
      <c r="J1562" s="40" t="s">
        <v>133</v>
      </c>
      <c r="K1562" s="91"/>
      <c r="L1562" s="364">
        <v>0</v>
      </c>
      <c r="M1562" s="364">
        <v>0</v>
      </c>
      <c r="N1562" s="364">
        <v>0</v>
      </c>
      <c r="O1562" s="364">
        <v>0</v>
      </c>
      <c r="P1562" s="364">
        <v>0</v>
      </c>
      <c r="Q1562" s="1475">
        <f t="shared" si="752"/>
        <v>0</v>
      </c>
      <c r="R1562" s="1475">
        <f t="shared" si="752"/>
        <v>0</v>
      </c>
      <c r="S1562" s="1475">
        <f t="shared" si="752"/>
        <v>0</v>
      </c>
      <c r="T1562" s="1475">
        <f t="shared" si="752"/>
        <v>0</v>
      </c>
      <c r="U1562" s="1475">
        <f t="shared" si="752"/>
        <v>0</v>
      </c>
      <c r="V1562" s="1475">
        <f t="shared" si="741"/>
        <v>0</v>
      </c>
    </row>
    <row r="1563" spans="1:22" s="39" customFormat="1" ht="24" customHeight="1">
      <c r="A1563" s="1860">
        <v>3</v>
      </c>
      <c r="B1563" s="1860"/>
      <c r="C1563" s="1860"/>
      <c r="D1563" s="1860"/>
      <c r="E1563" s="1839"/>
      <c r="F1563" s="1841"/>
      <c r="G1563" s="1865"/>
      <c r="H1563" s="1601"/>
      <c r="I1563" s="1791"/>
      <c r="J1563" s="40" t="s">
        <v>81</v>
      </c>
      <c r="K1563" s="91"/>
      <c r="L1563" s="364">
        <v>0</v>
      </c>
      <c r="M1563" s="364">
        <v>0</v>
      </c>
      <c r="N1563" s="364">
        <v>0</v>
      </c>
      <c r="O1563" s="364">
        <v>0</v>
      </c>
      <c r="P1563" s="364">
        <v>0</v>
      </c>
      <c r="Q1563" s="1475">
        <f t="shared" si="752"/>
        <v>0</v>
      </c>
      <c r="R1563" s="1475">
        <f t="shared" si="752"/>
        <v>0</v>
      </c>
      <c r="S1563" s="1475">
        <f t="shared" si="752"/>
        <v>0</v>
      </c>
      <c r="T1563" s="1475">
        <f t="shared" si="752"/>
        <v>0</v>
      </c>
      <c r="U1563" s="1475">
        <f t="shared" si="752"/>
        <v>0</v>
      </c>
      <c r="V1563" s="1475">
        <f t="shared" si="741"/>
        <v>0</v>
      </c>
    </row>
    <row r="1564" spans="1:22" s="39" customFormat="1" ht="24" customHeight="1">
      <c r="A1564" s="1860">
        <v>3</v>
      </c>
      <c r="B1564" s="1860"/>
      <c r="C1564" s="1860"/>
      <c r="D1564" s="1860"/>
      <c r="E1564" s="1839"/>
      <c r="F1564" s="1841"/>
      <c r="G1564" s="1865"/>
      <c r="H1564" s="1595">
        <f>'Budget assumption'!C4</f>
        <v>2000</v>
      </c>
      <c r="I1564" s="1791"/>
      <c r="J1564" s="40" t="s">
        <v>134</v>
      </c>
      <c r="K1564" s="91"/>
      <c r="L1564" s="364">
        <v>0</v>
      </c>
      <c r="M1564" s="364">
        <v>0</v>
      </c>
      <c r="N1564" s="364">
        <v>0</v>
      </c>
      <c r="O1564" s="364">
        <v>0</v>
      </c>
      <c r="P1564" s="364">
        <v>0</v>
      </c>
      <c r="Q1564" s="1475">
        <f t="shared" si="752"/>
        <v>0</v>
      </c>
      <c r="R1564" s="1475">
        <f t="shared" si="752"/>
        <v>0</v>
      </c>
      <c r="S1564" s="1475">
        <f t="shared" si="752"/>
        <v>0</v>
      </c>
      <c r="T1564" s="1475">
        <f t="shared" si="752"/>
        <v>0</v>
      </c>
      <c r="U1564" s="1475">
        <f t="shared" si="752"/>
        <v>0</v>
      </c>
      <c r="V1564" s="1475">
        <f t="shared" si="741"/>
        <v>0</v>
      </c>
    </row>
    <row r="1565" spans="1:22" s="39" customFormat="1" ht="24" customHeight="1">
      <c r="A1565" s="1860">
        <v>3</v>
      </c>
      <c r="B1565" s="1860"/>
      <c r="C1565" s="1860"/>
      <c r="D1565" s="1860"/>
      <c r="E1565" s="1839"/>
      <c r="F1565" s="1841"/>
      <c r="G1565" s="1865"/>
      <c r="H1565" s="1596">
        <f>810*0.05</f>
        <v>40.5</v>
      </c>
      <c r="I1565" s="1791"/>
      <c r="J1565" s="40" t="s">
        <v>82</v>
      </c>
      <c r="K1565" s="91"/>
      <c r="L1565" s="364">
        <v>0</v>
      </c>
      <c r="M1565" s="364">
        <v>0</v>
      </c>
      <c r="N1565" s="364">
        <v>0</v>
      </c>
      <c r="O1565" s="364">
        <v>0</v>
      </c>
      <c r="P1565" s="364">
        <v>0</v>
      </c>
      <c r="Q1565" s="1475">
        <f t="shared" si="752"/>
        <v>0</v>
      </c>
      <c r="R1565" s="1475">
        <f t="shared" si="752"/>
        <v>0</v>
      </c>
      <c r="S1565" s="1475">
        <f t="shared" si="752"/>
        <v>0</v>
      </c>
      <c r="T1565" s="1475">
        <f t="shared" si="752"/>
        <v>0</v>
      </c>
      <c r="U1565" s="1475">
        <f t="shared" si="752"/>
        <v>0</v>
      </c>
      <c r="V1565" s="1475">
        <f t="shared" si="741"/>
        <v>0</v>
      </c>
    </row>
    <row r="1566" spans="1:22" s="39" customFormat="1" ht="24" customHeight="1">
      <c r="A1566" s="1860">
        <v>3</v>
      </c>
      <c r="B1566" s="1860"/>
      <c r="C1566" s="1860"/>
      <c r="D1566" s="1860"/>
      <c r="E1566" s="1839"/>
      <c r="F1566" s="1841"/>
      <c r="G1566" s="1865"/>
      <c r="H1566" s="1596"/>
      <c r="I1566" s="1791"/>
      <c r="J1566" s="40" t="s">
        <v>90</v>
      </c>
      <c r="K1566" s="91"/>
      <c r="L1566" s="364">
        <v>0</v>
      </c>
      <c r="M1566" s="364">
        <v>0</v>
      </c>
      <c r="N1566" s="364">
        <v>0</v>
      </c>
      <c r="O1566" s="364">
        <v>0</v>
      </c>
      <c r="P1566" s="364">
        <v>0</v>
      </c>
      <c r="Q1566" s="1475">
        <f t="shared" si="752"/>
        <v>0</v>
      </c>
      <c r="R1566" s="1475">
        <f t="shared" si="752"/>
        <v>0</v>
      </c>
      <c r="S1566" s="1475">
        <f t="shared" si="752"/>
        <v>0</v>
      </c>
      <c r="T1566" s="1475">
        <f t="shared" si="752"/>
        <v>0</v>
      </c>
      <c r="U1566" s="1475">
        <f t="shared" si="752"/>
        <v>0</v>
      </c>
      <c r="V1566" s="1475">
        <f t="shared" si="741"/>
        <v>0</v>
      </c>
    </row>
    <row r="1567" spans="1:22" s="39" customFormat="1" ht="24" customHeight="1">
      <c r="A1567" s="1860">
        <v>3</v>
      </c>
      <c r="B1567" s="1860"/>
      <c r="C1567" s="1860"/>
      <c r="D1567" s="1860"/>
      <c r="E1567" s="1839"/>
      <c r="F1567" s="1841"/>
      <c r="G1567" s="1865"/>
      <c r="H1567" s="1596"/>
      <c r="I1567" s="1791"/>
      <c r="J1567" s="40" t="s">
        <v>83</v>
      </c>
      <c r="K1567" s="91"/>
      <c r="L1567" s="364">
        <v>0</v>
      </c>
      <c r="M1567" s="364">
        <v>0</v>
      </c>
      <c r="N1567" s="364">
        <v>0</v>
      </c>
      <c r="O1567" s="364">
        <v>0</v>
      </c>
      <c r="P1567" s="364">
        <v>0</v>
      </c>
      <c r="Q1567" s="1475">
        <f t="shared" si="752"/>
        <v>0</v>
      </c>
      <c r="R1567" s="1475">
        <f t="shared" si="752"/>
        <v>0</v>
      </c>
      <c r="S1567" s="1475">
        <f t="shared" si="752"/>
        <v>0</v>
      </c>
      <c r="T1567" s="1475">
        <f t="shared" si="752"/>
        <v>0</v>
      </c>
      <c r="U1567" s="1475">
        <f t="shared" si="752"/>
        <v>0</v>
      </c>
      <c r="V1567" s="1475">
        <f t="shared" si="741"/>
        <v>0</v>
      </c>
    </row>
    <row r="1568" spans="1:22" s="39" customFormat="1" ht="24" customHeight="1">
      <c r="A1568" s="1860">
        <v>3</v>
      </c>
      <c r="B1568" s="1860"/>
      <c r="C1568" s="1860"/>
      <c r="D1568" s="1860"/>
      <c r="E1568" s="1839"/>
      <c r="F1568" s="1841"/>
      <c r="G1568" s="1866"/>
      <c r="H1568" s="1618"/>
      <c r="I1568" s="1792"/>
      <c r="J1568" s="40" t="s">
        <v>84</v>
      </c>
      <c r="K1568" s="91"/>
      <c r="L1568" s="364">
        <f>L1559-L1560</f>
        <v>0</v>
      </c>
      <c r="M1568" s="364">
        <f t="shared" ref="M1568:U1568" si="753">M1559-M1560</f>
        <v>0</v>
      </c>
      <c r="N1568" s="364">
        <f t="shared" si="753"/>
        <v>14</v>
      </c>
      <c r="O1568" s="364">
        <f t="shared" si="753"/>
        <v>0</v>
      </c>
      <c r="P1568" s="364">
        <f t="shared" si="753"/>
        <v>0</v>
      </c>
      <c r="Q1568" s="1475">
        <f t="shared" si="753"/>
        <v>0</v>
      </c>
      <c r="R1568" s="1475">
        <f t="shared" si="753"/>
        <v>0</v>
      </c>
      <c r="S1568" s="1475">
        <f t="shared" si="753"/>
        <v>28000</v>
      </c>
      <c r="T1568" s="1475">
        <f t="shared" si="753"/>
        <v>0</v>
      </c>
      <c r="U1568" s="1475">
        <f t="shared" si="753"/>
        <v>0</v>
      </c>
      <c r="V1568" s="1475">
        <f t="shared" si="741"/>
        <v>28000</v>
      </c>
    </row>
    <row r="1569" spans="1:22" s="39" customFormat="1" ht="24" customHeight="1">
      <c r="A1569" s="1860">
        <v>3</v>
      </c>
      <c r="B1569" s="1860">
        <v>2</v>
      </c>
      <c r="C1569" s="1860">
        <v>2</v>
      </c>
      <c r="D1569" s="1860">
        <v>5</v>
      </c>
      <c r="E1569" s="1839" t="s">
        <v>15</v>
      </c>
      <c r="F1569" s="1841" t="str">
        <f>CONCATENATE(A1569,".",B1569,".",C1569,".",D1569,)</f>
        <v>3.2.2.5</v>
      </c>
      <c r="G1569" s="1864" t="s">
        <v>774</v>
      </c>
      <c r="H1569" s="1601" t="s">
        <v>717</v>
      </c>
      <c r="I1569" s="1790" t="s">
        <v>773</v>
      </c>
      <c r="J1569" s="36" t="s">
        <v>79</v>
      </c>
      <c r="K1569" s="896"/>
      <c r="L1569" s="383">
        <v>0</v>
      </c>
      <c r="M1569" s="383">
        <v>1</v>
      </c>
      <c r="N1569" s="383">
        <v>1</v>
      </c>
      <c r="O1569" s="383">
        <v>0</v>
      </c>
      <c r="P1569" s="383">
        <v>0</v>
      </c>
      <c r="Q1569" s="1475">
        <f>L1569*$H$1574</f>
        <v>0</v>
      </c>
      <c r="R1569" s="1475">
        <f>M1569*$H$1574</f>
        <v>12180</v>
      </c>
      <c r="S1569" s="1475">
        <f t="shared" ref="S1569:U1569" si="754">N1569*$H$1574</f>
        <v>12180</v>
      </c>
      <c r="T1569" s="1475">
        <f t="shared" si="754"/>
        <v>0</v>
      </c>
      <c r="U1569" s="1475">
        <f t="shared" si="754"/>
        <v>0</v>
      </c>
      <c r="V1569" s="1475">
        <f t="shared" si="741"/>
        <v>24360</v>
      </c>
    </row>
    <row r="1570" spans="1:22" s="39" customFormat="1" ht="24" customHeight="1">
      <c r="A1570" s="1860">
        <v>3</v>
      </c>
      <c r="B1570" s="1860"/>
      <c r="C1570" s="1860"/>
      <c r="D1570" s="1860"/>
      <c r="E1570" s="1839"/>
      <c r="F1570" s="1841"/>
      <c r="G1570" s="1865"/>
      <c r="H1570" s="1601"/>
      <c r="I1570" s="1791"/>
      <c r="J1570" s="40" t="s">
        <v>80</v>
      </c>
      <c r="K1570" s="91"/>
      <c r="L1570" s="364">
        <f t="shared" ref="L1570:P1570" si="755">SUM(L1571:L1577)</f>
        <v>0</v>
      </c>
      <c r="M1570" s="364">
        <f t="shared" si="755"/>
        <v>0</v>
      </c>
      <c r="N1570" s="364">
        <f t="shared" si="755"/>
        <v>0</v>
      </c>
      <c r="O1570" s="364">
        <f t="shared" si="755"/>
        <v>0</v>
      </c>
      <c r="P1570" s="364">
        <f t="shared" si="755"/>
        <v>0</v>
      </c>
      <c r="Q1570" s="1475">
        <f>SUM(Q1571:Q1577)</f>
        <v>0</v>
      </c>
      <c r="R1570" s="1475">
        <f t="shared" ref="R1570" si="756">SUM(R1571:R1577)</f>
        <v>0</v>
      </c>
      <c r="S1570" s="1475">
        <f t="shared" ref="S1570" si="757">SUM(S1571:S1577)</f>
        <v>0</v>
      </c>
      <c r="T1570" s="1475">
        <f t="shared" ref="T1570" si="758">SUM(T1571:T1577)</f>
        <v>0</v>
      </c>
      <c r="U1570" s="1475">
        <f t="shared" ref="U1570" si="759">SUM(U1571:U1577)</f>
        <v>0</v>
      </c>
      <c r="V1570" s="1475">
        <f t="shared" si="741"/>
        <v>0</v>
      </c>
    </row>
    <row r="1571" spans="1:22" s="39" customFormat="1" ht="24" customHeight="1">
      <c r="A1571" s="1860">
        <v>3</v>
      </c>
      <c r="B1571" s="1860"/>
      <c r="C1571" s="1860"/>
      <c r="D1571" s="1860"/>
      <c r="E1571" s="1839"/>
      <c r="F1571" s="1841"/>
      <c r="G1571" s="1865"/>
      <c r="H1571" s="1601"/>
      <c r="I1571" s="1791"/>
      <c r="J1571" s="40" t="s">
        <v>429</v>
      </c>
      <c r="K1571" s="91"/>
      <c r="L1571" s="364">
        <v>0</v>
      </c>
      <c r="M1571" s="364">
        <v>0</v>
      </c>
      <c r="N1571" s="364">
        <v>0</v>
      </c>
      <c r="O1571" s="364">
        <v>0</v>
      </c>
      <c r="P1571" s="364">
        <v>0</v>
      </c>
      <c r="Q1571" s="1475">
        <f>L1571*$H$1574</f>
        <v>0</v>
      </c>
      <c r="R1571" s="1475">
        <f t="shared" ref="R1571:U1577" si="760">M1571*$H$1574</f>
        <v>0</v>
      </c>
      <c r="S1571" s="1475">
        <f t="shared" si="760"/>
        <v>0</v>
      </c>
      <c r="T1571" s="1475">
        <f t="shared" si="760"/>
        <v>0</v>
      </c>
      <c r="U1571" s="1475">
        <f t="shared" si="760"/>
        <v>0</v>
      </c>
      <c r="V1571" s="1475">
        <f t="shared" si="741"/>
        <v>0</v>
      </c>
    </row>
    <row r="1572" spans="1:22" s="39" customFormat="1" ht="24" customHeight="1">
      <c r="A1572" s="1860">
        <v>3</v>
      </c>
      <c r="B1572" s="1860"/>
      <c r="C1572" s="1860"/>
      <c r="D1572" s="1860"/>
      <c r="E1572" s="1839"/>
      <c r="F1572" s="1841"/>
      <c r="G1572" s="1865"/>
      <c r="H1572" s="1601"/>
      <c r="I1572" s="1791"/>
      <c r="J1572" s="40" t="s">
        <v>133</v>
      </c>
      <c r="K1572" s="91"/>
      <c r="L1572" s="364">
        <v>0</v>
      </c>
      <c r="M1572" s="364">
        <v>0</v>
      </c>
      <c r="N1572" s="364">
        <v>0</v>
      </c>
      <c r="O1572" s="364">
        <v>0</v>
      </c>
      <c r="P1572" s="364">
        <v>0</v>
      </c>
      <c r="Q1572" s="1475">
        <f t="shared" ref="Q1572:Q1577" si="761">L1572*$H$1574</f>
        <v>0</v>
      </c>
      <c r="R1572" s="1475">
        <f t="shared" si="760"/>
        <v>0</v>
      </c>
      <c r="S1572" s="1475">
        <f t="shared" si="760"/>
        <v>0</v>
      </c>
      <c r="T1572" s="1475">
        <f t="shared" si="760"/>
        <v>0</v>
      </c>
      <c r="U1572" s="1475">
        <f t="shared" si="760"/>
        <v>0</v>
      </c>
      <c r="V1572" s="1475">
        <f t="shared" si="741"/>
        <v>0</v>
      </c>
    </row>
    <row r="1573" spans="1:22" s="39" customFormat="1" ht="24" customHeight="1">
      <c r="A1573" s="1860">
        <v>3</v>
      </c>
      <c r="B1573" s="1860"/>
      <c r="C1573" s="1860"/>
      <c r="D1573" s="1860"/>
      <c r="E1573" s="1839"/>
      <c r="F1573" s="1841"/>
      <c r="G1573" s="1865"/>
      <c r="H1573" s="1601"/>
      <c r="I1573" s="1791"/>
      <c r="J1573" s="40" t="s">
        <v>81</v>
      </c>
      <c r="K1573" s="91"/>
      <c r="L1573" s="364">
        <v>0</v>
      </c>
      <c r="M1573" s="364">
        <v>0</v>
      </c>
      <c r="N1573" s="364">
        <v>0</v>
      </c>
      <c r="O1573" s="364">
        <v>0</v>
      </c>
      <c r="P1573" s="364">
        <v>0</v>
      </c>
      <c r="Q1573" s="1475">
        <f t="shared" si="761"/>
        <v>0</v>
      </c>
      <c r="R1573" s="1475">
        <f t="shared" si="760"/>
        <v>0</v>
      </c>
      <c r="S1573" s="1475">
        <f t="shared" si="760"/>
        <v>0</v>
      </c>
      <c r="T1573" s="1475">
        <f t="shared" si="760"/>
        <v>0</v>
      </c>
      <c r="U1573" s="1475">
        <f t="shared" si="760"/>
        <v>0</v>
      </c>
      <c r="V1573" s="1475">
        <f t="shared" si="741"/>
        <v>0</v>
      </c>
    </row>
    <row r="1574" spans="1:22" s="39" customFormat="1" ht="24" customHeight="1">
      <c r="A1574" s="1860">
        <v>3</v>
      </c>
      <c r="B1574" s="1860"/>
      <c r="C1574" s="1860"/>
      <c r="D1574" s="1860"/>
      <c r="E1574" s="1839"/>
      <c r="F1574" s="1841"/>
      <c r="G1574" s="1865"/>
      <c r="H1574" s="1595">
        <f>'Budget assumption'!G15</f>
        <v>12180</v>
      </c>
      <c r="I1574" s="1791"/>
      <c r="J1574" s="40" t="s">
        <v>134</v>
      </c>
      <c r="K1574" s="91"/>
      <c r="L1574" s="364">
        <v>0</v>
      </c>
      <c r="M1574" s="364">
        <v>0</v>
      </c>
      <c r="N1574" s="364">
        <v>0</v>
      </c>
      <c r="O1574" s="364">
        <v>0</v>
      </c>
      <c r="P1574" s="364">
        <v>0</v>
      </c>
      <c r="Q1574" s="1475">
        <f t="shared" si="761"/>
        <v>0</v>
      </c>
      <c r="R1574" s="1475">
        <f t="shared" si="760"/>
        <v>0</v>
      </c>
      <c r="S1574" s="1475">
        <f t="shared" si="760"/>
        <v>0</v>
      </c>
      <c r="T1574" s="1475">
        <f t="shared" si="760"/>
        <v>0</v>
      </c>
      <c r="U1574" s="1475">
        <f t="shared" si="760"/>
        <v>0</v>
      </c>
      <c r="V1574" s="1475">
        <f t="shared" si="741"/>
        <v>0</v>
      </c>
    </row>
    <row r="1575" spans="1:22" s="39" customFormat="1" ht="24" customHeight="1">
      <c r="A1575" s="1860">
        <v>3</v>
      </c>
      <c r="B1575" s="1860"/>
      <c r="C1575" s="1860"/>
      <c r="D1575" s="1860"/>
      <c r="E1575" s="1839"/>
      <c r="F1575" s="1841"/>
      <c r="G1575" s="1865"/>
      <c r="H1575" s="1596">
        <f>810*0.05</f>
        <v>40.5</v>
      </c>
      <c r="I1575" s="1791"/>
      <c r="J1575" s="40" t="s">
        <v>82</v>
      </c>
      <c r="K1575" s="91"/>
      <c r="L1575" s="364">
        <v>0</v>
      </c>
      <c r="M1575" s="364">
        <v>0</v>
      </c>
      <c r="N1575" s="364">
        <v>0</v>
      </c>
      <c r="O1575" s="364">
        <v>0</v>
      </c>
      <c r="P1575" s="364">
        <v>0</v>
      </c>
      <c r="Q1575" s="1475">
        <f t="shared" si="761"/>
        <v>0</v>
      </c>
      <c r="R1575" s="1475">
        <f t="shared" si="760"/>
        <v>0</v>
      </c>
      <c r="S1575" s="1475">
        <f t="shared" si="760"/>
        <v>0</v>
      </c>
      <c r="T1575" s="1475">
        <f t="shared" si="760"/>
        <v>0</v>
      </c>
      <c r="U1575" s="1475">
        <f t="shared" si="760"/>
        <v>0</v>
      </c>
      <c r="V1575" s="1475">
        <f t="shared" si="741"/>
        <v>0</v>
      </c>
    </row>
    <row r="1576" spans="1:22" s="39" customFormat="1" ht="24" customHeight="1">
      <c r="A1576" s="1860">
        <v>3</v>
      </c>
      <c r="B1576" s="1860"/>
      <c r="C1576" s="1860"/>
      <c r="D1576" s="1860"/>
      <c r="E1576" s="1839"/>
      <c r="F1576" s="1841"/>
      <c r="G1576" s="1865"/>
      <c r="H1576" s="1596"/>
      <c r="I1576" s="1791"/>
      <c r="J1576" s="40" t="s">
        <v>90</v>
      </c>
      <c r="K1576" s="91"/>
      <c r="L1576" s="364">
        <v>0</v>
      </c>
      <c r="M1576" s="364">
        <v>0</v>
      </c>
      <c r="N1576" s="364">
        <v>0</v>
      </c>
      <c r="O1576" s="364">
        <v>0</v>
      </c>
      <c r="P1576" s="364">
        <v>0</v>
      </c>
      <c r="Q1576" s="1475">
        <f t="shared" si="761"/>
        <v>0</v>
      </c>
      <c r="R1576" s="1475">
        <f t="shared" si="760"/>
        <v>0</v>
      </c>
      <c r="S1576" s="1475">
        <f t="shared" si="760"/>
        <v>0</v>
      </c>
      <c r="T1576" s="1475">
        <f t="shared" si="760"/>
        <v>0</v>
      </c>
      <c r="U1576" s="1475">
        <f t="shared" si="760"/>
        <v>0</v>
      </c>
      <c r="V1576" s="1475">
        <f t="shared" si="741"/>
        <v>0</v>
      </c>
    </row>
    <row r="1577" spans="1:22" s="39" customFormat="1" ht="24" customHeight="1">
      <c r="A1577" s="1860">
        <v>3</v>
      </c>
      <c r="B1577" s="1860"/>
      <c r="C1577" s="1860"/>
      <c r="D1577" s="1860"/>
      <c r="E1577" s="1839"/>
      <c r="F1577" s="1841"/>
      <c r="G1577" s="1865"/>
      <c r="H1577" s="1596"/>
      <c r="I1577" s="1791"/>
      <c r="J1577" s="40" t="s">
        <v>83</v>
      </c>
      <c r="K1577" s="91"/>
      <c r="L1577" s="364">
        <v>0</v>
      </c>
      <c r="M1577" s="364">
        <v>0</v>
      </c>
      <c r="N1577" s="364">
        <v>0</v>
      </c>
      <c r="O1577" s="364">
        <v>0</v>
      </c>
      <c r="P1577" s="364">
        <v>0</v>
      </c>
      <c r="Q1577" s="1475">
        <f t="shared" si="761"/>
        <v>0</v>
      </c>
      <c r="R1577" s="1475">
        <f t="shared" si="760"/>
        <v>0</v>
      </c>
      <c r="S1577" s="1475">
        <f t="shared" si="760"/>
        <v>0</v>
      </c>
      <c r="T1577" s="1475">
        <f t="shared" si="760"/>
        <v>0</v>
      </c>
      <c r="U1577" s="1475">
        <f t="shared" si="760"/>
        <v>0</v>
      </c>
      <c r="V1577" s="1475">
        <f t="shared" si="741"/>
        <v>0</v>
      </c>
    </row>
    <row r="1578" spans="1:22" s="39" customFormat="1" ht="24" customHeight="1">
      <c r="A1578" s="1860">
        <v>3</v>
      </c>
      <c r="B1578" s="1860"/>
      <c r="C1578" s="1860"/>
      <c r="D1578" s="1860"/>
      <c r="E1578" s="1839"/>
      <c r="F1578" s="1841"/>
      <c r="G1578" s="1866"/>
      <c r="H1578" s="1618"/>
      <c r="I1578" s="1792"/>
      <c r="J1578" s="40" t="s">
        <v>84</v>
      </c>
      <c r="K1578" s="91"/>
      <c r="L1578" s="364">
        <f>L1569-L1570</f>
        <v>0</v>
      </c>
      <c r="M1578" s="364">
        <f t="shared" ref="M1578:U1578" si="762">M1569-M1570</f>
        <v>1</v>
      </c>
      <c r="N1578" s="364">
        <f t="shared" si="762"/>
        <v>1</v>
      </c>
      <c r="O1578" s="364">
        <f t="shared" si="762"/>
        <v>0</v>
      </c>
      <c r="P1578" s="364">
        <f t="shared" si="762"/>
        <v>0</v>
      </c>
      <c r="Q1578" s="1475">
        <f t="shared" si="762"/>
        <v>0</v>
      </c>
      <c r="R1578" s="1475">
        <f t="shared" si="762"/>
        <v>12180</v>
      </c>
      <c r="S1578" s="1475">
        <f t="shared" si="762"/>
        <v>12180</v>
      </c>
      <c r="T1578" s="1475">
        <f t="shared" si="762"/>
        <v>0</v>
      </c>
      <c r="U1578" s="1475">
        <f t="shared" si="762"/>
        <v>0</v>
      </c>
      <c r="V1578" s="1475">
        <f t="shared" si="741"/>
        <v>24360</v>
      </c>
    </row>
    <row r="1579" spans="1:22" s="39" customFormat="1" ht="24" customHeight="1">
      <c r="A1579" s="1860">
        <v>3</v>
      </c>
      <c r="B1579" s="1860">
        <v>2</v>
      </c>
      <c r="C1579" s="1860">
        <v>2</v>
      </c>
      <c r="D1579" s="1860">
        <v>6</v>
      </c>
      <c r="E1579" s="1839" t="s">
        <v>15</v>
      </c>
      <c r="F1579" s="1844" t="str">
        <f>CONCATENATE(A1579,".",B1579,".",C1579,".",D1579,)</f>
        <v>3.2.2.6</v>
      </c>
      <c r="G1579" s="1826" t="s">
        <v>779</v>
      </c>
      <c r="H1579" s="1601" t="s">
        <v>216</v>
      </c>
      <c r="I1579" s="1790" t="s">
        <v>1093</v>
      </c>
      <c r="J1579" s="36" t="s">
        <v>79</v>
      </c>
      <c r="K1579" s="896"/>
      <c r="L1579" s="383">
        <v>20</v>
      </c>
      <c r="M1579" s="383">
        <v>20</v>
      </c>
      <c r="N1579" s="383">
        <v>20</v>
      </c>
      <c r="O1579" s="383">
        <v>20</v>
      </c>
      <c r="P1579" s="383">
        <v>20</v>
      </c>
      <c r="Q1579" s="1475">
        <f>L1579*H1584</f>
        <v>8700</v>
      </c>
      <c r="R1579" s="1475">
        <f>M1579*H1584</f>
        <v>8700</v>
      </c>
      <c r="S1579" s="1475">
        <f>N1579*H1584</f>
        <v>8700</v>
      </c>
      <c r="T1579" s="1475">
        <f>O1579*H1584</f>
        <v>8700</v>
      </c>
      <c r="U1579" s="1475">
        <f>P1579*H1584</f>
        <v>8700</v>
      </c>
      <c r="V1579" s="1475">
        <f t="shared" si="741"/>
        <v>43500</v>
      </c>
    </row>
    <row r="1580" spans="1:22" s="39" customFormat="1" ht="24" customHeight="1">
      <c r="A1580" s="1860">
        <v>3</v>
      </c>
      <c r="B1580" s="1860"/>
      <c r="C1580" s="1860"/>
      <c r="D1580" s="1860"/>
      <c r="E1580" s="1839"/>
      <c r="F1580" s="1844"/>
      <c r="G1580" s="1827"/>
      <c r="H1580" s="1601"/>
      <c r="I1580" s="1791"/>
      <c r="J1580" s="40" t="s">
        <v>80</v>
      </c>
      <c r="K1580" s="91"/>
      <c r="L1580" s="364">
        <f t="shared" ref="L1580:U1580" si="763">SUM(L1581:L1587)</f>
        <v>20</v>
      </c>
      <c r="M1580" s="364">
        <f t="shared" si="763"/>
        <v>20</v>
      </c>
      <c r="N1580" s="364">
        <f t="shared" si="763"/>
        <v>20</v>
      </c>
      <c r="O1580" s="364">
        <f t="shared" si="763"/>
        <v>20</v>
      </c>
      <c r="P1580" s="364">
        <f t="shared" si="763"/>
        <v>20</v>
      </c>
      <c r="Q1580" s="1475">
        <f t="shared" si="763"/>
        <v>8700</v>
      </c>
      <c r="R1580" s="1475">
        <f t="shared" si="763"/>
        <v>8700</v>
      </c>
      <c r="S1580" s="1475">
        <f t="shared" si="763"/>
        <v>8700</v>
      </c>
      <c r="T1580" s="1475">
        <f t="shared" si="763"/>
        <v>8700</v>
      </c>
      <c r="U1580" s="1475">
        <f t="shared" si="763"/>
        <v>8700</v>
      </c>
      <c r="V1580" s="1475">
        <f t="shared" si="741"/>
        <v>43500</v>
      </c>
    </row>
    <row r="1581" spans="1:22" s="39" customFormat="1" ht="24" customHeight="1">
      <c r="A1581" s="1860">
        <v>3</v>
      </c>
      <c r="B1581" s="1860"/>
      <c r="C1581" s="1860"/>
      <c r="D1581" s="1860"/>
      <c r="E1581" s="1839"/>
      <c r="F1581" s="1844"/>
      <c r="G1581" s="1827"/>
      <c r="H1581" s="1601"/>
      <c r="I1581" s="1791"/>
      <c r="J1581" s="40" t="s">
        <v>429</v>
      </c>
      <c r="K1581" s="91"/>
      <c r="L1581" s="364">
        <v>0</v>
      </c>
      <c r="M1581" s="364">
        <v>0</v>
      </c>
      <c r="N1581" s="364">
        <v>0</v>
      </c>
      <c r="O1581" s="364">
        <v>0</v>
      </c>
      <c r="P1581" s="364">
        <v>0</v>
      </c>
      <c r="Q1581" s="1475">
        <f>L1581*$H1584</f>
        <v>0</v>
      </c>
      <c r="R1581" s="1475">
        <f>M1581*$H1584</f>
        <v>0</v>
      </c>
      <c r="S1581" s="1475">
        <f>N1581*$H1584</f>
        <v>0</v>
      </c>
      <c r="T1581" s="1475">
        <f>O1581*$H1584</f>
        <v>0</v>
      </c>
      <c r="U1581" s="1475">
        <f>P1581*$H1584</f>
        <v>0</v>
      </c>
      <c r="V1581" s="1475">
        <f t="shared" si="741"/>
        <v>0</v>
      </c>
    </row>
    <row r="1582" spans="1:22" s="39" customFormat="1" ht="24" customHeight="1">
      <c r="A1582" s="1860">
        <v>3</v>
      </c>
      <c r="B1582" s="1860"/>
      <c r="C1582" s="1860"/>
      <c r="D1582" s="1860"/>
      <c r="E1582" s="1839"/>
      <c r="F1582" s="1844"/>
      <c r="G1582" s="1827"/>
      <c r="H1582" s="1601"/>
      <c r="I1582" s="1791"/>
      <c r="J1582" s="40" t="s">
        <v>133</v>
      </c>
      <c r="K1582" s="91"/>
      <c r="L1582" s="364">
        <v>0</v>
      </c>
      <c r="M1582" s="364">
        <v>0</v>
      </c>
      <c r="N1582" s="364">
        <v>0</v>
      </c>
      <c r="O1582" s="364">
        <v>5</v>
      </c>
      <c r="P1582" s="364">
        <v>5</v>
      </c>
      <c r="Q1582" s="1475">
        <f>L1582*$H1584</f>
        <v>0</v>
      </c>
      <c r="R1582" s="1475">
        <f>M1582*$H1584</f>
        <v>0</v>
      </c>
      <c r="S1582" s="1475">
        <f>N1582*$H1584</f>
        <v>0</v>
      </c>
      <c r="T1582" s="1475">
        <f>O1582*$H1584</f>
        <v>2175</v>
      </c>
      <c r="U1582" s="1475">
        <f>P1582*$H1584</f>
        <v>2175</v>
      </c>
      <c r="V1582" s="1475">
        <f t="shared" si="741"/>
        <v>4350</v>
      </c>
    </row>
    <row r="1583" spans="1:22" s="39" customFormat="1" ht="24" customHeight="1">
      <c r="A1583" s="1860">
        <v>3</v>
      </c>
      <c r="B1583" s="1860"/>
      <c r="C1583" s="1860"/>
      <c r="D1583" s="1860"/>
      <c r="E1583" s="1839"/>
      <c r="F1583" s="1844"/>
      <c r="G1583" s="1827"/>
      <c r="H1583" s="1601"/>
      <c r="I1583" s="1791"/>
      <c r="J1583" s="40" t="s">
        <v>81</v>
      </c>
      <c r="K1583" s="91"/>
      <c r="L1583" s="364">
        <v>0</v>
      </c>
      <c r="M1583" s="364">
        <v>0</v>
      </c>
      <c r="N1583" s="364">
        <v>0</v>
      </c>
      <c r="O1583" s="364">
        <v>0</v>
      </c>
      <c r="P1583" s="364">
        <v>0</v>
      </c>
      <c r="Q1583" s="1475">
        <f>L1583*$H1584</f>
        <v>0</v>
      </c>
      <c r="R1583" s="1475">
        <f>M1583*$H1584</f>
        <v>0</v>
      </c>
      <c r="S1583" s="1475">
        <f>N1583*$H1584</f>
        <v>0</v>
      </c>
      <c r="T1583" s="1475">
        <f>O1583*$H1584</f>
        <v>0</v>
      </c>
      <c r="U1583" s="1475">
        <f>P1583*$H1584</f>
        <v>0</v>
      </c>
      <c r="V1583" s="1475">
        <f t="shared" si="741"/>
        <v>0</v>
      </c>
    </row>
    <row r="1584" spans="1:22" s="39" customFormat="1" ht="24" customHeight="1">
      <c r="A1584" s="1860">
        <v>3</v>
      </c>
      <c r="B1584" s="1860"/>
      <c r="C1584" s="1860"/>
      <c r="D1584" s="1860"/>
      <c r="E1584" s="1839"/>
      <c r="F1584" s="1844"/>
      <c r="G1584" s="1827"/>
      <c r="H1584" s="1595">
        <v>435</v>
      </c>
      <c r="I1584" s="1791"/>
      <c r="J1584" s="40" t="s">
        <v>134</v>
      </c>
      <c r="K1584" s="91"/>
      <c r="L1584" s="364">
        <v>0</v>
      </c>
      <c r="M1584" s="364">
        <v>0</v>
      </c>
      <c r="N1584" s="364">
        <v>0</v>
      </c>
      <c r="O1584" s="364">
        <v>15</v>
      </c>
      <c r="P1584" s="364">
        <v>15</v>
      </c>
      <c r="Q1584" s="1475">
        <f>L1584*$H1584</f>
        <v>0</v>
      </c>
      <c r="R1584" s="1475">
        <f>M1584*$H1584</f>
        <v>0</v>
      </c>
      <c r="S1584" s="1475">
        <f>N1584*$H1584</f>
        <v>0</v>
      </c>
      <c r="T1584" s="1475">
        <f>O1584*$H1584</f>
        <v>6525</v>
      </c>
      <c r="U1584" s="1475">
        <f>P1584*$H1584</f>
        <v>6525</v>
      </c>
      <c r="V1584" s="1475">
        <f t="shared" si="741"/>
        <v>13050</v>
      </c>
    </row>
    <row r="1585" spans="1:22" s="39" customFormat="1" ht="24" customHeight="1">
      <c r="A1585" s="1860">
        <v>3</v>
      </c>
      <c r="B1585" s="1860"/>
      <c r="C1585" s="1860"/>
      <c r="D1585" s="1860"/>
      <c r="E1585" s="1839"/>
      <c r="F1585" s="1844"/>
      <c r="G1585" s="1827"/>
      <c r="H1585" s="1596">
        <f>810*0.05</f>
        <v>40.5</v>
      </c>
      <c r="I1585" s="1791"/>
      <c r="J1585" s="40" t="s">
        <v>82</v>
      </c>
      <c r="K1585" s="91"/>
      <c r="L1585" s="364">
        <v>15</v>
      </c>
      <c r="M1585" s="364">
        <v>15</v>
      </c>
      <c r="N1585" s="364">
        <v>15</v>
      </c>
      <c r="O1585" s="364">
        <v>0</v>
      </c>
      <c r="P1585" s="364">
        <v>0</v>
      </c>
      <c r="Q1585" s="1475">
        <f>L1585*$H1584</f>
        <v>6525</v>
      </c>
      <c r="R1585" s="1475">
        <f>M1585*$H1584</f>
        <v>6525</v>
      </c>
      <c r="S1585" s="1475">
        <f>N1585*$H1584</f>
        <v>6525</v>
      </c>
      <c r="T1585" s="1475">
        <f>O1585*$H1584</f>
        <v>0</v>
      </c>
      <c r="U1585" s="1475">
        <f>P1585*$H1584</f>
        <v>0</v>
      </c>
      <c r="V1585" s="1475">
        <f t="shared" si="741"/>
        <v>19575</v>
      </c>
    </row>
    <row r="1586" spans="1:22" s="39" customFormat="1" ht="24" customHeight="1">
      <c r="A1586" s="1860">
        <v>3</v>
      </c>
      <c r="B1586" s="1860"/>
      <c r="C1586" s="1860"/>
      <c r="D1586" s="1860"/>
      <c r="E1586" s="1839"/>
      <c r="F1586" s="1844"/>
      <c r="G1586" s="1827"/>
      <c r="H1586" s="1596"/>
      <c r="I1586" s="1791"/>
      <c r="J1586" s="40" t="s">
        <v>90</v>
      </c>
      <c r="K1586" s="91"/>
      <c r="L1586" s="364">
        <v>5</v>
      </c>
      <c r="M1586" s="364">
        <v>5</v>
      </c>
      <c r="N1586" s="364">
        <v>5</v>
      </c>
      <c r="O1586" s="364">
        <v>0</v>
      </c>
      <c r="P1586" s="364">
        <v>0</v>
      </c>
      <c r="Q1586" s="1475">
        <f>L1586*$H1584</f>
        <v>2175</v>
      </c>
      <c r="R1586" s="1475">
        <f>M1586*$H1584</f>
        <v>2175</v>
      </c>
      <c r="S1586" s="1475">
        <f>N1586*$H1584</f>
        <v>2175</v>
      </c>
      <c r="T1586" s="1475">
        <f>O1586*$H1584</f>
        <v>0</v>
      </c>
      <c r="U1586" s="1475">
        <f>P1586*$H1584</f>
        <v>0</v>
      </c>
      <c r="V1586" s="1475">
        <f t="shared" si="741"/>
        <v>6525</v>
      </c>
    </row>
    <row r="1587" spans="1:22" s="39" customFormat="1" ht="24" customHeight="1">
      <c r="A1587" s="1860">
        <v>3</v>
      </c>
      <c r="B1587" s="1860"/>
      <c r="C1587" s="1860"/>
      <c r="D1587" s="1860"/>
      <c r="E1587" s="1839"/>
      <c r="F1587" s="1844"/>
      <c r="G1587" s="1827"/>
      <c r="H1587" s="1596"/>
      <c r="I1587" s="1791"/>
      <c r="J1587" s="40" t="s">
        <v>83</v>
      </c>
      <c r="K1587" s="91"/>
      <c r="L1587" s="364">
        <v>0</v>
      </c>
      <c r="M1587" s="364">
        <v>0</v>
      </c>
      <c r="N1587" s="364">
        <v>0</v>
      </c>
      <c r="O1587" s="364">
        <v>0</v>
      </c>
      <c r="P1587" s="364">
        <v>0</v>
      </c>
      <c r="Q1587" s="1475">
        <f>L1587*$H1584</f>
        <v>0</v>
      </c>
      <c r="R1587" s="1475">
        <f>M1587*$H1584</f>
        <v>0</v>
      </c>
      <c r="S1587" s="1475">
        <f>N1587*$H1584</f>
        <v>0</v>
      </c>
      <c r="T1587" s="1475">
        <f>O1587*$H1584</f>
        <v>0</v>
      </c>
      <c r="U1587" s="1475">
        <f>P1587*$H1584</f>
        <v>0</v>
      </c>
      <c r="V1587" s="1475">
        <f t="shared" si="741"/>
        <v>0</v>
      </c>
    </row>
    <row r="1588" spans="1:22" s="39" customFormat="1" ht="24" customHeight="1">
      <c r="A1588" s="1860">
        <v>3</v>
      </c>
      <c r="B1588" s="1860"/>
      <c r="C1588" s="1860"/>
      <c r="D1588" s="1860"/>
      <c r="E1588" s="1839"/>
      <c r="F1588" s="1844"/>
      <c r="G1588" s="1828"/>
      <c r="H1588" s="1618"/>
      <c r="I1588" s="1792"/>
      <c r="J1588" s="40" t="s">
        <v>84</v>
      </c>
      <c r="K1588" s="91"/>
      <c r="L1588" s="364">
        <f>L1579-L1580</f>
        <v>0</v>
      </c>
      <c r="M1588" s="364">
        <f t="shared" ref="M1588:U1588" si="764">M1579-M1580</f>
        <v>0</v>
      </c>
      <c r="N1588" s="364">
        <f t="shared" si="764"/>
        <v>0</v>
      </c>
      <c r="O1588" s="364">
        <f t="shared" si="764"/>
        <v>0</v>
      </c>
      <c r="P1588" s="364">
        <f t="shared" si="764"/>
        <v>0</v>
      </c>
      <c r="Q1588" s="1475">
        <f t="shared" si="764"/>
        <v>0</v>
      </c>
      <c r="R1588" s="1475">
        <f t="shared" si="764"/>
        <v>0</v>
      </c>
      <c r="S1588" s="1475">
        <f t="shared" si="764"/>
        <v>0</v>
      </c>
      <c r="T1588" s="1475">
        <f t="shared" si="764"/>
        <v>0</v>
      </c>
      <c r="U1588" s="1475">
        <f t="shared" si="764"/>
        <v>0</v>
      </c>
      <c r="V1588" s="1475">
        <f t="shared" si="741"/>
        <v>0</v>
      </c>
    </row>
    <row r="1589" spans="1:22" s="39" customFormat="1" ht="24" customHeight="1">
      <c r="A1589" s="1860">
        <v>3</v>
      </c>
      <c r="B1589" s="1860">
        <v>2</v>
      </c>
      <c r="C1589" s="1860">
        <v>2</v>
      </c>
      <c r="D1589" s="1860">
        <v>7</v>
      </c>
      <c r="E1589" s="1839" t="s">
        <v>15</v>
      </c>
      <c r="F1589" s="1841" t="str">
        <f>CONCATENATE(A1589,".",B1589,".",C1589,".",D1589,)</f>
        <v>3.2.2.7</v>
      </c>
      <c r="G1589" s="1826" t="s">
        <v>150</v>
      </c>
      <c r="H1589" s="1601" t="s">
        <v>144</v>
      </c>
      <c r="I1589" s="1614" t="s">
        <v>672</v>
      </c>
      <c r="J1589" s="36" t="s">
        <v>79</v>
      </c>
      <c r="K1589" s="896"/>
      <c r="L1589" s="383">
        <v>1</v>
      </c>
      <c r="M1589" s="383">
        <v>1</v>
      </c>
      <c r="N1589" s="383">
        <v>1</v>
      </c>
      <c r="O1589" s="383">
        <v>1</v>
      </c>
      <c r="P1589" s="383">
        <v>1</v>
      </c>
      <c r="Q1589" s="1475">
        <f>L1589*H1594</f>
        <v>110811.68000000001</v>
      </c>
      <c r="R1589" s="1475">
        <f>M1589*H1594</f>
        <v>110811.68000000001</v>
      </c>
      <c r="S1589" s="1475">
        <f>N1589*H1594</f>
        <v>110811.68000000001</v>
      </c>
      <c r="T1589" s="1475">
        <f>O1589*H1594</f>
        <v>110811.68000000001</v>
      </c>
      <c r="U1589" s="1475">
        <f>P1589*H1594</f>
        <v>110811.68000000001</v>
      </c>
      <c r="V1589" s="1475">
        <f t="shared" si="741"/>
        <v>554058.4</v>
      </c>
    </row>
    <row r="1590" spans="1:22" s="39" customFormat="1" ht="24" customHeight="1">
      <c r="A1590" s="1860">
        <v>3</v>
      </c>
      <c r="B1590" s="1860"/>
      <c r="C1590" s="1860"/>
      <c r="D1590" s="1860"/>
      <c r="E1590" s="1839"/>
      <c r="F1590" s="1841"/>
      <c r="G1590" s="1827"/>
      <c r="H1590" s="1601"/>
      <c r="I1590" s="1615"/>
      <c r="J1590" s="40" t="s">
        <v>80</v>
      </c>
      <c r="K1590" s="91"/>
      <c r="L1590" s="364">
        <f t="shared" ref="L1590:U1590" si="765">SUM(L1591:L1597)</f>
        <v>1</v>
      </c>
      <c r="M1590" s="364">
        <f t="shared" si="765"/>
        <v>1</v>
      </c>
      <c r="N1590" s="364">
        <f t="shared" si="765"/>
        <v>1</v>
      </c>
      <c r="O1590" s="364">
        <f t="shared" si="765"/>
        <v>0</v>
      </c>
      <c r="P1590" s="364">
        <f t="shared" si="765"/>
        <v>0</v>
      </c>
      <c r="Q1590" s="1475">
        <f t="shared" si="765"/>
        <v>110811.68000000001</v>
      </c>
      <c r="R1590" s="1475">
        <f t="shared" si="765"/>
        <v>110811.68000000001</v>
      </c>
      <c r="S1590" s="1475">
        <f t="shared" si="765"/>
        <v>110811.68000000001</v>
      </c>
      <c r="T1590" s="1475">
        <f t="shared" si="765"/>
        <v>0</v>
      </c>
      <c r="U1590" s="1475">
        <f t="shared" si="765"/>
        <v>0</v>
      </c>
      <c r="V1590" s="1475">
        <f t="shared" si="741"/>
        <v>332435.04000000004</v>
      </c>
    </row>
    <row r="1591" spans="1:22" s="39" customFormat="1" ht="24" customHeight="1">
      <c r="A1591" s="1860">
        <v>3</v>
      </c>
      <c r="B1591" s="1860"/>
      <c r="C1591" s="1860"/>
      <c r="D1591" s="1860"/>
      <c r="E1591" s="1839"/>
      <c r="F1591" s="1841"/>
      <c r="G1591" s="1827"/>
      <c r="H1591" s="1601"/>
      <c r="I1591" s="1615"/>
      <c r="J1591" s="40" t="s">
        <v>429</v>
      </c>
      <c r="K1591" s="91"/>
      <c r="L1591" s="364">
        <v>0</v>
      </c>
      <c r="M1591" s="364">
        <v>0</v>
      </c>
      <c r="N1591" s="364">
        <v>0</v>
      </c>
      <c r="O1591" s="364">
        <v>0</v>
      </c>
      <c r="P1591" s="364">
        <v>0</v>
      </c>
      <c r="Q1591" s="1475">
        <f>L1591*$H1594</f>
        <v>0</v>
      </c>
      <c r="R1591" s="1475">
        <f>M1591*$H1594</f>
        <v>0</v>
      </c>
      <c r="S1591" s="1475">
        <f>N1591*$H1594</f>
        <v>0</v>
      </c>
      <c r="T1591" s="1475">
        <f>O1591*$H1594</f>
        <v>0</v>
      </c>
      <c r="U1591" s="1475">
        <f>P1591*$H1594</f>
        <v>0</v>
      </c>
      <c r="V1591" s="1475">
        <f t="shared" si="741"/>
        <v>0</v>
      </c>
    </row>
    <row r="1592" spans="1:22" s="39" customFormat="1" ht="24" customHeight="1">
      <c r="A1592" s="1860">
        <v>3</v>
      </c>
      <c r="B1592" s="1860"/>
      <c r="C1592" s="1860"/>
      <c r="D1592" s="1860"/>
      <c r="E1592" s="1839"/>
      <c r="F1592" s="1841"/>
      <c r="G1592" s="1827"/>
      <c r="H1592" s="1601"/>
      <c r="I1592" s="1615"/>
      <c r="J1592" s="40" t="s">
        <v>133</v>
      </c>
      <c r="K1592" s="91"/>
      <c r="L1592" s="364">
        <v>0</v>
      </c>
      <c r="M1592" s="364">
        <v>0</v>
      </c>
      <c r="N1592" s="364">
        <v>0</v>
      </c>
      <c r="O1592" s="364">
        <v>0</v>
      </c>
      <c r="P1592" s="364">
        <v>0</v>
      </c>
      <c r="Q1592" s="1475">
        <f>L1592*$H1594</f>
        <v>0</v>
      </c>
      <c r="R1592" s="1475">
        <f>M1592*$H1594</f>
        <v>0</v>
      </c>
      <c r="S1592" s="1475">
        <f>N1592*$H1594</f>
        <v>0</v>
      </c>
      <c r="T1592" s="1475">
        <f>O1592*$H1594</f>
        <v>0</v>
      </c>
      <c r="U1592" s="1475">
        <f>P1592*$H1594</f>
        <v>0</v>
      </c>
      <c r="V1592" s="1475">
        <f t="shared" si="741"/>
        <v>0</v>
      </c>
    </row>
    <row r="1593" spans="1:22" s="39" customFormat="1" ht="24" customHeight="1">
      <c r="A1593" s="1860">
        <v>3</v>
      </c>
      <c r="B1593" s="1860"/>
      <c r="C1593" s="1860"/>
      <c r="D1593" s="1860"/>
      <c r="E1593" s="1839"/>
      <c r="F1593" s="1841"/>
      <c r="G1593" s="1827"/>
      <c r="H1593" s="1601"/>
      <c r="I1593" s="1615"/>
      <c r="J1593" s="40" t="s">
        <v>81</v>
      </c>
      <c r="K1593" s="91"/>
      <c r="L1593" s="364">
        <v>0</v>
      </c>
      <c r="M1593" s="364">
        <v>0</v>
      </c>
      <c r="N1593" s="364">
        <v>0</v>
      </c>
      <c r="O1593" s="364">
        <v>0</v>
      </c>
      <c r="P1593" s="364">
        <v>0</v>
      </c>
      <c r="Q1593" s="1475">
        <f>L1593*$H1594</f>
        <v>0</v>
      </c>
      <c r="R1593" s="1475">
        <f>M1593*$H1594</f>
        <v>0</v>
      </c>
      <c r="S1593" s="1475">
        <f>N1593*$H1594</f>
        <v>0</v>
      </c>
      <c r="T1593" s="1475">
        <f>O1593*$H1594</f>
        <v>0</v>
      </c>
      <c r="U1593" s="1475">
        <f>P1593*$H1594</f>
        <v>0</v>
      </c>
      <c r="V1593" s="1475">
        <f t="shared" si="741"/>
        <v>0</v>
      </c>
    </row>
    <row r="1594" spans="1:22" s="39" customFormat="1" ht="24" customHeight="1">
      <c r="A1594" s="1860">
        <v>3</v>
      </c>
      <c r="B1594" s="1860"/>
      <c r="C1594" s="1860"/>
      <c r="D1594" s="1860"/>
      <c r="E1594" s="1839"/>
      <c r="F1594" s="1841"/>
      <c r="G1594" s="1827"/>
      <c r="H1594" s="1598">
        <f>'Budget assumption'!F396</f>
        <v>110811.68000000001</v>
      </c>
      <c r="I1594" s="1615"/>
      <c r="J1594" s="40" t="s">
        <v>134</v>
      </c>
      <c r="K1594" s="91"/>
      <c r="L1594" s="364">
        <v>0</v>
      </c>
      <c r="M1594" s="364">
        <v>0</v>
      </c>
      <c r="N1594" s="364">
        <v>0</v>
      </c>
      <c r="O1594" s="364">
        <v>0</v>
      </c>
      <c r="P1594" s="364">
        <v>0</v>
      </c>
      <c r="Q1594" s="1475">
        <f>L1594*$H1594</f>
        <v>0</v>
      </c>
      <c r="R1594" s="1475">
        <f>M1594*$H1594</f>
        <v>0</v>
      </c>
      <c r="S1594" s="1475">
        <f>N1594*$H1594</f>
        <v>0</v>
      </c>
      <c r="T1594" s="1475">
        <f>O1594*$H1594</f>
        <v>0</v>
      </c>
      <c r="U1594" s="1475">
        <f>P1594*$H1594</f>
        <v>0</v>
      </c>
      <c r="V1594" s="1475">
        <f t="shared" si="741"/>
        <v>0</v>
      </c>
    </row>
    <row r="1595" spans="1:22" s="39" customFormat="1" ht="24" customHeight="1">
      <c r="A1595" s="1860">
        <v>3</v>
      </c>
      <c r="B1595" s="1860"/>
      <c r="C1595" s="1860"/>
      <c r="D1595" s="1860"/>
      <c r="E1595" s="1839"/>
      <c r="F1595" s="1841"/>
      <c r="G1595" s="1827"/>
      <c r="H1595" s="1599"/>
      <c r="I1595" s="1615"/>
      <c r="J1595" s="40" t="s">
        <v>82</v>
      </c>
      <c r="K1595" s="42"/>
      <c r="L1595" s="364">
        <v>1</v>
      </c>
      <c r="M1595" s="364">
        <v>1</v>
      </c>
      <c r="N1595" s="364">
        <v>1</v>
      </c>
      <c r="O1595" s="364">
        <v>0</v>
      </c>
      <c r="P1595" s="364">
        <v>0</v>
      </c>
      <c r="Q1595" s="1475">
        <f>L1595*$H1594</f>
        <v>110811.68000000001</v>
      </c>
      <c r="R1595" s="1475">
        <f>M1595*$H1594</f>
        <v>110811.68000000001</v>
      </c>
      <c r="S1595" s="1475">
        <f>N1595*$H1594</f>
        <v>110811.68000000001</v>
      </c>
      <c r="T1595" s="1475">
        <f>O1595*$H1594</f>
        <v>0</v>
      </c>
      <c r="U1595" s="1475">
        <f>P1595*$H1594</f>
        <v>0</v>
      </c>
      <c r="V1595" s="1475">
        <f t="shared" si="741"/>
        <v>332435.04000000004</v>
      </c>
    </row>
    <row r="1596" spans="1:22" s="39" customFormat="1" ht="24" customHeight="1">
      <c r="A1596" s="1860">
        <v>3</v>
      </c>
      <c r="B1596" s="1860"/>
      <c r="C1596" s="1860"/>
      <c r="D1596" s="1860"/>
      <c r="E1596" s="1839"/>
      <c r="F1596" s="1841"/>
      <c r="G1596" s="1827"/>
      <c r="H1596" s="1599"/>
      <c r="I1596" s="1615"/>
      <c r="J1596" s="40" t="s">
        <v>90</v>
      </c>
      <c r="K1596" s="42"/>
      <c r="L1596" s="364">
        <v>0</v>
      </c>
      <c r="M1596" s="364">
        <v>0</v>
      </c>
      <c r="N1596" s="364">
        <v>0</v>
      </c>
      <c r="O1596" s="364">
        <v>0</v>
      </c>
      <c r="P1596" s="364">
        <v>0</v>
      </c>
      <c r="Q1596" s="1475">
        <f>L1596*$H1594</f>
        <v>0</v>
      </c>
      <c r="R1596" s="1475">
        <f>M1596*$H1594</f>
        <v>0</v>
      </c>
      <c r="S1596" s="1475">
        <f>N1596*$H1594</f>
        <v>0</v>
      </c>
      <c r="T1596" s="1475">
        <f>O1596*$H1594</f>
        <v>0</v>
      </c>
      <c r="U1596" s="1475">
        <f>P1596*$H1594</f>
        <v>0</v>
      </c>
      <c r="V1596" s="1475">
        <f t="shared" si="741"/>
        <v>0</v>
      </c>
    </row>
    <row r="1597" spans="1:22" s="39" customFormat="1" ht="24" customHeight="1">
      <c r="A1597" s="1860">
        <v>3</v>
      </c>
      <c r="B1597" s="1860"/>
      <c r="C1597" s="1860"/>
      <c r="D1597" s="1860"/>
      <c r="E1597" s="1839"/>
      <c r="F1597" s="1841"/>
      <c r="G1597" s="1827"/>
      <c r="H1597" s="1599"/>
      <c r="I1597" s="1615"/>
      <c r="J1597" s="40" t="s">
        <v>83</v>
      </c>
      <c r="K1597" s="42"/>
      <c r="L1597" s="364">
        <v>0</v>
      </c>
      <c r="M1597" s="364">
        <v>0</v>
      </c>
      <c r="N1597" s="364">
        <v>0</v>
      </c>
      <c r="O1597" s="364">
        <v>0</v>
      </c>
      <c r="P1597" s="364">
        <v>0</v>
      </c>
      <c r="Q1597" s="1475">
        <f>L1597*$H1594</f>
        <v>0</v>
      </c>
      <c r="R1597" s="1475">
        <f>M1597*$H1594</f>
        <v>0</v>
      </c>
      <c r="S1597" s="1475">
        <f>N1597*$H1594</f>
        <v>0</v>
      </c>
      <c r="T1597" s="1475">
        <f>O1597*$H1594</f>
        <v>0</v>
      </c>
      <c r="U1597" s="1475">
        <f>P1597*$H1594</f>
        <v>0</v>
      </c>
      <c r="V1597" s="1475">
        <f t="shared" si="741"/>
        <v>0</v>
      </c>
    </row>
    <row r="1598" spans="1:22" s="39" customFormat="1" ht="24" customHeight="1">
      <c r="A1598" s="1860">
        <v>3</v>
      </c>
      <c r="B1598" s="1860"/>
      <c r="C1598" s="1860"/>
      <c r="D1598" s="1860"/>
      <c r="E1598" s="1839"/>
      <c r="F1598" s="1841"/>
      <c r="G1598" s="1828"/>
      <c r="H1598" s="1600"/>
      <c r="I1598" s="1617"/>
      <c r="J1598" s="40" t="s">
        <v>84</v>
      </c>
      <c r="K1598" s="42"/>
      <c r="L1598" s="364">
        <f>L1589-L1590</f>
        <v>0</v>
      </c>
      <c r="M1598" s="364">
        <f t="shared" ref="M1598:U1598" si="766">M1589-M1590</f>
        <v>0</v>
      </c>
      <c r="N1598" s="364">
        <f t="shared" si="766"/>
        <v>0</v>
      </c>
      <c r="O1598" s="364">
        <f t="shared" si="766"/>
        <v>1</v>
      </c>
      <c r="P1598" s="364">
        <f t="shared" si="766"/>
        <v>1</v>
      </c>
      <c r="Q1598" s="1475">
        <f t="shared" si="766"/>
        <v>0</v>
      </c>
      <c r="R1598" s="1475">
        <f t="shared" si="766"/>
        <v>0</v>
      </c>
      <c r="S1598" s="1475">
        <f t="shared" si="766"/>
        <v>0</v>
      </c>
      <c r="T1598" s="1475">
        <f t="shared" si="766"/>
        <v>110811.68000000001</v>
      </c>
      <c r="U1598" s="1475">
        <f t="shared" si="766"/>
        <v>110811.68000000001</v>
      </c>
      <c r="V1598" s="1475">
        <f t="shared" si="741"/>
        <v>221623.36000000002</v>
      </c>
    </row>
    <row r="1599" spans="1:22" s="67" customFormat="1" ht="30" customHeight="1">
      <c r="A1599" s="75">
        <v>3</v>
      </c>
      <c r="B1599" s="75">
        <v>2</v>
      </c>
      <c r="C1599" s="75">
        <v>3</v>
      </c>
      <c r="D1599" s="75"/>
      <c r="E1599" s="74" t="s">
        <v>13</v>
      </c>
      <c r="F1599" s="71" t="str">
        <f>CONCATENATE(A1599,".",B1599,".",C1599,)</f>
        <v>3.2.3</v>
      </c>
      <c r="G1599" s="1630" t="s">
        <v>416</v>
      </c>
      <c r="H1599" s="1631"/>
      <c r="I1599" s="1631"/>
      <c r="J1599" s="1632"/>
      <c r="K1599" s="66"/>
      <c r="L1599" s="382"/>
      <c r="M1599" s="382"/>
      <c r="N1599" s="382"/>
      <c r="O1599" s="382"/>
      <c r="P1599" s="382"/>
      <c r="Q1599" s="1521">
        <f>Q1601+Q1611+Q1621+Q1631+Q1641+Q1651+Q1661</f>
        <v>122629</v>
      </c>
      <c r="R1599" s="1521">
        <f t="shared" ref="R1599:U1599" si="767">R1601+R1611+R1621+R1631+R1641+R1651+R1661</f>
        <v>37894</v>
      </c>
      <c r="S1599" s="1521">
        <f t="shared" si="767"/>
        <v>37894</v>
      </c>
      <c r="T1599" s="1521">
        <f t="shared" si="767"/>
        <v>0</v>
      </c>
      <c r="U1599" s="1521">
        <f t="shared" si="767"/>
        <v>0</v>
      </c>
      <c r="V1599" s="1521">
        <f>SUM(Q1599:U1599)</f>
        <v>198417</v>
      </c>
    </row>
    <row r="1600" spans="1:22" s="45" customFormat="1" ht="24" customHeight="1">
      <c r="A1600" s="1860">
        <v>3</v>
      </c>
      <c r="B1600" s="1860">
        <v>2</v>
      </c>
      <c r="C1600" s="1860">
        <v>3</v>
      </c>
      <c r="D1600" s="1860">
        <v>1</v>
      </c>
      <c r="E1600" s="1839" t="s">
        <v>49</v>
      </c>
      <c r="F1600" s="1841" t="str">
        <f>CONCATENATE(A1600,".",B1600,".",C1600,".",D1600,)</f>
        <v>3.2.3.1</v>
      </c>
      <c r="G1600" s="1881" t="s">
        <v>217</v>
      </c>
      <c r="H1600" s="1601" t="s">
        <v>195</v>
      </c>
      <c r="I1600" s="1614" t="s">
        <v>1051</v>
      </c>
      <c r="J1600" s="36" t="s">
        <v>79</v>
      </c>
      <c r="K1600" s="896"/>
      <c r="L1600" s="383">
        <v>40</v>
      </c>
      <c r="M1600" s="383">
        <v>0</v>
      </c>
      <c r="N1600" s="383">
        <v>0</v>
      </c>
      <c r="O1600" s="383">
        <v>0</v>
      </c>
      <c r="P1600" s="383">
        <v>0</v>
      </c>
      <c r="Q1600" s="1475">
        <f>L1600*H1605</f>
        <v>80000</v>
      </c>
      <c r="R1600" s="1475">
        <f>M1600*H1605</f>
        <v>0</v>
      </c>
      <c r="S1600" s="1475">
        <f>N1600*H1605</f>
        <v>0</v>
      </c>
      <c r="T1600" s="1475">
        <f>O1600*H1605</f>
        <v>0</v>
      </c>
      <c r="U1600" s="1475">
        <f>P1600*H1605</f>
        <v>0</v>
      </c>
      <c r="V1600" s="1475">
        <f t="shared" ref="V1600:V1649" si="768">SUM(Q1600:U1600)</f>
        <v>80000</v>
      </c>
    </row>
    <row r="1601" spans="1:22" s="39" customFormat="1" ht="24" customHeight="1">
      <c r="A1601" s="1860">
        <v>2</v>
      </c>
      <c r="B1601" s="1860"/>
      <c r="C1601" s="1860"/>
      <c r="D1601" s="1860"/>
      <c r="E1601" s="1839"/>
      <c r="F1601" s="1841"/>
      <c r="G1601" s="1882"/>
      <c r="H1601" s="1601"/>
      <c r="I1601" s="1615"/>
      <c r="J1601" s="40" t="s">
        <v>80</v>
      </c>
      <c r="K1601" s="91"/>
      <c r="L1601" s="364">
        <f t="shared" ref="L1601" si="769">SUM(L1602:L1608)</f>
        <v>0</v>
      </c>
      <c r="M1601" s="364">
        <f t="shared" ref="M1601" si="770">SUM(M1602:M1608)</f>
        <v>0</v>
      </c>
      <c r="N1601" s="364">
        <f t="shared" ref="N1601" si="771">SUM(N1602:N1608)</f>
        <v>0</v>
      </c>
      <c r="O1601" s="364">
        <f t="shared" ref="O1601" si="772">SUM(O1602:O1608)</f>
        <v>0</v>
      </c>
      <c r="P1601" s="364">
        <f t="shared" ref="P1601" si="773">SUM(P1602:P1608)</f>
        <v>0</v>
      </c>
      <c r="Q1601" s="1475">
        <f t="shared" ref="Q1601" si="774">SUM(Q1602:Q1608)</f>
        <v>0</v>
      </c>
      <c r="R1601" s="1475">
        <f t="shared" ref="R1601" si="775">SUM(R1602:R1608)</f>
        <v>0</v>
      </c>
      <c r="S1601" s="1475">
        <f t="shared" ref="S1601" si="776">SUM(S1602:S1608)</f>
        <v>0</v>
      </c>
      <c r="T1601" s="1475">
        <f t="shared" ref="T1601" si="777">SUM(T1602:T1608)</f>
        <v>0</v>
      </c>
      <c r="U1601" s="1475">
        <f t="shared" ref="U1601" si="778">SUM(U1602:U1608)</f>
        <v>0</v>
      </c>
      <c r="V1601" s="1475">
        <f t="shared" si="768"/>
        <v>0</v>
      </c>
    </row>
    <row r="1602" spans="1:22" s="39" customFormat="1" ht="24" customHeight="1">
      <c r="A1602" s="1860">
        <v>2</v>
      </c>
      <c r="B1602" s="1860"/>
      <c r="C1602" s="1860"/>
      <c r="D1602" s="1860"/>
      <c r="E1602" s="1839"/>
      <c r="F1602" s="1841"/>
      <c r="G1602" s="1882"/>
      <c r="H1602" s="1601"/>
      <c r="I1602" s="1615"/>
      <c r="J1602" s="40" t="s">
        <v>429</v>
      </c>
      <c r="K1602" s="91"/>
      <c r="L1602" s="364">
        <v>0</v>
      </c>
      <c r="M1602" s="364">
        <v>0</v>
      </c>
      <c r="N1602" s="364">
        <v>0</v>
      </c>
      <c r="O1602" s="364">
        <v>0</v>
      </c>
      <c r="P1602" s="364">
        <v>0</v>
      </c>
      <c r="Q1602" s="1475">
        <f>L1602*$H1605</f>
        <v>0</v>
      </c>
      <c r="R1602" s="1475">
        <f>M1602*$H1605</f>
        <v>0</v>
      </c>
      <c r="S1602" s="1475">
        <f>N1602*$H1605</f>
        <v>0</v>
      </c>
      <c r="T1602" s="1475">
        <f>O1602*$H1605</f>
        <v>0</v>
      </c>
      <c r="U1602" s="1475">
        <f>P1602*$H1605</f>
        <v>0</v>
      </c>
      <c r="V1602" s="1475">
        <f t="shared" si="768"/>
        <v>0</v>
      </c>
    </row>
    <row r="1603" spans="1:22" s="39" customFormat="1" ht="24" customHeight="1">
      <c r="A1603" s="1860">
        <v>2</v>
      </c>
      <c r="B1603" s="1860"/>
      <c r="C1603" s="1860"/>
      <c r="D1603" s="1860"/>
      <c r="E1603" s="1839"/>
      <c r="F1603" s="1841"/>
      <c r="G1603" s="1882"/>
      <c r="H1603" s="1601"/>
      <c r="I1603" s="1615"/>
      <c r="J1603" s="40" t="s">
        <v>133</v>
      </c>
      <c r="K1603" s="91"/>
      <c r="L1603" s="364">
        <v>0</v>
      </c>
      <c r="M1603" s="364">
        <v>0</v>
      </c>
      <c r="N1603" s="364">
        <v>0</v>
      </c>
      <c r="O1603" s="364">
        <v>0</v>
      </c>
      <c r="P1603" s="364">
        <v>0</v>
      </c>
      <c r="Q1603" s="1475">
        <f>L1603*$H1605</f>
        <v>0</v>
      </c>
      <c r="R1603" s="1475">
        <f>M1603*$H1605</f>
        <v>0</v>
      </c>
      <c r="S1603" s="1475">
        <f>N1603*$H1605</f>
        <v>0</v>
      </c>
      <c r="T1603" s="1475">
        <f>O1603*$H1605</f>
        <v>0</v>
      </c>
      <c r="U1603" s="1475">
        <f>P1603*$H1605</f>
        <v>0</v>
      </c>
      <c r="V1603" s="1475">
        <f t="shared" si="768"/>
        <v>0</v>
      </c>
    </row>
    <row r="1604" spans="1:22" s="39" customFormat="1" ht="24" customHeight="1">
      <c r="A1604" s="1860">
        <v>2</v>
      </c>
      <c r="B1604" s="1860"/>
      <c r="C1604" s="1860"/>
      <c r="D1604" s="1860"/>
      <c r="E1604" s="1839"/>
      <c r="F1604" s="1841"/>
      <c r="G1604" s="1882"/>
      <c r="H1604" s="1601"/>
      <c r="I1604" s="1615"/>
      <c r="J1604" s="40" t="s">
        <v>81</v>
      </c>
      <c r="K1604" s="91"/>
      <c r="L1604" s="364">
        <v>0</v>
      </c>
      <c r="M1604" s="364">
        <v>0</v>
      </c>
      <c r="N1604" s="364">
        <v>0</v>
      </c>
      <c r="O1604" s="364">
        <v>0</v>
      </c>
      <c r="P1604" s="364">
        <v>0</v>
      </c>
      <c r="Q1604" s="1475">
        <f>L1604*$H1605</f>
        <v>0</v>
      </c>
      <c r="R1604" s="1475">
        <f>M1604*$H1605</f>
        <v>0</v>
      </c>
      <c r="S1604" s="1475">
        <f>N1604*$H1605</f>
        <v>0</v>
      </c>
      <c r="T1604" s="1475">
        <f>O1604*$H1605</f>
        <v>0</v>
      </c>
      <c r="U1604" s="1475">
        <f>P1604*$H1605</f>
        <v>0</v>
      </c>
      <c r="V1604" s="1475">
        <f t="shared" si="768"/>
        <v>0</v>
      </c>
    </row>
    <row r="1605" spans="1:22" s="39" customFormat="1" ht="24" customHeight="1">
      <c r="A1605" s="1860">
        <v>2</v>
      </c>
      <c r="B1605" s="1860"/>
      <c r="C1605" s="1860"/>
      <c r="D1605" s="1860"/>
      <c r="E1605" s="1839"/>
      <c r="F1605" s="1841"/>
      <c r="G1605" s="1882"/>
      <c r="H1605" s="1598">
        <f>'Budget assumption'!$C$4</f>
        <v>2000</v>
      </c>
      <c r="I1605" s="1615"/>
      <c r="J1605" s="40" t="s">
        <v>134</v>
      </c>
      <c r="K1605" s="91"/>
      <c r="L1605" s="364">
        <v>0</v>
      </c>
      <c r="M1605" s="364">
        <v>0</v>
      </c>
      <c r="N1605" s="364">
        <v>0</v>
      </c>
      <c r="O1605" s="364">
        <v>0</v>
      </c>
      <c r="P1605" s="364">
        <v>0</v>
      </c>
      <c r="Q1605" s="1475">
        <f>L1605*$H1605</f>
        <v>0</v>
      </c>
      <c r="R1605" s="1475">
        <f>M1605*$H1605</f>
        <v>0</v>
      </c>
      <c r="S1605" s="1475">
        <f>N1605*$H1605</f>
        <v>0</v>
      </c>
      <c r="T1605" s="1475">
        <f>O1605*$H1605</f>
        <v>0</v>
      </c>
      <c r="U1605" s="1475">
        <f>P1605*$H1605</f>
        <v>0</v>
      </c>
      <c r="V1605" s="1475">
        <f t="shared" si="768"/>
        <v>0</v>
      </c>
    </row>
    <row r="1606" spans="1:22" s="39" customFormat="1" ht="24" customHeight="1">
      <c r="A1606" s="1860">
        <v>2</v>
      </c>
      <c r="B1606" s="1860"/>
      <c r="C1606" s="1860"/>
      <c r="D1606" s="1860"/>
      <c r="E1606" s="1839"/>
      <c r="F1606" s="1841"/>
      <c r="G1606" s="1882"/>
      <c r="H1606" s="1599"/>
      <c r="I1606" s="1615"/>
      <c r="J1606" s="40" t="s">
        <v>82</v>
      </c>
      <c r="K1606" s="91"/>
      <c r="L1606" s="364">
        <v>0</v>
      </c>
      <c r="M1606" s="364">
        <v>0</v>
      </c>
      <c r="N1606" s="364">
        <v>0</v>
      </c>
      <c r="O1606" s="364">
        <v>0</v>
      </c>
      <c r="P1606" s="364">
        <v>0</v>
      </c>
      <c r="Q1606" s="1475">
        <f>L1606*$H1605</f>
        <v>0</v>
      </c>
      <c r="R1606" s="1475">
        <f>M1606*$H1605</f>
        <v>0</v>
      </c>
      <c r="S1606" s="1475">
        <f>N1606*$H1605</f>
        <v>0</v>
      </c>
      <c r="T1606" s="1475">
        <f>O1606*$H1605</f>
        <v>0</v>
      </c>
      <c r="U1606" s="1475">
        <f>P1606*$H1605</f>
        <v>0</v>
      </c>
      <c r="V1606" s="1475">
        <f t="shared" si="768"/>
        <v>0</v>
      </c>
    </row>
    <row r="1607" spans="1:22" s="39" customFormat="1" ht="24" customHeight="1">
      <c r="A1607" s="1860">
        <v>2</v>
      </c>
      <c r="B1607" s="1860"/>
      <c r="C1607" s="1860"/>
      <c r="D1607" s="1860"/>
      <c r="E1607" s="1839"/>
      <c r="F1607" s="1841"/>
      <c r="G1607" s="1882"/>
      <c r="H1607" s="1599"/>
      <c r="I1607" s="1615"/>
      <c r="J1607" s="40" t="s">
        <v>90</v>
      </c>
      <c r="K1607" s="91"/>
      <c r="L1607" s="364">
        <v>0</v>
      </c>
      <c r="M1607" s="364">
        <v>0</v>
      </c>
      <c r="N1607" s="364">
        <v>0</v>
      </c>
      <c r="O1607" s="364">
        <v>0</v>
      </c>
      <c r="P1607" s="364">
        <v>0</v>
      </c>
      <c r="Q1607" s="1475">
        <f>L1607*$H1605</f>
        <v>0</v>
      </c>
      <c r="R1607" s="1475">
        <f>M1607*$H1605</f>
        <v>0</v>
      </c>
      <c r="S1607" s="1475">
        <f>N1607*$H1605</f>
        <v>0</v>
      </c>
      <c r="T1607" s="1475">
        <f>O1607*$H1605</f>
        <v>0</v>
      </c>
      <c r="U1607" s="1475">
        <f>P1607*$H1605</f>
        <v>0</v>
      </c>
      <c r="V1607" s="1475">
        <f t="shared" si="768"/>
        <v>0</v>
      </c>
    </row>
    <row r="1608" spans="1:22" s="39" customFormat="1" ht="24" customHeight="1">
      <c r="A1608" s="1860">
        <v>2</v>
      </c>
      <c r="B1608" s="1860"/>
      <c r="C1608" s="1860"/>
      <c r="D1608" s="1860"/>
      <c r="E1608" s="1839"/>
      <c r="F1608" s="1841"/>
      <c r="G1608" s="1882"/>
      <c r="H1608" s="1599"/>
      <c r="I1608" s="1615"/>
      <c r="J1608" s="40" t="s">
        <v>83</v>
      </c>
      <c r="K1608" s="91"/>
      <c r="L1608" s="364">
        <v>0</v>
      </c>
      <c r="M1608" s="364">
        <v>0</v>
      </c>
      <c r="N1608" s="364">
        <v>0</v>
      </c>
      <c r="O1608" s="364">
        <v>0</v>
      </c>
      <c r="P1608" s="364">
        <v>0</v>
      </c>
      <c r="Q1608" s="1475">
        <f>L1608*$H1605</f>
        <v>0</v>
      </c>
      <c r="R1608" s="1475">
        <f>M1608*$H1605</f>
        <v>0</v>
      </c>
      <c r="S1608" s="1475">
        <f>N1608*$H1605</f>
        <v>0</v>
      </c>
      <c r="T1608" s="1475">
        <f>O1608*$H1605</f>
        <v>0</v>
      </c>
      <c r="U1608" s="1475">
        <f>P1608*$H1605</f>
        <v>0</v>
      </c>
      <c r="V1608" s="1475">
        <f t="shared" si="768"/>
        <v>0</v>
      </c>
    </row>
    <row r="1609" spans="1:22" s="39" customFormat="1" ht="24" customHeight="1">
      <c r="A1609" s="1860">
        <v>2</v>
      </c>
      <c r="B1609" s="1860"/>
      <c r="C1609" s="1860"/>
      <c r="D1609" s="1860"/>
      <c r="E1609" s="1839"/>
      <c r="F1609" s="1841"/>
      <c r="G1609" s="1883"/>
      <c r="H1609" s="1600"/>
      <c r="I1609" s="1617"/>
      <c r="J1609" s="40" t="s">
        <v>84</v>
      </c>
      <c r="K1609" s="91"/>
      <c r="L1609" s="364">
        <f>L1600-L1601</f>
        <v>40</v>
      </c>
      <c r="M1609" s="364">
        <f t="shared" ref="M1609:U1609" si="779">M1600-M1601</f>
        <v>0</v>
      </c>
      <c r="N1609" s="364">
        <f t="shared" si="779"/>
        <v>0</v>
      </c>
      <c r="O1609" s="364">
        <f t="shared" si="779"/>
        <v>0</v>
      </c>
      <c r="P1609" s="364">
        <f t="shared" si="779"/>
        <v>0</v>
      </c>
      <c r="Q1609" s="1475">
        <f t="shared" si="779"/>
        <v>80000</v>
      </c>
      <c r="R1609" s="1475">
        <f t="shared" si="779"/>
        <v>0</v>
      </c>
      <c r="S1609" s="1475">
        <f t="shared" si="779"/>
        <v>0</v>
      </c>
      <c r="T1609" s="1475">
        <f t="shared" si="779"/>
        <v>0</v>
      </c>
      <c r="U1609" s="1475">
        <f t="shared" si="779"/>
        <v>0</v>
      </c>
      <c r="V1609" s="1475">
        <f t="shared" si="768"/>
        <v>80000</v>
      </c>
    </row>
    <row r="1610" spans="1:22" s="45" customFormat="1" ht="24" customHeight="1">
      <c r="A1610" s="1860">
        <v>3</v>
      </c>
      <c r="B1610" s="1860">
        <v>2</v>
      </c>
      <c r="C1610" s="1860">
        <v>3</v>
      </c>
      <c r="D1610" s="1860">
        <v>2</v>
      </c>
      <c r="E1610" s="1839" t="s">
        <v>49</v>
      </c>
      <c r="F1610" s="1841" t="str">
        <f>CONCATENATE(A1610,".",B1610,".",C1610,".",D1610,)</f>
        <v>3.2.3.2</v>
      </c>
      <c r="G1610" s="1881" t="s">
        <v>417</v>
      </c>
      <c r="H1610" s="1601" t="s">
        <v>1052</v>
      </c>
      <c r="I1610" s="1614" t="s">
        <v>412</v>
      </c>
      <c r="J1610" s="36" t="s">
        <v>79</v>
      </c>
      <c r="K1610" s="896"/>
      <c r="L1610" s="383">
        <v>100</v>
      </c>
      <c r="M1610" s="383">
        <v>0</v>
      </c>
      <c r="N1610" s="383">
        <v>0</v>
      </c>
      <c r="O1610" s="383">
        <v>0</v>
      </c>
      <c r="P1610" s="383">
        <v>0</v>
      </c>
      <c r="Q1610" s="1475">
        <f>L1610*H1615</f>
        <v>22000</v>
      </c>
      <c r="R1610" s="1475">
        <f>M1610*H1615</f>
        <v>0</v>
      </c>
      <c r="S1610" s="1475">
        <f>N1610*H1615</f>
        <v>0</v>
      </c>
      <c r="T1610" s="1475">
        <f>O1610*H1615</f>
        <v>0</v>
      </c>
      <c r="U1610" s="1475">
        <f>P1610*H1615</f>
        <v>0</v>
      </c>
      <c r="V1610" s="1475">
        <f t="shared" si="768"/>
        <v>22000</v>
      </c>
    </row>
    <row r="1611" spans="1:22" s="39" customFormat="1" ht="24" customHeight="1">
      <c r="A1611" s="1860">
        <v>2</v>
      </c>
      <c r="B1611" s="1860"/>
      <c r="C1611" s="1860"/>
      <c r="D1611" s="1860"/>
      <c r="E1611" s="1839"/>
      <c r="F1611" s="1841"/>
      <c r="G1611" s="1882"/>
      <c r="H1611" s="1601"/>
      <c r="I1611" s="1615"/>
      <c r="J1611" s="40" t="s">
        <v>80</v>
      </c>
      <c r="K1611" s="91"/>
      <c r="L1611" s="364">
        <f t="shared" ref="L1611" si="780">SUM(L1612:L1618)</f>
        <v>0</v>
      </c>
      <c r="M1611" s="364">
        <f t="shared" ref="M1611:U1611" si="781">SUM(M1612:M1618)</f>
        <v>0</v>
      </c>
      <c r="N1611" s="364">
        <f t="shared" si="781"/>
        <v>0</v>
      </c>
      <c r="O1611" s="364">
        <f t="shared" si="781"/>
        <v>0</v>
      </c>
      <c r="P1611" s="364">
        <f t="shared" si="781"/>
        <v>0</v>
      </c>
      <c r="Q1611" s="1475">
        <f t="shared" si="781"/>
        <v>0</v>
      </c>
      <c r="R1611" s="1475">
        <f t="shared" si="781"/>
        <v>0</v>
      </c>
      <c r="S1611" s="1475">
        <f t="shared" si="781"/>
        <v>0</v>
      </c>
      <c r="T1611" s="1475">
        <f t="shared" si="781"/>
        <v>0</v>
      </c>
      <c r="U1611" s="1475">
        <f t="shared" si="781"/>
        <v>0</v>
      </c>
      <c r="V1611" s="1475">
        <f t="shared" si="768"/>
        <v>0</v>
      </c>
    </row>
    <row r="1612" spans="1:22" s="39" customFormat="1" ht="24" customHeight="1">
      <c r="A1612" s="1860">
        <v>2</v>
      </c>
      <c r="B1612" s="1860"/>
      <c r="C1612" s="1860"/>
      <c r="D1612" s="1860"/>
      <c r="E1612" s="1839"/>
      <c r="F1612" s="1841"/>
      <c r="G1612" s="1882"/>
      <c r="H1612" s="1601"/>
      <c r="I1612" s="1615"/>
      <c r="J1612" s="40" t="s">
        <v>429</v>
      </c>
      <c r="K1612" s="91"/>
      <c r="L1612" s="364">
        <v>0</v>
      </c>
      <c r="M1612" s="364">
        <v>0</v>
      </c>
      <c r="N1612" s="364">
        <v>0</v>
      </c>
      <c r="O1612" s="364">
        <v>0</v>
      </c>
      <c r="P1612" s="364">
        <v>0</v>
      </c>
      <c r="Q1612" s="1475">
        <f>L1612*$H1615</f>
        <v>0</v>
      </c>
      <c r="R1612" s="1475">
        <f>M1612*$H1615</f>
        <v>0</v>
      </c>
      <c r="S1612" s="1475">
        <f>N1612*$H1615</f>
        <v>0</v>
      </c>
      <c r="T1612" s="1475">
        <f>O1612*$H1615</f>
        <v>0</v>
      </c>
      <c r="U1612" s="1475">
        <f>P1612*$H1615</f>
        <v>0</v>
      </c>
      <c r="V1612" s="1475">
        <f t="shared" si="768"/>
        <v>0</v>
      </c>
    </row>
    <row r="1613" spans="1:22" s="39" customFormat="1" ht="24" customHeight="1">
      <c r="A1613" s="1860">
        <v>2</v>
      </c>
      <c r="B1613" s="1860"/>
      <c r="C1613" s="1860"/>
      <c r="D1613" s="1860"/>
      <c r="E1613" s="1839"/>
      <c r="F1613" s="1841"/>
      <c r="G1613" s="1882"/>
      <c r="H1613" s="1601"/>
      <c r="I1613" s="1615"/>
      <c r="J1613" s="40" t="s">
        <v>133</v>
      </c>
      <c r="K1613" s="91"/>
      <c r="L1613" s="364">
        <v>0</v>
      </c>
      <c r="M1613" s="364">
        <v>0</v>
      </c>
      <c r="N1613" s="364">
        <v>0</v>
      </c>
      <c r="O1613" s="364">
        <v>0</v>
      </c>
      <c r="P1613" s="364">
        <v>0</v>
      </c>
      <c r="Q1613" s="1475">
        <f>L1613*$H1615</f>
        <v>0</v>
      </c>
      <c r="R1613" s="1475">
        <f>M1613*$H1615</f>
        <v>0</v>
      </c>
      <c r="S1613" s="1475">
        <f>N1613*$H1615</f>
        <v>0</v>
      </c>
      <c r="T1613" s="1475">
        <f>O1613*$H1615</f>
        <v>0</v>
      </c>
      <c r="U1613" s="1475">
        <f>P1613*$H1615</f>
        <v>0</v>
      </c>
      <c r="V1613" s="1475">
        <f t="shared" si="768"/>
        <v>0</v>
      </c>
    </row>
    <row r="1614" spans="1:22" s="39" customFormat="1" ht="24" customHeight="1">
      <c r="A1614" s="1860">
        <v>2</v>
      </c>
      <c r="B1614" s="1860"/>
      <c r="C1614" s="1860"/>
      <c r="D1614" s="1860"/>
      <c r="E1614" s="1839"/>
      <c r="F1614" s="1841"/>
      <c r="G1614" s="1882"/>
      <c r="H1614" s="1601"/>
      <c r="I1614" s="1615"/>
      <c r="J1614" s="40" t="s">
        <v>81</v>
      </c>
      <c r="K1614" s="91"/>
      <c r="L1614" s="364">
        <v>0</v>
      </c>
      <c r="M1614" s="364">
        <v>0</v>
      </c>
      <c r="N1614" s="364">
        <v>0</v>
      </c>
      <c r="O1614" s="364">
        <v>0</v>
      </c>
      <c r="P1614" s="364">
        <v>0</v>
      </c>
      <c r="Q1614" s="1475">
        <f>L1614*$H1615</f>
        <v>0</v>
      </c>
      <c r="R1614" s="1475">
        <f>M1614*$H1615</f>
        <v>0</v>
      </c>
      <c r="S1614" s="1475">
        <f>N1614*$H1615</f>
        <v>0</v>
      </c>
      <c r="T1614" s="1475">
        <f>O1614*$H1615</f>
        <v>0</v>
      </c>
      <c r="U1614" s="1475">
        <f>P1614*$H1615</f>
        <v>0</v>
      </c>
      <c r="V1614" s="1475">
        <f t="shared" si="768"/>
        <v>0</v>
      </c>
    </row>
    <row r="1615" spans="1:22" s="39" customFormat="1" ht="24" customHeight="1">
      <c r="A1615" s="1860">
        <v>2</v>
      </c>
      <c r="B1615" s="1860"/>
      <c r="C1615" s="1860"/>
      <c r="D1615" s="1860"/>
      <c r="E1615" s="1839"/>
      <c r="F1615" s="1841"/>
      <c r="G1615" s="1882"/>
      <c r="H1615" s="1602">
        <v>220</v>
      </c>
      <c r="I1615" s="1615"/>
      <c r="J1615" s="40" t="s">
        <v>134</v>
      </c>
      <c r="K1615" s="91"/>
      <c r="L1615" s="364">
        <f>L1596*30%</f>
        <v>0</v>
      </c>
      <c r="M1615" s="364">
        <f>M1596*30%</f>
        <v>0</v>
      </c>
      <c r="N1615" s="364">
        <f>N1596*30%</f>
        <v>0</v>
      </c>
      <c r="O1615" s="364">
        <f>O1596*30%</f>
        <v>0</v>
      </c>
      <c r="P1615" s="364">
        <f>P1596*30%</f>
        <v>0</v>
      </c>
      <c r="Q1615" s="1475">
        <f>L1615*$H1615</f>
        <v>0</v>
      </c>
      <c r="R1615" s="1475">
        <f>M1615*$H1615</f>
        <v>0</v>
      </c>
      <c r="S1615" s="1475">
        <f>N1615*$H1615</f>
        <v>0</v>
      </c>
      <c r="T1615" s="1475">
        <f>O1615*$H1615</f>
        <v>0</v>
      </c>
      <c r="U1615" s="1475">
        <f>P1615*$H1615</f>
        <v>0</v>
      </c>
      <c r="V1615" s="1475">
        <f t="shared" si="768"/>
        <v>0</v>
      </c>
    </row>
    <row r="1616" spans="1:22" s="39" customFormat="1" ht="24" customHeight="1">
      <c r="A1616" s="1860">
        <v>2</v>
      </c>
      <c r="B1616" s="1860"/>
      <c r="C1616" s="1860"/>
      <c r="D1616" s="1860"/>
      <c r="E1616" s="1839"/>
      <c r="F1616" s="1841"/>
      <c r="G1616" s="1882"/>
      <c r="H1616" s="1603"/>
      <c r="I1616" s="1615"/>
      <c r="J1616" s="40" t="s">
        <v>82</v>
      </c>
      <c r="K1616" s="91"/>
      <c r="L1616" s="364">
        <v>0</v>
      </c>
      <c r="M1616" s="364">
        <v>0</v>
      </c>
      <c r="N1616" s="364">
        <v>0</v>
      </c>
      <c r="O1616" s="364">
        <v>0</v>
      </c>
      <c r="P1616" s="364">
        <v>0</v>
      </c>
      <c r="Q1616" s="1475">
        <f>L1616*$H1615</f>
        <v>0</v>
      </c>
      <c r="R1616" s="1475">
        <f>M1616*$H1615</f>
        <v>0</v>
      </c>
      <c r="S1616" s="1475">
        <f>N1616*$H1615</f>
        <v>0</v>
      </c>
      <c r="T1616" s="1475">
        <f>O1616*$H1615</f>
        <v>0</v>
      </c>
      <c r="U1616" s="1475">
        <f>P1616*$H1615</f>
        <v>0</v>
      </c>
      <c r="V1616" s="1475">
        <f t="shared" si="768"/>
        <v>0</v>
      </c>
    </row>
    <row r="1617" spans="1:22" s="39" customFormat="1" ht="24" customHeight="1">
      <c r="A1617" s="1860">
        <v>2</v>
      </c>
      <c r="B1617" s="1860"/>
      <c r="C1617" s="1860"/>
      <c r="D1617" s="1860"/>
      <c r="E1617" s="1839"/>
      <c r="F1617" s="1841"/>
      <c r="G1617" s="1882"/>
      <c r="H1617" s="1603"/>
      <c r="I1617" s="1615"/>
      <c r="J1617" s="40" t="s">
        <v>90</v>
      </c>
      <c r="K1617" s="91"/>
      <c r="L1617" s="364">
        <v>0</v>
      </c>
      <c r="M1617" s="364">
        <v>0</v>
      </c>
      <c r="N1617" s="364">
        <v>0</v>
      </c>
      <c r="O1617" s="364">
        <v>0</v>
      </c>
      <c r="P1617" s="364">
        <v>0</v>
      </c>
      <c r="Q1617" s="1475">
        <f>L1617*$H1615</f>
        <v>0</v>
      </c>
      <c r="R1617" s="1475">
        <f>M1617*$H1615</f>
        <v>0</v>
      </c>
      <c r="S1617" s="1475">
        <f>N1617*$H1615</f>
        <v>0</v>
      </c>
      <c r="T1617" s="1475">
        <f>O1617*$H1615</f>
        <v>0</v>
      </c>
      <c r="U1617" s="1475">
        <f>P1617*$H1615</f>
        <v>0</v>
      </c>
      <c r="V1617" s="1475">
        <f t="shared" si="768"/>
        <v>0</v>
      </c>
    </row>
    <row r="1618" spans="1:22" s="39" customFormat="1" ht="24" customHeight="1">
      <c r="A1618" s="1860">
        <v>2</v>
      </c>
      <c r="B1618" s="1860"/>
      <c r="C1618" s="1860"/>
      <c r="D1618" s="1860"/>
      <c r="E1618" s="1839"/>
      <c r="F1618" s="1841"/>
      <c r="G1618" s="1882"/>
      <c r="H1618" s="1603"/>
      <c r="I1618" s="1615"/>
      <c r="J1618" s="40" t="s">
        <v>83</v>
      </c>
      <c r="K1618" s="91"/>
      <c r="L1618" s="364">
        <v>0</v>
      </c>
      <c r="M1618" s="364">
        <v>0</v>
      </c>
      <c r="N1618" s="364">
        <v>0</v>
      </c>
      <c r="O1618" s="364">
        <v>0</v>
      </c>
      <c r="P1618" s="364">
        <v>0</v>
      </c>
      <c r="Q1618" s="1475">
        <f>L1618*$H1615</f>
        <v>0</v>
      </c>
      <c r="R1618" s="1475">
        <f>M1618*$H1615</f>
        <v>0</v>
      </c>
      <c r="S1618" s="1475">
        <f>N1618*$H1615</f>
        <v>0</v>
      </c>
      <c r="T1618" s="1475">
        <f>O1618*$H1615</f>
        <v>0</v>
      </c>
      <c r="U1618" s="1475">
        <f>P1618*$H1615</f>
        <v>0</v>
      </c>
      <c r="V1618" s="1475">
        <f t="shared" si="768"/>
        <v>0</v>
      </c>
    </row>
    <row r="1619" spans="1:22" s="39" customFormat="1" ht="24" customHeight="1">
      <c r="A1619" s="1860">
        <v>2</v>
      </c>
      <c r="B1619" s="1860"/>
      <c r="C1619" s="1860"/>
      <c r="D1619" s="1860"/>
      <c r="E1619" s="1839"/>
      <c r="F1619" s="1841"/>
      <c r="G1619" s="1883"/>
      <c r="H1619" s="1604"/>
      <c r="I1619" s="1617"/>
      <c r="J1619" s="40" t="s">
        <v>84</v>
      </c>
      <c r="K1619" s="91"/>
      <c r="L1619" s="364">
        <f>L1610-L1611</f>
        <v>100</v>
      </c>
      <c r="M1619" s="364">
        <f t="shared" ref="M1619:U1619" si="782">M1610-M1611</f>
        <v>0</v>
      </c>
      <c r="N1619" s="364">
        <f t="shared" si="782"/>
        <v>0</v>
      </c>
      <c r="O1619" s="364">
        <f t="shared" si="782"/>
        <v>0</v>
      </c>
      <c r="P1619" s="364">
        <f t="shared" si="782"/>
        <v>0</v>
      </c>
      <c r="Q1619" s="1475">
        <f t="shared" si="782"/>
        <v>22000</v>
      </c>
      <c r="R1619" s="1475">
        <f t="shared" si="782"/>
        <v>0</v>
      </c>
      <c r="S1619" s="1475">
        <f t="shared" si="782"/>
        <v>0</v>
      </c>
      <c r="T1619" s="1475">
        <f t="shared" si="782"/>
        <v>0</v>
      </c>
      <c r="U1619" s="1475">
        <f t="shared" si="782"/>
        <v>0</v>
      </c>
      <c r="V1619" s="1475">
        <f t="shared" si="768"/>
        <v>22000</v>
      </c>
    </row>
    <row r="1620" spans="1:22" s="45" customFormat="1" ht="24" customHeight="1">
      <c r="A1620" s="1860">
        <v>3</v>
      </c>
      <c r="B1620" s="1860">
        <v>2</v>
      </c>
      <c r="C1620" s="1860">
        <v>3</v>
      </c>
      <c r="D1620" s="1860">
        <v>3</v>
      </c>
      <c r="E1620" s="1839" t="s">
        <v>49</v>
      </c>
      <c r="F1620" s="1841" t="str">
        <f>CONCATENATE(A1620,".",B1620,".",C1620,".",D1620,)</f>
        <v>3.2.3.3</v>
      </c>
      <c r="G1620" s="1664" t="s">
        <v>218</v>
      </c>
      <c r="H1620" s="1601" t="s">
        <v>142</v>
      </c>
      <c r="I1620" s="1614" t="s">
        <v>470</v>
      </c>
      <c r="J1620" s="36" t="s">
        <v>79</v>
      </c>
      <c r="K1620" s="896"/>
      <c r="L1620" s="383">
        <v>4</v>
      </c>
      <c r="M1620" s="383">
        <v>0</v>
      </c>
      <c r="N1620" s="383">
        <v>0</v>
      </c>
      <c r="O1620" s="383">
        <v>0</v>
      </c>
      <c r="P1620" s="383">
        <v>0</v>
      </c>
      <c r="Q1620" s="1475">
        <f>L1620*H1625</f>
        <v>67788</v>
      </c>
      <c r="R1620" s="1475">
        <f>M1620*H1625</f>
        <v>0</v>
      </c>
      <c r="S1620" s="1475">
        <f>N1620*H1625</f>
        <v>0</v>
      </c>
      <c r="T1620" s="1475">
        <f>O1620*H1625</f>
        <v>0</v>
      </c>
      <c r="U1620" s="1475">
        <f>P1620*H1625</f>
        <v>0</v>
      </c>
      <c r="V1620" s="1475">
        <f t="shared" si="768"/>
        <v>67788</v>
      </c>
    </row>
    <row r="1621" spans="1:22" s="39" customFormat="1" ht="24" customHeight="1">
      <c r="A1621" s="1860">
        <v>2</v>
      </c>
      <c r="B1621" s="1860"/>
      <c r="C1621" s="1860"/>
      <c r="D1621" s="1860"/>
      <c r="E1621" s="1839"/>
      <c r="F1621" s="1841"/>
      <c r="G1621" s="1665"/>
      <c r="H1621" s="1601"/>
      <c r="I1621" s="1615"/>
      <c r="J1621" s="40" t="s">
        <v>80</v>
      </c>
      <c r="K1621" s="91"/>
      <c r="L1621" s="364">
        <f t="shared" ref="L1621" si="783">SUM(L1622:L1628)</f>
        <v>4</v>
      </c>
      <c r="M1621" s="364">
        <f t="shared" ref="M1621" si="784">SUM(M1622:M1628)</f>
        <v>0</v>
      </c>
      <c r="N1621" s="364">
        <f t="shared" ref="N1621" si="785">SUM(N1622:N1628)</f>
        <v>0</v>
      </c>
      <c r="O1621" s="364">
        <f t="shared" ref="O1621" si="786">SUM(O1622:O1628)</f>
        <v>0</v>
      </c>
      <c r="P1621" s="364">
        <f t="shared" ref="P1621" si="787">SUM(P1622:P1628)</f>
        <v>0</v>
      </c>
      <c r="Q1621" s="1475">
        <f t="shared" ref="Q1621" si="788">SUM(Q1622:Q1628)</f>
        <v>67788</v>
      </c>
      <c r="R1621" s="1475">
        <f t="shared" ref="R1621" si="789">SUM(R1622:R1628)</f>
        <v>0</v>
      </c>
      <c r="S1621" s="1475">
        <f t="shared" ref="S1621" si="790">SUM(S1622:S1628)</f>
        <v>0</v>
      </c>
      <c r="T1621" s="1475">
        <f t="shared" ref="T1621" si="791">SUM(T1622:T1628)</f>
        <v>0</v>
      </c>
      <c r="U1621" s="1475">
        <f t="shared" ref="U1621" si="792">SUM(U1622:U1628)</f>
        <v>0</v>
      </c>
      <c r="V1621" s="1475">
        <f t="shared" si="768"/>
        <v>67788</v>
      </c>
    </row>
    <row r="1622" spans="1:22" s="39" customFormat="1" ht="24" customHeight="1">
      <c r="A1622" s="1860">
        <v>2</v>
      </c>
      <c r="B1622" s="1860"/>
      <c r="C1622" s="1860"/>
      <c r="D1622" s="1860"/>
      <c r="E1622" s="1839"/>
      <c r="F1622" s="1841"/>
      <c r="G1622" s="1665"/>
      <c r="H1622" s="1601"/>
      <c r="I1622" s="1615"/>
      <c r="J1622" s="40" t="s">
        <v>429</v>
      </c>
      <c r="K1622" s="91"/>
      <c r="L1622" s="364">
        <v>0</v>
      </c>
      <c r="M1622" s="364">
        <v>0</v>
      </c>
      <c r="N1622" s="364">
        <v>0</v>
      </c>
      <c r="O1622" s="364">
        <v>0</v>
      </c>
      <c r="P1622" s="364">
        <v>0</v>
      </c>
      <c r="Q1622" s="1475">
        <f>L1622*$H1625</f>
        <v>0</v>
      </c>
      <c r="R1622" s="1475">
        <f>M1622*$H1625</f>
        <v>0</v>
      </c>
      <c r="S1622" s="1475">
        <f>N1622*$H1625</f>
        <v>0</v>
      </c>
      <c r="T1622" s="1475">
        <f>O1622*$H1625</f>
        <v>0</v>
      </c>
      <c r="U1622" s="1475">
        <f>P1622*$H1625</f>
        <v>0</v>
      </c>
      <c r="V1622" s="1475">
        <f t="shared" si="768"/>
        <v>0</v>
      </c>
    </row>
    <row r="1623" spans="1:22" s="39" customFormat="1" ht="24" customHeight="1">
      <c r="A1623" s="1860">
        <v>2</v>
      </c>
      <c r="B1623" s="1860"/>
      <c r="C1623" s="1860"/>
      <c r="D1623" s="1860"/>
      <c r="E1623" s="1839"/>
      <c r="F1623" s="1841"/>
      <c r="G1623" s="1665"/>
      <c r="H1623" s="1601"/>
      <c r="I1623" s="1615"/>
      <c r="J1623" s="40" t="s">
        <v>133</v>
      </c>
      <c r="K1623" s="91"/>
      <c r="L1623" s="364">
        <v>0</v>
      </c>
      <c r="M1623" s="364">
        <v>0</v>
      </c>
      <c r="N1623" s="364">
        <v>0</v>
      </c>
      <c r="O1623" s="364">
        <v>0</v>
      </c>
      <c r="P1623" s="364">
        <v>0</v>
      </c>
      <c r="Q1623" s="1475">
        <f>L1623*$H1625</f>
        <v>0</v>
      </c>
      <c r="R1623" s="1475">
        <f>M1623*$H1625</f>
        <v>0</v>
      </c>
      <c r="S1623" s="1475">
        <f>N1623*$H1625</f>
        <v>0</v>
      </c>
      <c r="T1623" s="1475">
        <f>O1623*$H1625</f>
        <v>0</v>
      </c>
      <c r="U1623" s="1475">
        <f>P1623*$H1625</f>
        <v>0</v>
      </c>
      <c r="V1623" s="1475">
        <f t="shared" si="768"/>
        <v>0</v>
      </c>
    </row>
    <row r="1624" spans="1:22" s="39" customFormat="1" ht="24" customHeight="1">
      <c r="A1624" s="1860">
        <v>2</v>
      </c>
      <c r="B1624" s="1860"/>
      <c r="C1624" s="1860"/>
      <c r="D1624" s="1860"/>
      <c r="E1624" s="1839"/>
      <c r="F1624" s="1841"/>
      <c r="G1624" s="1665"/>
      <c r="H1624" s="1601"/>
      <c r="I1624" s="1615"/>
      <c r="J1624" s="40" t="s">
        <v>81</v>
      </c>
      <c r="K1624" s="91"/>
      <c r="L1624" s="364">
        <v>0</v>
      </c>
      <c r="M1624" s="364">
        <v>0</v>
      </c>
      <c r="N1624" s="364">
        <v>0</v>
      </c>
      <c r="O1624" s="364">
        <v>0</v>
      </c>
      <c r="P1624" s="364">
        <v>0</v>
      </c>
      <c r="Q1624" s="1475">
        <f>L1624*$H1625</f>
        <v>0</v>
      </c>
      <c r="R1624" s="1475">
        <f>M1624*$H1625</f>
        <v>0</v>
      </c>
      <c r="S1624" s="1475">
        <f>N1624*$H1625</f>
        <v>0</v>
      </c>
      <c r="T1624" s="1475">
        <f>O1624*$H1625</f>
        <v>0</v>
      </c>
      <c r="U1624" s="1475">
        <f>P1624*$H1625</f>
        <v>0</v>
      </c>
      <c r="V1624" s="1475">
        <f t="shared" si="768"/>
        <v>0</v>
      </c>
    </row>
    <row r="1625" spans="1:22" s="39" customFormat="1" ht="24" customHeight="1">
      <c r="A1625" s="1860">
        <v>2</v>
      </c>
      <c r="B1625" s="1860"/>
      <c r="C1625" s="1860"/>
      <c r="D1625" s="1860"/>
      <c r="E1625" s="1839"/>
      <c r="F1625" s="1841"/>
      <c r="G1625" s="1665"/>
      <c r="H1625" s="1602">
        <f>'Budget assumption'!$H$28</f>
        <v>16947</v>
      </c>
      <c r="I1625" s="1615"/>
      <c r="J1625" s="40" t="s">
        <v>134</v>
      </c>
      <c r="K1625" s="91"/>
      <c r="L1625" s="364">
        <v>0</v>
      </c>
      <c r="M1625" s="364">
        <f>M1606*30%</f>
        <v>0</v>
      </c>
      <c r="N1625" s="364">
        <f>N1606*30%</f>
        <v>0</v>
      </c>
      <c r="O1625" s="364">
        <f>O1606*30%</f>
        <v>0</v>
      </c>
      <c r="P1625" s="364">
        <f>P1606*30%</f>
        <v>0</v>
      </c>
      <c r="Q1625" s="1475">
        <f>L1625*$H1625</f>
        <v>0</v>
      </c>
      <c r="R1625" s="1475">
        <f>M1625*$H1625</f>
        <v>0</v>
      </c>
      <c r="S1625" s="1475">
        <f>N1625*$H1625</f>
        <v>0</v>
      </c>
      <c r="T1625" s="1475">
        <f>O1625*$H1625</f>
        <v>0</v>
      </c>
      <c r="U1625" s="1475">
        <f>P1625*$H1625</f>
        <v>0</v>
      </c>
      <c r="V1625" s="1475">
        <f t="shared" si="768"/>
        <v>0</v>
      </c>
    </row>
    <row r="1626" spans="1:22" s="39" customFormat="1" ht="24" customHeight="1">
      <c r="A1626" s="1860">
        <v>2</v>
      </c>
      <c r="B1626" s="1860"/>
      <c r="C1626" s="1860"/>
      <c r="D1626" s="1860"/>
      <c r="E1626" s="1839"/>
      <c r="F1626" s="1841"/>
      <c r="G1626" s="1665"/>
      <c r="H1626" s="1603"/>
      <c r="I1626" s="1615"/>
      <c r="J1626" s="40" t="s">
        <v>82</v>
      </c>
      <c r="K1626" s="91"/>
      <c r="L1626" s="364">
        <v>4</v>
      </c>
      <c r="M1626" s="364">
        <v>0</v>
      </c>
      <c r="N1626" s="364">
        <v>0</v>
      </c>
      <c r="O1626" s="364">
        <v>0</v>
      </c>
      <c r="P1626" s="364">
        <v>0</v>
      </c>
      <c r="Q1626" s="1475">
        <f>L1626*$H1625</f>
        <v>67788</v>
      </c>
      <c r="R1626" s="1475">
        <f>M1626*$H1625</f>
        <v>0</v>
      </c>
      <c r="S1626" s="1475">
        <f>N1626*$H1625</f>
        <v>0</v>
      </c>
      <c r="T1626" s="1475">
        <f>O1626*$H1625</f>
        <v>0</v>
      </c>
      <c r="U1626" s="1475">
        <f>P1626*$H1625</f>
        <v>0</v>
      </c>
      <c r="V1626" s="1475">
        <f t="shared" si="768"/>
        <v>67788</v>
      </c>
    </row>
    <row r="1627" spans="1:22" s="39" customFormat="1" ht="24" customHeight="1">
      <c r="A1627" s="1860">
        <v>2</v>
      </c>
      <c r="B1627" s="1860"/>
      <c r="C1627" s="1860"/>
      <c r="D1627" s="1860"/>
      <c r="E1627" s="1839"/>
      <c r="F1627" s="1841"/>
      <c r="G1627" s="1665"/>
      <c r="H1627" s="1603"/>
      <c r="I1627" s="1615"/>
      <c r="J1627" s="40" t="s">
        <v>90</v>
      </c>
      <c r="K1627" s="91"/>
      <c r="L1627" s="364">
        <v>0</v>
      </c>
      <c r="M1627" s="364">
        <v>0</v>
      </c>
      <c r="N1627" s="364">
        <v>0</v>
      </c>
      <c r="O1627" s="364">
        <v>0</v>
      </c>
      <c r="P1627" s="364">
        <v>0</v>
      </c>
      <c r="Q1627" s="1475">
        <f>L1627*$H1625</f>
        <v>0</v>
      </c>
      <c r="R1627" s="1475">
        <f>M1627*$H1625</f>
        <v>0</v>
      </c>
      <c r="S1627" s="1475">
        <f>N1627*$H1625</f>
        <v>0</v>
      </c>
      <c r="T1627" s="1475">
        <f>O1627*$H1625</f>
        <v>0</v>
      </c>
      <c r="U1627" s="1475">
        <f>P1627*$H1625</f>
        <v>0</v>
      </c>
      <c r="V1627" s="1475">
        <f t="shared" si="768"/>
        <v>0</v>
      </c>
    </row>
    <row r="1628" spans="1:22" s="39" customFormat="1" ht="24" customHeight="1">
      <c r="A1628" s="1860">
        <v>2</v>
      </c>
      <c r="B1628" s="1860"/>
      <c r="C1628" s="1860"/>
      <c r="D1628" s="1860"/>
      <c r="E1628" s="1839"/>
      <c r="F1628" s="1841"/>
      <c r="G1628" s="1665"/>
      <c r="H1628" s="1603"/>
      <c r="I1628" s="1615"/>
      <c r="J1628" s="40" t="s">
        <v>83</v>
      </c>
      <c r="K1628" s="91"/>
      <c r="L1628" s="364">
        <v>0</v>
      </c>
      <c r="M1628" s="364">
        <v>0</v>
      </c>
      <c r="N1628" s="364">
        <v>0</v>
      </c>
      <c r="O1628" s="364">
        <v>0</v>
      </c>
      <c r="P1628" s="364">
        <v>0</v>
      </c>
      <c r="Q1628" s="1475">
        <f>L1628*$H1625</f>
        <v>0</v>
      </c>
      <c r="R1628" s="1475">
        <f>M1628*$H1625</f>
        <v>0</v>
      </c>
      <c r="S1628" s="1475">
        <f>N1628*$H1625</f>
        <v>0</v>
      </c>
      <c r="T1628" s="1475">
        <f>O1628*$H1625</f>
        <v>0</v>
      </c>
      <c r="U1628" s="1475">
        <f>P1628*$H1625</f>
        <v>0</v>
      </c>
      <c r="V1628" s="1475">
        <f t="shared" si="768"/>
        <v>0</v>
      </c>
    </row>
    <row r="1629" spans="1:22" s="39" customFormat="1" ht="24" customHeight="1">
      <c r="A1629" s="1860">
        <v>2</v>
      </c>
      <c r="B1629" s="1860"/>
      <c r="C1629" s="1860"/>
      <c r="D1629" s="1860"/>
      <c r="E1629" s="1839"/>
      <c r="F1629" s="1841"/>
      <c r="G1629" s="1666"/>
      <c r="H1629" s="1604"/>
      <c r="I1629" s="1617"/>
      <c r="J1629" s="40" t="s">
        <v>84</v>
      </c>
      <c r="K1629" s="91"/>
      <c r="L1629" s="364">
        <f>L1620-L1621</f>
        <v>0</v>
      </c>
      <c r="M1629" s="364">
        <f t="shared" ref="M1629:U1629" si="793">M1620-M1621</f>
        <v>0</v>
      </c>
      <c r="N1629" s="364">
        <f t="shared" si="793"/>
        <v>0</v>
      </c>
      <c r="O1629" s="364">
        <f t="shared" si="793"/>
        <v>0</v>
      </c>
      <c r="P1629" s="364">
        <f t="shared" si="793"/>
        <v>0</v>
      </c>
      <c r="Q1629" s="1475">
        <f t="shared" si="793"/>
        <v>0</v>
      </c>
      <c r="R1629" s="1475">
        <f t="shared" si="793"/>
        <v>0</v>
      </c>
      <c r="S1629" s="1475">
        <f t="shared" si="793"/>
        <v>0</v>
      </c>
      <c r="T1629" s="1475">
        <f t="shared" si="793"/>
        <v>0</v>
      </c>
      <c r="U1629" s="1475">
        <f t="shared" si="793"/>
        <v>0</v>
      </c>
      <c r="V1629" s="1475">
        <f t="shared" si="768"/>
        <v>0</v>
      </c>
    </row>
    <row r="1630" spans="1:22" s="45" customFormat="1" ht="24" customHeight="1">
      <c r="A1630" s="1860">
        <v>3</v>
      </c>
      <c r="B1630" s="1860">
        <v>2</v>
      </c>
      <c r="C1630" s="1860">
        <v>3</v>
      </c>
      <c r="D1630" s="1860">
        <v>4</v>
      </c>
      <c r="E1630" s="1839" t="s">
        <v>49</v>
      </c>
      <c r="F1630" s="1841" t="str">
        <f>CONCATENATE(A1630,".",B1630,".",C1630,".",D1630,)</f>
        <v>3.2.3.4</v>
      </c>
      <c r="G1630" s="1664" t="s">
        <v>219</v>
      </c>
      <c r="H1630" s="1601" t="s">
        <v>142</v>
      </c>
      <c r="I1630" s="1614" t="s">
        <v>414</v>
      </c>
      <c r="J1630" s="36" t="s">
        <v>79</v>
      </c>
      <c r="K1630" s="896"/>
      <c r="L1630" s="383">
        <v>0</v>
      </c>
      <c r="M1630" s="383">
        <v>2</v>
      </c>
      <c r="N1630" s="383">
        <v>2</v>
      </c>
      <c r="O1630" s="383">
        <v>2</v>
      </c>
      <c r="P1630" s="383">
        <v>2</v>
      </c>
      <c r="Q1630" s="1475">
        <f>L1630*H1635</f>
        <v>0</v>
      </c>
      <c r="R1630" s="1475">
        <f>M1630*H1635</f>
        <v>33894</v>
      </c>
      <c r="S1630" s="1475">
        <f>N1630*H1635</f>
        <v>33894</v>
      </c>
      <c r="T1630" s="1475">
        <f>O1630*H1635</f>
        <v>33894</v>
      </c>
      <c r="U1630" s="1475">
        <f>P1630*H1635</f>
        <v>33894</v>
      </c>
      <c r="V1630" s="1475">
        <f t="shared" si="768"/>
        <v>135576</v>
      </c>
    </row>
    <row r="1631" spans="1:22" s="39" customFormat="1" ht="24" customHeight="1">
      <c r="A1631" s="1860">
        <v>2</v>
      </c>
      <c r="B1631" s="1860"/>
      <c r="C1631" s="1860"/>
      <c r="D1631" s="1860"/>
      <c r="E1631" s="1839"/>
      <c r="F1631" s="1841"/>
      <c r="G1631" s="1665"/>
      <c r="H1631" s="1601"/>
      <c r="I1631" s="1615"/>
      <c r="J1631" s="40" t="s">
        <v>80</v>
      </c>
      <c r="K1631" s="91"/>
      <c r="L1631" s="364">
        <f t="shared" ref="L1631" si="794">SUM(L1632:L1638)</f>
        <v>0</v>
      </c>
      <c r="M1631" s="364">
        <f t="shared" ref="M1631" si="795">SUM(M1632:M1638)</f>
        <v>2</v>
      </c>
      <c r="N1631" s="364">
        <f t="shared" ref="N1631" si="796">SUM(N1632:N1638)</f>
        <v>2</v>
      </c>
      <c r="O1631" s="364">
        <f t="shared" ref="O1631" si="797">SUM(O1632:O1638)</f>
        <v>0</v>
      </c>
      <c r="P1631" s="364">
        <f t="shared" ref="P1631" si="798">SUM(P1632:P1638)</f>
        <v>0</v>
      </c>
      <c r="Q1631" s="1475">
        <f t="shared" ref="Q1631" si="799">SUM(Q1632:Q1638)</f>
        <v>0</v>
      </c>
      <c r="R1631" s="1475">
        <f t="shared" ref="R1631" si="800">SUM(R1632:R1638)</f>
        <v>33894</v>
      </c>
      <c r="S1631" s="1475">
        <f t="shared" ref="S1631" si="801">SUM(S1632:S1638)</f>
        <v>33894</v>
      </c>
      <c r="T1631" s="1475">
        <f t="shared" ref="T1631" si="802">SUM(T1632:T1638)</f>
        <v>0</v>
      </c>
      <c r="U1631" s="1475">
        <f t="shared" ref="U1631" si="803">SUM(U1632:U1638)</f>
        <v>0</v>
      </c>
      <c r="V1631" s="1475">
        <f t="shared" si="768"/>
        <v>67788</v>
      </c>
    </row>
    <row r="1632" spans="1:22" s="39" customFormat="1" ht="24" customHeight="1">
      <c r="A1632" s="1860">
        <v>2</v>
      </c>
      <c r="B1632" s="1860"/>
      <c r="C1632" s="1860"/>
      <c r="D1632" s="1860"/>
      <c r="E1632" s="1839"/>
      <c r="F1632" s="1841"/>
      <c r="G1632" s="1665"/>
      <c r="H1632" s="1601"/>
      <c r="I1632" s="1615"/>
      <c r="J1632" s="40" t="s">
        <v>429</v>
      </c>
      <c r="K1632" s="91"/>
      <c r="L1632" s="364">
        <v>0</v>
      </c>
      <c r="M1632" s="364">
        <v>0</v>
      </c>
      <c r="N1632" s="364">
        <v>0</v>
      </c>
      <c r="O1632" s="364">
        <v>0</v>
      </c>
      <c r="P1632" s="364">
        <v>0</v>
      </c>
      <c r="Q1632" s="1475">
        <f>L1632*$H1635</f>
        <v>0</v>
      </c>
      <c r="R1632" s="1475">
        <f>M1632*$H1635</f>
        <v>0</v>
      </c>
      <c r="S1632" s="1475">
        <f>N1632*$H1635</f>
        <v>0</v>
      </c>
      <c r="T1632" s="1475">
        <f>O1632*$H1635</f>
        <v>0</v>
      </c>
      <c r="U1632" s="1475">
        <f>P1632*$H1635</f>
        <v>0</v>
      </c>
      <c r="V1632" s="1475">
        <f t="shared" si="768"/>
        <v>0</v>
      </c>
    </row>
    <row r="1633" spans="1:22" s="39" customFormat="1" ht="24" customHeight="1">
      <c r="A1633" s="1860">
        <v>2</v>
      </c>
      <c r="B1633" s="1860"/>
      <c r="C1633" s="1860"/>
      <c r="D1633" s="1860"/>
      <c r="E1633" s="1839"/>
      <c r="F1633" s="1841"/>
      <c r="G1633" s="1665"/>
      <c r="H1633" s="1601"/>
      <c r="I1633" s="1615"/>
      <c r="J1633" s="40" t="s">
        <v>133</v>
      </c>
      <c r="K1633" s="91"/>
      <c r="L1633" s="364">
        <v>0</v>
      </c>
      <c r="M1633" s="364">
        <v>0</v>
      </c>
      <c r="N1633" s="364">
        <v>0</v>
      </c>
      <c r="O1633" s="364">
        <v>0</v>
      </c>
      <c r="P1633" s="364">
        <v>0</v>
      </c>
      <c r="Q1633" s="1475">
        <f>L1633*$H1635</f>
        <v>0</v>
      </c>
      <c r="R1633" s="1475">
        <f>M1633*$H1635</f>
        <v>0</v>
      </c>
      <c r="S1633" s="1475">
        <f>N1633*$H1635</f>
        <v>0</v>
      </c>
      <c r="T1633" s="1475">
        <f>O1633*$H1635</f>
        <v>0</v>
      </c>
      <c r="U1633" s="1475">
        <f>P1633*$H1635</f>
        <v>0</v>
      </c>
      <c r="V1633" s="1475">
        <f t="shared" si="768"/>
        <v>0</v>
      </c>
    </row>
    <row r="1634" spans="1:22" s="39" customFormat="1" ht="24" customHeight="1">
      <c r="A1634" s="1860">
        <v>2</v>
      </c>
      <c r="B1634" s="1860"/>
      <c r="C1634" s="1860"/>
      <c r="D1634" s="1860"/>
      <c r="E1634" s="1839"/>
      <c r="F1634" s="1841"/>
      <c r="G1634" s="1665"/>
      <c r="H1634" s="1601"/>
      <c r="I1634" s="1615"/>
      <c r="J1634" s="40" t="s">
        <v>81</v>
      </c>
      <c r="K1634" s="91"/>
      <c r="L1634" s="364">
        <v>0</v>
      </c>
      <c r="M1634" s="364">
        <v>0</v>
      </c>
      <c r="N1634" s="364">
        <v>0</v>
      </c>
      <c r="O1634" s="364">
        <v>0</v>
      </c>
      <c r="P1634" s="364">
        <v>0</v>
      </c>
      <c r="Q1634" s="1475">
        <f>L1634*$H1635</f>
        <v>0</v>
      </c>
      <c r="R1634" s="1475">
        <f>M1634*$H1635</f>
        <v>0</v>
      </c>
      <c r="S1634" s="1475">
        <f>N1634*$H1635</f>
        <v>0</v>
      </c>
      <c r="T1634" s="1475">
        <f>O1634*$H1635</f>
        <v>0</v>
      </c>
      <c r="U1634" s="1475">
        <f>P1634*$H1635</f>
        <v>0</v>
      </c>
      <c r="V1634" s="1475">
        <f t="shared" si="768"/>
        <v>0</v>
      </c>
    </row>
    <row r="1635" spans="1:22" s="39" customFormat="1" ht="24" customHeight="1">
      <c r="A1635" s="1860">
        <v>2</v>
      </c>
      <c r="B1635" s="1860"/>
      <c r="C1635" s="1860"/>
      <c r="D1635" s="1860"/>
      <c r="E1635" s="1839"/>
      <c r="F1635" s="1841"/>
      <c r="G1635" s="1665"/>
      <c r="H1635" s="1602">
        <f>'Budget assumption'!$H$28</f>
        <v>16947</v>
      </c>
      <c r="I1635" s="1615"/>
      <c r="J1635" s="40" t="s">
        <v>134</v>
      </c>
      <c r="K1635" s="91"/>
      <c r="L1635" s="364">
        <v>0</v>
      </c>
      <c r="M1635" s="364">
        <f>M1626*30%</f>
        <v>0</v>
      </c>
      <c r="N1635" s="364">
        <f>N1626*30%</f>
        <v>0</v>
      </c>
      <c r="O1635" s="364">
        <f>O1626*30%</f>
        <v>0</v>
      </c>
      <c r="P1635" s="364">
        <f>P1626*30%</f>
        <v>0</v>
      </c>
      <c r="Q1635" s="1475">
        <f>L1635*$H1635</f>
        <v>0</v>
      </c>
      <c r="R1635" s="1475">
        <f>M1635*$H1635</f>
        <v>0</v>
      </c>
      <c r="S1635" s="1475">
        <f>N1635*$H1635</f>
        <v>0</v>
      </c>
      <c r="T1635" s="1475">
        <f>O1635*$H1635</f>
        <v>0</v>
      </c>
      <c r="U1635" s="1475">
        <f>P1635*$H1635</f>
        <v>0</v>
      </c>
      <c r="V1635" s="1475">
        <f t="shared" si="768"/>
        <v>0</v>
      </c>
    </row>
    <row r="1636" spans="1:22" s="39" customFormat="1" ht="24" customHeight="1">
      <c r="A1636" s="1860">
        <v>2</v>
      </c>
      <c r="B1636" s="1860"/>
      <c r="C1636" s="1860"/>
      <c r="D1636" s="1860"/>
      <c r="E1636" s="1839"/>
      <c r="F1636" s="1841"/>
      <c r="G1636" s="1665"/>
      <c r="H1636" s="1603"/>
      <c r="I1636" s="1615"/>
      <c r="J1636" s="40" t="s">
        <v>82</v>
      </c>
      <c r="K1636" s="91"/>
      <c r="L1636" s="364">
        <v>0</v>
      </c>
      <c r="M1636" s="364">
        <v>2</v>
      </c>
      <c r="N1636" s="364">
        <v>2</v>
      </c>
      <c r="O1636" s="364">
        <v>0</v>
      </c>
      <c r="P1636" s="364">
        <v>0</v>
      </c>
      <c r="Q1636" s="1475">
        <f>L1636*$H1635</f>
        <v>0</v>
      </c>
      <c r="R1636" s="1475">
        <f>M1636*$H1635</f>
        <v>33894</v>
      </c>
      <c r="S1636" s="1475">
        <f>N1636*$H1635</f>
        <v>33894</v>
      </c>
      <c r="T1636" s="1475">
        <f>O1636*$H1635</f>
        <v>0</v>
      </c>
      <c r="U1636" s="1475">
        <f>P1636*$H1635</f>
        <v>0</v>
      </c>
      <c r="V1636" s="1475">
        <f t="shared" si="768"/>
        <v>67788</v>
      </c>
    </row>
    <row r="1637" spans="1:22" s="39" customFormat="1" ht="24" customHeight="1">
      <c r="A1637" s="1860">
        <v>2</v>
      </c>
      <c r="B1637" s="1860"/>
      <c r="C1637" s="1860"/>
      <c r="D1637" s="1860"/>
      <c r="E1637" s="1839"/>
      <c r="F1637" s="1841"/>
      <c r="G1637" s="1665"/>
      <c r="H1637" s="1603"/>
      <c r="I1637" s="1615"/>
      <c r="J1637" s="40" t="s">
        <v>90</v>
      </c>
      <c r="K1637" s="91"/>
      <c r="L1637" s="364">
        <v>0</v>
      </c>
      <c r="M1637" s="364">
        <v>0</v>
      </c>
      <c r="N1637" s="364">
        <v>0</v>
      </c>
      <c r="O1637" s="364">
        <v>0</v>
      </c>
      <c r="P1637" s="364">
        <v>0</v>
      </c>
      <c r="Q1637" s="1475">
        <f>L1637*$H1635</f>
        <v>0</v>
      </c>
      <c r="R1637" s="1475">
        <f>M1637*$H1635</f>
        <v>0</v>
      </c>
      <c r="S1637" s="1475">
        <f>N1637*$H1635</f>
        <v>0</v>
      </c>
      <c r="T1637" s="1475">
        <f>O1637*$H1635</f>
        <v>0</v>
      </c>
      <c r="U1637" s="1475">
        <f>P1637*$H1635</f>
        <v>0</v>
      </c>
      <c r="V1637" s="1475">
        <f t="shared" si="768"/>
        <v>0</v>
      </c>
    </row>
    <row r="1638" spans="1:22" s="39" customFormat="1" ht="24" customHeight="1">
      <c r="A1638" s="1860">
        <v>2</v>
      </c>
      <c r="B1638" s="1860"/>
      <c r="C1638" s="1860"/>
      <c r="D1638" s="1860"/>
      <c r="E1638" s="1839"/>
      <c r="F1638" s="1841"/>
      <c r="G1638" s="1665"/>
      <c r="H1638" s="1603"/>
      <c r="I1638" s="1615"/>
      <c r="J1638" s="40" t="s">
        <v>83</v>
      </c>
      <c r="K1638" s="91"/>
      <c r="L1638" s="364">
        <v>0</v>
      </c>
      <c r="M1638" s="364">
        <v>0</v>
      </c>
      <c r="N1638" s="364">
        <v>0</v>
      </c>
      <c r="O1638" s="364">
        <v>0</v>
      </c>
      <c r="P1638" s="364">
        <v>0</v>
      </c>
      <c r="Q1638" s="1475">
        <f>L1638*$H1635</f>
        <v>0</v>
      </c>
      <c r="R1638" s="1475">
        <f>M1638*$H1635</f>
        <v>0</v>
      </c>
      <c r="S1638" s="1475">
        <f>N1638*$H1635</f>
        <v>0</v>
      </c>
      <c r="T1638" s="1475">
        <f>O1638*$H1635</f>
        <v>0</v>
      </c>
      <c r="U1638" s="1475">
        <f>P1638*$H1635</f>
        <v>0</v>
      </c>
      <c r="V1638" s="1475">
        <f t="shared" si="768"/>
        <v>0</v>
      </c>
    </row>
    <row r="1639" spans="1:22" s="39" customFormat="1" ht="24" customHeight="1">
      <c r="A1639" s="1860">
        <v>2</v>
      </c>
      <c r="B1639" s="1860"/>
      <c r="C1639" s="1860"/>
      <c r="D1639" s="1860"/>
      <c r="E1639" s="1839"/>
      <c r="F1639" s="1841"/>
      <c r="G1639" s="1666"/>
      <c r="H1639" s="1604"/>
      <c r="I1639" s="1617"/>
      <c r="J1639" s="40" t="s">
        <v>84</v>
      </c>
      <c r="K1639" s="91"/>
      <c r="L1639" s="364">
        <f>L1630-L1631</f>
        <v>0</v>
      </c>
      <c r="M1639" s="364">
        <f t="shared" ref="M1639:U1639" si="804">M1630-M1631</f>
        <v>0</v>
      </c>
      <c r="N1639" s="364">
        <f t="shared" si="804"/>
        <v>0</v>
      </c>
      <c r="O1639" s="364">
        <f t="shared" si="804"/>
        <v>2</v>
      </c>
      <c r="P1639" s="364">
        <f t="shared" si="804"/>
        <v>2</v>
      </c>
      <c r="Q1639" s="1475">
        <f t="shared" si="804"/>
        <v>0</v>
      </c>
      <c r="R1639" s="1475">
        <f t="shared" si="804"/>
        <v>0</v>
      </c>
      <c r="S1639" s="1475">
        <f t="shared" si="804"/>
        <v>0</v>
      </c>
      <c r="T1639" s="1475">
        <f t="shared" si="804"/>
        <v>33894</v>
      </c>
      <c r="U1639" s="1475">
        <f t="shared" si="804"/>
        <v>33894</v>
      </c>
      <c r="V1639" s="1475">
        <f t="shared" si="768"/>
        <v>67788</v>
      </c>
    </row>
    <row r="1640" spans="1:22" s="45" customFormat="1" ht="24" customHeight="1">
      <c r="A1640" s="1860">
        <v>3</v>
      </c>
      <c r="B1640" s="1860">
        <v>2</v>
      </c>
      <c r="C1640" s="1889">
        <v>3</v>
      </c>
      <c r="D1640" s="1889">
        <v>5</v>
      </c>
      <c r="E1640" s="1966" t="s">
        <v>49</v>
      </c>
      <c r="F1640" s="1844" t="str">
        <f>CONCATENATE(A1640,".",B1640,".",C1640,".",D1640,)</f>
        <v>3.2.3.5</v>
      </c>
      <c r="G1640" s="1832" t="s">
        <v>221</v>
      </c>
      <c r="H1640" s="1629"/>
      <c r="I1640" s="1557" t="s">
        <v>415</v>
      </c>
      <c r="J1640" s="979" t="s">
        <v>79</v>
      </c>
      <c r="K1640" s="919"/>
      <c r="L1640" s="893">
        <v>0</v>
      </c>
      <c r="M1640" s="893">
        <v>0</v>
      </c>
      <c r="N1640" s="383">
        <v>0</v>
      </c>
      <c r="O1640" s="383">
        <v>0</v>
      </c>
      <c r="P1640" s="383">
        <v>0</v>
      </c>
      <c r="Q1640" s="1475">
        <f>L1640*H1645</f>
        <v>0</v>
      </c>
      <c r="R1640" s="1475">
        <f>M1640*H1645</f>
        <v>0</v>
      </c>
      <c r="S1640" s="1475">
        <f>N1640*H1645</f>
        <v>0</v>
      </c>
      <c r="T1640" s="1475">
        <f>O1640*H1645</f>
        <v>0</v>
      </c>
      <c r="U1640" s="1475">
        <f>P1640*H1645</f>
        <v>0</v>
      </c>
      <c r="V1640" s="1475">
        <f t="shared" si="768"/>
        <v>0</v>
      </c>
    </row>
    <row r="1641" spans="1:22" s="39" customFormat="1" ht="24" customHeight="1">
      <c r="A1641" s="1860">
        <v>2</v>
      </c>
      <c r="B1641" s="1860"/>
      <c r="C1641" s="1889"/>
      <c r="D1641" s="1889"/>
      <c r="E1641" s="1966"/>
      <c r="F1641" s="1844"/>
      <c r="G1641" s="1780"/>
      <c r="H1641" s="1629"/>
      <c r="I1641" s="1558"/>
      <c r="J1641" s="846" t="s">
        <v>80</v>
      </c>
      <c r="K1641" s="980"/>
      <c r="L1641" s="365">
        <f t="shared" ref="L1641" si="805">SUM(L1642:L1648)</f>
        <v>0</v>
      </c>
      <c r="M1641" s="365">
        <f t="shared" ref="M1641" si="806">SUM(M1642:M1648)</f>
        <v>0</v>
      </c>
      <c r="N1641" s="364">
        <f t="shared" ref="N1641" si="807">SUM(N1642:N1648)</f>
        <v>0</v>
      </c>
      <c r="O1641" s="364">
        <f t="shared" ref="O1641" si="808">SUM(O1642:O1648)</f>
        <v>0</v>
      </c>
      <c r="P1641" s="364">
        <f t="shared" ref="P1641" si="809">SUM(P1642:P1648)</f>
        <v>0</v>
      </c>
      <c r="Q1641" s="1475">
        <f t="shared" ref="Q1641" si="810">SUM(Q1642:Q1648)</f>
        <v>0</v>
      </c>
      <c r="R1641" s="1475">
        <f t="shared" ref="R1641" si="811">SUM(R1642:R1648)</f>
        <v>0</v>
      </c>
      <c r="S1641" s="1475">
        <f t="shared" ref="S1641" si="812">SUM(S1642:S1648)</f>
        <v>0</v>
      </c>
      <c r="T1641" s="1475">
        <f t="shared" ref="T1641" si="813">SUM(T1642:T1648)</f>
        <v>0</v>
      </c>
      <c r="U1641" s="1475">
        <f t="shared" ref="U1641" si="814">SUM(U1642:U1648)</f>
        <v>0</v>
      </c>
      <c r="V1641" s="1475">
        <f t="shared" si="768"/>
        <v>0</v>
      </c>
    </row>
    <row r="1642" spans="1:22" s="39" customFormat="1" ht="24" customHeight="1">
      <c r="A1642" s="1860">
        <v>2</v>
      </c>
      <c r="B1642" s="1860"/>
      <c r="C1642" s="1889"/>
      <c r="D1642" s="1889"/>
      <c r="E1642" s="1966"/>
      <c r="F1642" s="1844"/>
      <c r="G1642" s="1780"/>
      <c r="H1642" s="1629"/>
      <c r="I1642" s="1558"/>
      <c r="J1642" s="846" t="s">
        <v>429</v>
      </c>
      <c r="K1642" s="980"/>
      <c r="L1642" s="365">
        <v>0</v>
      </c>
      <c r="M1642" s="365">
        <v>0</v>
      </c>
      <c r="N1642" s="364">
        <v>0</v>
      </c>
      <c r="O1642" s="364">
        <v>0</v>
      </c>
      <c r="P1642" s="364">
        <v>0</v>
      </c>
      <c r="Q1642" s="1475">
        <f>L1642*$H1645</f>
        <v>0</v>
      </c>
      <c r="R1642" s="1475">
        <f>M1642*$H1645</f>
        <v>0</v>
      </c>
      <c r="S1642" s="1475">
        <f>N1642*$H1645</f>
        <v>0</v>
      </c>
      <c r="T1642" s="1475">
        <f>O1642*$H1645</f>
        <v>0</v>
      </c>
      <c r="U1642" s="1475">
        <f>P1642*$H1645</f>
        <v>0</v>
      </c>
      <c r="V1642" s="1475">
        <f t="shared" si="768"/>
        <v>0</v>
      </c>
    </row>
    <row r="1643" spans="1:22" s="39" customFormat="1" ht="24" customHeight="1">
      <c r="A1643" s="1860">
        <v>2</v>
      </c>
      <c r="B1643" s="1860"/>
      <c r="C1643" s="1889"/>
      <c r="D1643" s="1889"/>
      <c r="E1643" s="1966"/>
      <c r="F1643" s="1844"/>
      <c r="G1643" s="1780"/>
      <c r="H1643" s="1629"/>
      <c r="I1643" s="1558"/>
      <c r="J1643" s="846" t="s">
        <v>133</v>
      </c>
      <c r="K1643" s="980"/>
      <c r="L1643" s="365">
        <v>0</v>
      </c>
      <c r="M1643" s="365">
        <v>0</v>
      </c>
      <c r="N1643" s="364">
        <v>0</v>
      </c>
      <c r="O1643" s="364">
        <v>0</v>
      </c>
      <c r="P1643" s="364">
        <v>0</v>
      </c>
      <c r="Q1643" s="1475">
        <f>L1643*$H1645</f>
        <v>0</v>
      </c>
      <c r="R1643" s="1475">
        <f>M1643*$H1645</f>
        <v>0</v>
      </c>
      <c r="S1643" s="1475">
        <f>N1643*$H1645</f>
        <v>0</v>
      </c>
      <c r="T1643" s="1475">
        <f>O1643*$H1645</f>
        <v>0</v>
      </c>
      <c r="U1643" s="1475">
        <f>P1643*$H1645</f>
        <v>0</v>
      </c>
      <c r="V1643" s="1475">
        <f t="shared" si="768"/>
        <v>0</v>
      </c>
    </row>
    <row r="1644" spans="1:22" s="39" customFormat="1" ht="24" customHeight="1">
      <c r="A1644" s="1860">
        <v>2</v>
      </c>
      <c r="B1644" s="1860"/>
      <c r="C1644" s="1889"/>
      <c r="D1644" s="1889"/>
      <c r="E1644" s="1966"/>
      <c r="F1644" s="1844"/>
      <c r="G1644" s="1780"/>
      <c r="H1644" s="1629"/>
      <c r="I1644" s="1558"/>
      <c r="J1644" s="846" t="s">
        <v>81</v>
      </c>
      <c r="K1644" s="980"/>
      <c r="L1644" s="365">
        <v>0</v>
      </c>
      <c r="M1644" s="365">
        <v>0</v>
      </c>
      <c r="N1644" s="364">
        <v>0</v>
      </c>
      <c r="O1644" s="364">
        <v>0</v>
      </c>
      <c r="P1644" s="364">
        <v>0</v>
      </c>
      <c r="Q1644" s="1475">
        <f>L1644*$H1645</f>
        <v>0</v>
      </c>
      <c r="R1644" s="1475">
        <f>M1644*$H1645</f>
        <v>0</v>
      </c>
      <c r="S1644" s="1475">
        <f>N1644*$H1645</f>
        <v>0</v>
      </c>
      <c r="T1644" s="1475">
        <f>O1644*$H1645</f>
        <v>0</v>
      </c>
      <c r="U1644" s="1475">
        <f>P1644*$H1645</f>
        <v>0</v>
      </c>
      <c r="V1644" s="1475">
        <f t="shared" si="768"/>
        <v>0</v>
      </c>
    </row>
    <row r="1645" spans="1:22" s="39" customFormat="1" ht="24" customHeight="1">
      <c r="A1645" s="1860">
        <v>2</v>
      </c>
      <c r="B1645" s="1860"/>
      <c r="C1645" s="1889"/>
      <c r="D1645" s="1889"/>
      <c r="E1645" s="1966"/>
      <c r="F1645" s="1844"/>
      <c r="G1645" s="1780"/>
      <c r="H1645" s="1602">
        <v>0</v>
      </c>
      <c r="I1645" s="1558"/>
      <c r="J1645" s="846" t="s">
        <v>134</v>
      </c>
      <c r="K1645" s="980"/>
      <c r="L1645" s="365">
        <f>L1636*30%</f>
        <v>0</v>
      </c>
      <c r="M1645" s="365">
        <v>0</v>
      </c>
      <c r="N1645" s="364">
        <v>0</v>
      </c>
      <c r="O1645" s="364">
        <f>O1636*30%</f>
        <v>0</v>
      </c>
      <c r="P1645" s="364">
        <f>P1636*30%</f>
        <v>0</v>
      </c>
      <c r="Q1645" s="1475">
        <f>L1645*$H1645</f>
        <v>0</v>
      </c>
      <c r="R1645" s="1475">
        <f>M1645*$H1645</f>
        <v>0</v>
      </c>
      <c r="S1645" s="1475">
        <f>N1645*$H1645</f>
        <v>0</v>
      </c>
      <c r="T1645" s="1475">
        <f>O1645*$H1645</f>
        <v>0</v>
      </c>
      <c r="U1645" s="1475">
        <f>P1645*$H1645</f>
        <v>0</v>
      </c>
      <c r="V1645" s="1475">
        <f t="shared" si="768"/>
        <v>0</v>
      </c>
    </row>
    <row r="1646" spans="1:22" s="39" customFormat="1" ht="24" customHeight="1">
      <c r="A1646" s="1860">
        <v>2</v>
      </c>
      <c r="B1646" s="1860"/>
      <c r="C1646" s="1889"/>
      <c r="D1646" s="1889"/>
      <c r="E1646" s="1966"/>
      <c r="F1646" s="1844"/>
      <c r="G1646" s="1780"/>
      <c r="H1646" s="1603"/>
      <c r="I1646" s="1558"/>
      <c r="J1646" s="846" t="s">
        <v>82</v>
      </c>
      <c r="K1646" s="980"/>
      <c r="L1646" s="365">
        <v>0</v>
      </c>
      <c r="M1646" s="365">
        <v>0</v>
      </c>
      <c r="N1646" s="364">
        <v>0</v>
      </c>
      <c r="O1646" s="364">
        <v>0</v>
      </c>
      <c r="P1646" s="364">
        <v>0</v>
      </c>
      <c r="Q1646" s="1475">
        <f>L1646*$H1645</f>
        <v>0</v>
      </c>
      <c r="R1646" s="1475">
        <f>M1646*$H1645</f>
        <v>0</v>
      </c>
      <c r="S1646" s="1475">
        <f>N1646*$H1645</f>
        <v>0</v>
      </c>
      <c r="T1646" s="1475">
        <f>O1646*$H1645</f>
        <v>0</v>
      </c>
      <c r="U1646" s="1475">
        <f>P1646*$H1645</f>
        <v>0</v>
      </c>
      <c r="V1646" s="1475">
        <f t="shared" si="768"/>
        <v>0</v>
      </c>
    </row>
    <row r="1647" spans="1:22" s="39" customFormat="1" ht="24" customHeight="1">
      <c r="A1647" s="1860">
        <v>2</v>
      </c>
      <c r="B1647" s="1860"/>
      <c r="C1647" s="1889"/>
      <c r="D1647" s="1889"/>
      <c r="E1647" s="1966"/>
      <c r="F1647" s="1844"/>
      <c r="G1647" s="1780"/>
      <c r="H1647" s="1603"/>
      <c r="I1647" s="1558"/>
      <c r="J1647" s="846" t="s">
        <v>90</v>
      </c>
      <c r="K1647" s="980"/>
      <c r="L1647" s="365">
        <v>0</v>
      </c>
      <c r="M1647" s="365">
        <v>0</v>
      </c>
      <c r="N1647" s="364">
        <v>0</v>
      </c>
      <c r="O1647" s="364">
        <v>0</v>
      </c>
      <c r="P1647" s="364">
        <v>0</v>
      </c>
      <c r="Q1647" s="1475">
        <f>L1647*$H1645</f>
        <v>0</v>
      </c>
      <c r="R1647" s="1475">
        <f>M1647*$H1645</f>
        <v>0</v>
      </c>
      <c r="S1647" s="1475">
        <f>N1647*$H1645</f>
        <v>0</v>
      </c>
      <c r="T1647" s="1475">
        <f>O1647*$H1645</f>
        <v>0</v>
      </c>
      <c r="U1647" s="1475">
        <f>P1647*$H1645</f>
        <v>0</v>
      </c>
      <c r="V1647" s="1475">
        <f t="shared" si="768"/>
        <v>0</v>
      </c>
    </row>
    <row r="1648" spans="1:22" s="39" customFormat="1" ht="24" customHeight="1">
      <c r="A1648" s="1860">
        <v>2</v>
      </c>
      <c r="B1648" s="1860"/>
      <c r="C1648" s="1889"/>
      <c r="D1648" s="1889"/>
      <c r="E1648" s="1966"/>
      <c r="F1648" s="1844"/>
      <c r="G1648" s="1780"/>
      <c r="H1648" s="1603"/>
      <c r="I1648" s="1558"/>
      <c r="J1648" s="846" t="s">
        <v>83</v>
      </c>
      <c r="K1648" s="980"/>
      <c r="L1648" s="365">
        <v>0</v>
      </c>
      <c r="M1648" s="365">
        <v>0</v>
      </c>
      <c r="N1648" s="364">
        <v>0</v>
      </c>
      <c r="O1648" s="364">
        <v>0</v>
      </c>
      <c r="P1648" s="364">
        <v>0</v>
      </c>
      <c r="Q1648" s="1475">
        <f>L1648*$H1645</f>
        <v>0</v>
      </c>
      <c r="R1648" s="1475">
        <f>M1648*$H1645</f>
        <v>0</v>
      </c>
      <c r="S1648" s="1475">
        <f>N1648*$H1645</f>
        <v>0</v>
      </c>
      <c r="T1648" s="1475">
        <f>O1648*$H1645</f>
        <v>0</v>
      </c>
      <c r="U1648" s="1475">
        <f>P1648*$H1645</f>
        <v>0</v>
      </c>
      <c r="V1648" s="1475">
        <f t="shared" si="768"/>
        <v>0</v>
      </c>
    </row>
    <row r="1649" spans="1:22" s="39" customFormat="1" ht="24" customHeight="1">
      <c r="A1649" s="1860">
        <v>2</v>
      </c>
      <c r="B1649" s="1860"/>
      <c r="C1649" s="1889"/>
      <c r="D1649" s="1889"/>
      <c r="E1649" s="1966"/>
      <c r="F1649" s="1844"/>
      <c r="G1649" s="1833"/>
      <c r="H1649" s="1604"/>
      <c r="I1649" s="1559"/>
      <c r="J1649" s="846" t="s">
        <v>84</v>
      </c>
      <c r="K1649" s="980"/>
      <c r="L1649" s="365">
        <f>L1640-L1641</f>
        <v>0</v>
      </c>
      <c r="M1649" s="365">
        <f t="shared" ref="M1649:U1649" si="815">M1640-M1641</f>
        <v>0</v>
      </c>
      <c r="N1649" s="364">
        <f t="shared" si="815"/>
        <v>0</v>
      </c>
      <c r="O1649" s="364">
        <f t="shared" si="815"/>
        <v>0</v>
      </c>
      <c r="P1649" s="364">
        <f t="shared" si="815"/>
        <v>0</v>
      </c>
      <c r="Q1649" s="1475">
        <f t="shared" si="815"/>
        <v>0</v>
      </c>
      <c r="R1649" s="1475">
        <f t="shared" si="815"/>
        <v>0</v>
      </c>
      <c r="S1649" s="1475">
        <f t="shared" si="815"/>
        <v>0</v>
      </c>
      <c r="T1649" s="1475">
        <f t="shared" si="815"/>
        <v>0</v>
      </c>
      <c r="U1649" s="1475">
        <f t="shared" si="815"/>
        <v>0</v>
      </c>
      <c r="V1649" s="1475">
        <f t="shared" si="768"/>
        <v>0</v>
      </c>
    </row>
    <row r="1650" spans="1:22" s="45" customFormat="1" ht="24" customHeight="1">
      <c r="A1650" s="1860">
        <v>3</v>
      </c>
      <c r="B1650" s="1860">
        <v>2</v>
      </c>
      <c r="C1650" s="1860">
        <v>3</v>
      </c>
      <c r="D1650" s="1860">
        <v>6</v>
      </c>
      <c r="E1650" s="1839" t="s">
        <v>49</v>
      </c>
      <c r="F1650" s="1841" t="str">
        <f>CONCATENATE(A1650,".",B1650,".",C1650,".",D1650,)</f>
        <v>3.2.3.6</v>
      </c>
      <c r="G1650" s="1664" t="s">
        <v>418</v>
      </c>
      <c r="H1650" s="1601" t="s">
        <v>142</v>
      </c>
      <c r="I1650" s="1614" t="s">
        <v>1100</v>
      </c>
      <c r="J1650" s="36" t="s">
        <v>79</v>
      </c>
      <c r="K1650" s="896"/>
      <c r="L1650" s="383">
        <v>3</v>
      </c>
      <c r="M1650" s="383">
        <v>0</v>
      </c>
      <c r="N1650" s="383">
        <v>0</v>
      </c>
      <c r="O1650" s="383">
        <v>0</v>
      </c>
      <c r="P1650" s="383">
        <v>0</v>
      </c>
      <c r="Q1650" s="1475">
        <f>L1650*H1655</f>
        <v>50841</v>
      </c>
      <c r="R1650" s="1475">
        <f>M1650*H1655</f>
        <v>0</v>
      </c>
      <c r="S1650" s="1475">
        <f>N1650*H1655</f>
        <v>0</v>
      </c>
      <c r="T1650" s="1475">
        <f>O1650*H1655</f>
        <v>0</v>
      </c>
      <c r="U1650" s="1475">
        <f>P1650*H1655</f>
        <v>0</v>
      </c>
      <c r="V1650" s="1475">
        <f t="shared" ref="V1650:V1703" si="816">SUM(Q1650:U1650)</f>
        <v>50841</v>
      </c>
    </row>
    <row r="1651" spans="1:22" s="39" customFormat="1" ht="24" customHeight="1">
      <c r="A1651" s="1860">
        <v>2</v>
      </c>
      <c r="B1651" s="1860"/>
      <c r="C1651" s="1860"/>
      <c r="D1651" s="1860"/>
      <c r="E1651" s="1839"/>
      <c r="F1651" s="1841"/>
      <c r="G1651" s="1665"/>
      <c r="H1651" s="1601"/>
      <c r="I1651" s="1615"/>
      <c r="J1651" s="40" t="s">
        <v>80</v>
      </c>
      <c r="K1651" s="91"/>
      <c r="L1651" s="364">
        <f t="shared" ref="L1651" si="817">SUM(L1652:L1658)</f>
        <v>3</v>
      </c>
      <c r="M1651" s="364">
        <f t="shared" ref="M1651:U1651" si="818">SUM(M1652:M1658)</f>
        <v>0</v>
      </c>
      <c r="N1651" s="364">
        <f t="shared" si="818"/>
        <v>0</v>
      </c>
      <c r="O1651" s="364">
        <f t="shared" si="818"/>
        <v>0</v>
      </c>
      <c r="P1651" s="364">
        <f t="shared" si="818"/>
        <v>0</v>
      </c>
      <c r="Q1651" s="1475">
        <f t="shared" si="818"/>
        <v>50841</v>
      </c>
      <c r="R1651" s="1475">
        <f t="shared" si="818"/>
        <v>0</v>
      </c>
      <c r="S1651" s="1475">
        <f t="shared" si="818"/>
        <v>0</v>
      </c>
      <c r="T1651" s="1475">
        <f t="shared" si="818"/>
        <v>0</v>
      </c>
      <c r="U1651" s="1475">
        <f t="shared" si="818"/>
        <v>0</v>
      </c>
      <c r="V1651" s="1475">
        <f t="shared" si="816"/>
        <v>50841</v>
      </c>
    </row>
    <row r="1652" spans="1:22" s="39" customFormat="1" ht="24" customHeight="1">
      <c r="A1652" s="1860">
        <v>2</v>
      </c>
      <c r="B1652" s="1860"/>
      <c r="C1652" s="1860"/>
      <c r="D1652" s="1860"/>
      <c r="E1652" s="1839"/>
      <c r="F1652" s="1841"/>
      <c r="G1652" s="1665"/>
      <c r="H1652" s="1601"/>
      <c r="I1652" s="1615"/>
      <c r="J1652" s="40" t="s">
        <v>429</v>
      </c>
      <c r="K1652" s="91"/>
      <c r="L1652" s="364">
        <v>0</v>
      </c>
      <c r="M1652" s="364">
        <v>0</v>
      </c>
      <c r="N1652" s="364">
        <v>0</v>
      </c>
      <c r="O1652" s="364">
        <v>0</v>
      </c>
      <c r="P1652" s="364">
        <v>0</v>
      </c>
      <c r="Q1652" s="1475">
        <f>L1652*$H1655</f>
        <v>0</v>
      </c>
      <c r="R1652" s="1475">
        <f>M1652*$H1655</f>
        <v>0</v>
      </c>
      <c r="S1652" s="1475">
        <f>N1652*$H1655</f>
        <v>0</v>
      </c>
      <c r="T1652" s="1475">
        <f>O1652*$H1655</f>
        <v>0</v>
      </c>
      <c r="U1652" s="1475">
        <f>P1652*$H1655</f>
        <v>0</v>
      </c>
      <c r="V1652" s="1475">
        <f t="shared" si="816"/>
        <v>0</v>
      </c>
    </row>
    <row r="1653" spans="1:22" s="39" customFormat="1" ht="24" customHeight="1">
      <c r="A1653" s="1860">
        <v>2</v>
      </c>
      <c r="B1653" s="1860"/>
      <c r="C1653" s="1860"/>
      <c r="D1653" s="1860"/>
      <c r="E1653" s="1839"/>
      <c r="F1653" s="1841"/>
      <c r="G1653" s="1665"/>
      <c r="H1653" s="1601"/>
      <c r="I1653" s="1615"/>
      <c r="J1653" s="40" t="s">
        <v>133</v>
      </c>
      <c r="K1653" s="91"/>
      <c r="L1653" s="364">
        <v>0</v>
      </c>
      <c r="M1653" s="364">
        <v>0</v>
      </c>
      <c r="N1653" s="364">
        <v>0</v>
      </c>
      <c r="O1653" s="364">
        <v>0</v>
      </c>
      <c r="P1653" s="364">
        <v>0</v>
      </c>
      <c r="Q1653" s="1475">
        <f>L1653*$H1655</f>
        <v>0</v>
      </c>
      <c r="R1653" s="1475">
        <f>M1653*$H1655</f>
        <v>0</v>
      </c>
      <c r="S1653" s="1475">
        <f>N1653*$H1655</f>
        <v>0</v>
      </c>
      <c r="T1653" s="1475">
        <f>O1653*$H1655</f>
        <v>0</v>
      </c>
      <c r="U1653" s="1475">
        <f>P1653*$H1655</f>
        <v>0</v>
      </c>
      <c r="V1653" s="1475">
        <f t="shared" si="816"/>
        <v>0</v>
      </c>
    </row>
    <row r="1654" spans="1:22" s="39" customFormat="1" ht="24" customHeight="1">
      <c r="A1654" s="1860">
        <v>2</v>
      </c>
      <c r="B1654" s="1860"/>
      <c r="C1654" s="1860"/>
      <c r="D1654" s="1860"/>
      <c r="E1654" s="1839"/>
      <c r="F1654" s="1841"/>
      <c r="G1654" s="1665"/>
      <c r="H1654" s="1601"/>
      <c r="I1654" s="1615"/>
      <c r="J1654" s="40" t="s">
        <v>81</v>
      </c>
      <c r="K1654" s="91"/>
      <c r="L1654" s="364">
        <v>0</v>
      </c>
      <c r="M1654" s="364">
        <v>0</v>
      </c>
      <c r="N1654" s="364">
        <v>0</v>
      </c>
      <c r="O1654" s="364">
        <v>0</v>
      </c>
      <c r="P1654" s="364">
        <v>0</v>
      </c>
      <c r="Q1654" s="1475">
        <f>L1654*$H1655</f>
        <v>0</v>
      </c>
      <c r="R1654" s="1475">
        <f>M1654*$H1655</f>
        <v>0</v>
      </c>
      <c r="S1654" s="1475">
        <f>N1654*$H1655</f>
        <v>0</v>
      </c>
      <c r="T1654" s="1475">
        <f>O1654*$H1655</f>
        <v>0</v>
      </c>
      <c r="U1654" s="1475">
        <f>P1654*$H1655</f>
        <v>0</v>
      </c>
      <c r="V1654" s="1475">
        <f t="shared" si="816"/>
        <v>0</v>
      </c>
    </row>
    <row r="1655" spans="1:22" s="39" customFormat="1" ht="24" customHeight="1">
      <c r="A1655" s="1860">
        <v>2</v>
      </c>
      <c r="B1655" s="1860"/>
      <c r="C1655" s="1860"/>
      <c r="D1655" s="1860"/>
      <c r="E1655" s="1839"/>
      <c r="F1655" s="1841"/>
      <c r="G1655" s="1665"/>
      <c r="H1655" s="1602">
        <f>'Budget assumption'!$H$28</f>
        <v>16947</v>
      </c>
      <c r="I1655" s="1615"/>
      <c r="J1655" s="40" t="s">
        <v>134</v>
      </c>
      <c r="K1655" s="91"/>
      <c r="L1655" s="364">
        <f>L1646*30%</f>
        <v>0</v>
      </c>
      <c r="M1655" s="364">
        <f>M1646*30%</f>
        <v>0</v>
      </c>
      <c r="N1655" s="364">
        <f>N1646*30%</f>
        <v>0</v>
      </c>
      <c r="O1655" s="364">
        <f>O1646*30%</f>
        <v>0</v>
      </c>
      <c r="P1655" s="364">
        <f>P1646*30%</f>
        <v>0</v>
      </c>
      <c r="Q1655" s="1475">
        <f>L1655*$H1655</f>
        <v>0</v>
      </c>
      <c r="R1655" s="1475">
        <f>M1655*$H1655</f>
        <v>0</v>
      </c>
      <c r="S1655" s="1475">
        <f>N1655*$H1655</f>
        <v>0</v>
      </c>
      <c r="T1655" s="1475">
        <f>O1655*$H1655</f>
        <v>0</v>
      </c>
      <c r="U1655" s="1475">
        <f>P1655*$H1655</f>
        <v>0</v>
      </c>
      <c r="V1655" s="1475">
        <f t="shared" si="816"/>
        <v>0</v>
      </c>
    </row>
    <row r="1656" spans="1:22" s="39" customFormat="1" ht="24" customHeight="1">
      <c r="A1656" s="1860">
        <v>2</v>
      </c>
      <c r="B1656" s="1860"/>
      <c r="C1656" s="1860"/>
      <c r="D1656" s="1860"/>
      <c r="E1656" s="1839"/>
      <c r="F1656" s="1841"/>
      <c r="G1656" s="1665"/>
      <c r="H1656" s="1603"/>
      <c r="I1656" s="1615"/>
      <c r="J1656" s="40" t="s">
        <v>82</v>
      </c>
      <c r="K1656" s="91"/>
      <c r="L1656" s="364">
        <v>3</v>
      </c>
      <c r="M1656" s="364">
        <v>0</v>
      </c>
      <c r="N1656" s="364">
        <v>0</v>
      </c>
      <c r="O1656" s="364">
        <v>0</v>
      </c>
      <c r="P1656" s="364">
        <v>0</v>
      </c>
      <c r="Q1656" s="1475">
        <f>L1656*$H1655</f>
        <v>50841</v>
      </c>
      <c r="R1656" s="1475">
        <f>M1656*$H1655</f>
        <v>0</v>
      </c>
      <c r="S1656" s="1475">
        <f>N1656*$H1655</f>
        <v>0</v>
      </c>
      <c r="T1656" s="1475">
        <f>O1656*$H1655</f>
        <v>0</v>
      </c>
      <c r="U1656" s="1475">
        <f>P1656*$H1655</f>
        <v>0</v>
      </c>
      <c r="V1656" s="1475">
        <f t="shared" si="816"/>
        <v>50841</v>
      </c>
    </row>
    <row r="1657" spans="1:22" s="39" customFormat="1" ht="24" customHeight="1">
      <c r="A1657" s="1860">
        <v>2</v>
      </c>
      <c r="B1657" s="1860"/>
      <c r="C1657" s="1860"/>
      <c r="D1657" s="1860"/>
      <c r="E1657" s="1839"/>
      <c r="F1657" s="1841"/>
      <c r="G1657" s="1665"/>
      <c r="H1657" s="1603"/>
      <c r="I1657" s="1615"/>
      <c r="J1657" s="40" t="s">
        <v>90</v>
      </c>
      <c r="K1657" s="91"/>
      <c r="L1657" s="364">
        <v>0</v>
      </c>
      <c r="M1657" s="364">
        <v>0</v>
      </c>
      <c r="N1657" s="364">
        <v>0</v>
      </c>
      <c r="O1657" s="364">
        <v>0</v>
      </c>
      <c r="P1657" s="364">
        <v>0</v>
      </c>
      <c r="Q1657" s="1475">
        <f>L1657*$H1655</f>
        <v>0</v>
      </c>
      <c r="R1657" s="1475">
        <f>M1657*$H1655</f>
        <v>0</v>
      </c>
      <c r="S1657" s="1475">
        <f>N1657*$H1655</f>
        <v>0</v>
      </c>
      <c r="T1657" s="1475">
        <f>O1657*$H1655</f>
        <v>0</v>
      </c>
      <c r="U1657" s="1475">
        <f>P1657*$H1655</f>
        <v>0</v>
      </c>
      <c r="V1657" s="1475">
        <f t="shared" si="816"/>
        <v>0</v>
      </c>
    </row>
    <row r="1658" spans="1:22" s="39" customFormat="1" ht="24" customHeight="1">
      <c r="A1658" s="1860">
        <v>2</v>
      </c>
      <c r="B1658" s="1860"/>
      <c r="C1658" s="1860"/>
      <c r="D1658" s="1860"/>
      <c r="E1658" s="1839"/>
      <c r="F1658" s="1841"/>
      <c r="G1658" s="1665"/>
      <c r="H1658" s="1603"/>
      <c r="I1658" s="1615"/>
      <c r="J1658" s="40" t="s">
        <v>83</v>
      </c>
      <c r="K1658" s="91"/>
      <c r="L1658" s="364">
        <v>0</v>
      </c>
      <c r="M1658" s="364">
        <v>0</v>
      </c>
      <c r="N1658" s="364">
        <v>0</v>
      </c>
      <c r="O1658" s="364">
        <v>0</v>
      </c>
      <c r="P1658" s="364">
        <v>0</v>
      </c>
      <c r="Q1658" s="1475">
        <f>L1658*$H1655</f>
        <v>0</v>
      </c>
      <c r="R1658" s="1475">
        <f>M1658*$H1655</f>
        <v>0</v>
      </c>
      <c r="S1658" s="1475">
        <f>N1658*$H1655</f>
        <v>0</v>
      </c>
      <c r="T1658" s="1475">
        <f>O1658*$H1655</f>
        <v>0</v>
      </c>
      <c r="U1658" s="1475">
        <f>P1658*$H1655</f>
        <v>0</v>
      </c>
      <c r="V1658" s="1475">
        <f t="shared" si="816"/>
        <v>0</v>
      </c>
    </row>
    <row r="1659" spans="1:22" s="39" customFormat="1" ht="24" customHeight="1">
      <c r="A1659" s="1860">
        <v>2</v>
      </c>
      <c r="B1659" s="1860"/>
      <c r="C1659" s="1860"/>
      <c r="D1659" s="1860"/>
      <c r="E1659" s="1839"/>
      <c r="F1659" s="1841"/>
      <c r="G1659" s="1666"/>
      <c r="H1659" s="1604"/>
      <c r="I1659" s="1617"/>
      <c r="J1659" s="40" t="s">
        <v>84</v>
      </c>
      <c r="K1659" s="91"/>
      <c r="L1659" s="364">
        <f>L1650-L1651</f>
        <v>0</v>
      </c>
      <c r="M1659" s="364">
        <f t="shared" ref="M1659:U1659" si="819">M1650-M1651</f>
        <v>0</v>
      </c>
      <c r="N1659" s="364">
        <f t="shared" si="819"/>
        <v>0</v>
      </c>
      <c r="O1659" s="364">
        <f t="shared" si="819"/>
        <v>0</v>
      </c>
      <c r="P1659" s="364">
        <f t="shared" si="819"/>
        <v>0</v>
      </c>
      <c r="Q1659" s="1475">
        <f t="shared" si="819"/>
        <v>0</v>
      </c>
      <c r="R1659" s="1475">
        <f t="shared" si="819"/>
        <v>0</v>
      </c>
      <c r="S1659" s="1475">
        <f t="shared" si="819"/>
        <v>0</v>
      </c>
      <c r="T1659" s="1475">
        <f t="shared" si="819"/>
        <v>0</v>
      </c>
      <c r="U1659" s="1475">
        <f t="shared" si="819"/>
        <v>0</v>
      </c>
      <c r="V1659" s="1475">
        <f t="shared" si="816"/>
        <v>0</v>
      </c>
    </row>
    <row r="1660" spans="1:22" s="45" customFormat="1" ht="24" customHeight="1">
      <c r="A1660" s="1860">
        <v>2</v>
      </c>
      <c r="B1660" s="1860">
        <v>3</v>
      </c>
      <c r="C1660" s="1860">
        <v>3</v>
      </c>
      <c r="D1660" s="1860">
        <v>7</v>
      </c>
      <c r="E1660" s="1839" t="s">
        <v>49</v>
      </c>
      <c r="F1660" s="1841" t="str">
        <f>CONCATENATE(A1660,".",B1660,".",C1660,".",D1660,)</f>
        <v>2.3.3.7</v>
      </c>
      <c r="G1660" s="1664" t="s">
        <v>419</v>
      </c>
      <c r="H1660" s="1601" t="s">
        <v>420</v>
      </c>
      <c r="I1660" s="1614" t="s">
        <v>1053</v>
      </c>
      <c r="J1660" s="36" t="s">
        <v>79</v>
      </c>
      <c r="K1660" s="896"/>
      <c r="L1660" s="383">
        <v>4</v>
      </c>
      <c r="M1660" s="383">
        <v>4</v>
      </c>
      <c r="N1660" s="383">
        <v>4</v>
      </c>
      <c r="O1660" s="383">
        <v>4</v>
      </c>
      <c r="P1660" s="383">
        <v>4</v>
      </c>
      <c r="Q1660" s="1475">
        <f>L1660*H1665</f>
        <v>4000</v>
      </c>
      <c r="R1660" s="1475">
        <f>M1660*H1665</f>
        <v>4000</v>
      </c>
      <c r="S1660" s="1475">
        <f>N1660*H1665</f>
        <v>4000</v>
      </c>
      <c r="T1660" s="1475">
        <f>O1660*H1665</f>
        <v>4000</v>
      </c>
      <c r="U1660" s="1475">
        <f>P1660*H1665</f>
        <v>4000</v>
      </c>
      <c r="V1660" s="1475">
        <f t="shared" si="816"/>
        <v>20000</v>
      </c>
    </row>
    <row r="1661" spans="1:22" s="39" customFormat="1" ht="24" customHeight="1">
      <c r="A1661" s="1860">
        <v>2</v>
      </c>
      <c r="B1661" s="1860"/>
      <c r="C1661" s="1860"/>
      <c r="D1661" s="1860"/>
      <c r="E1661" s="1839"/>
      <c r="F1661" s="1841"/>
      <c r="G1661" s="1665"/>
      <c r="H1661" s="1601"/>
      <c r="I1661" s="1615"/>
      <c r="J1661" s="40" t="s">
        <v>80</v>
      </c>
      <c r="K1661" s="91"/>
      <c r="L1661" s="364">
        <f t="shared" ref="L1661" si="820">SUM(L1662:L1668)</f>
        <v>4</v>
      </c>
      <c r="M1661" s="364">
        <f t="shared" ref="M1661:U1661" si="821">SUM(M1662:M1668)</f>
        <v>4</v>
      </c>
      <c r="N1661" s="364">
        <f t="shared" si="821"/>
        <v>4</v>
      </c>
      <c r="O1661" s="364">
        <f t="shared" si="821"/>
        <v>0</v>
      </c>
      <c r="P1661" s="364">
        <f t="shared" si="821"/>
        <v>0</v>
      </c>
      <c r="Q1661" s="1475">
        <f t="shared" si="821"/>
        <v>4000</v>
      </c>
      <c r="R1661" s="1475">
        <f t="shared" si="821"/>
        <v>4000</v>
      </c>
      <c r="S1661" s="1475">
        <f t="shared" si="821"/>
        <v>4000</v>
      </c>
      <c r="T1661" s="1475">
        <f t="shared" si="821"/>
        <v>0</v>
      </c>
      <c r="U1661" s="1475">
        <f t="shared" si="821"/>
        <v>0</v>
      </c>
      <c r="V1661" s="1475">
        <f t="shared" si="816"/>
        <v>12000</v>
      </c>
    </row>
    <row r="1662" spans="1:22" s="39" customFormat="1" ht="24" customHeight="1">
      <c r="A1662" s="1860">
        <v>2</v>
      </c>
      <c r="B1662" s="1860"/>
      <c r="C1662" s="1860"/>
      <c r="D1662" s="1860"/>
      <c r="E1662" s="1839"/>
      <c r="F1662" s="1841"/>
      <c r="G1662" s="1665"/>
      <c r="H1662" s="1601"/>
      <c r="I1662" s="1615"/>
      <c r="J1662" s="40" t="s">
        <v>429</v>
      </c>
      <c r="K1662" s="91"/>
      <c r="L1662" s="364">
        <v>0</v>
      </c>
      <c r="M1662" s="364">
        <v>0</v>
      </c>
      <c r="N1662" s="364">
        <v>0</v>
      </c>
      <c r="O1662" s="364">
        <v>0</v>
      </c>
      <c r="P1662" s="364">
        <v>0</v>
      </c>
      <c r="Q1662" s="1475">
        <f>L1662*$H1665</f>
        <v>0</v>
      </c>
      <c r="R1662" s="1475">
        <f>M1662*$H1665</f>
        <v>0</v>
      </c>
      <c r="S1662" s="1475">
        <f>N1662*$H1665</f>
        <v>0</v>
      </c>
      <c r="T1662" s="1475">
        <f>O1662*$H1665</f>
        <v>0</v>
      </c>
      <c r="U1662" s="1475">
        <f>P1662*$H1665</f>
        <v>0</v>
      </c>
      <c r="V1662" s="1475">
        <f t="shared" si="816"/>
        <v>0</v>
      </c>
    </row>
    <row r="1663" spans="1:22" s="39" customFormat="1" ht="24" customHeight="1">
      <c r="A1663" s="1860">
        <v>2</v>
      </c>
      <c r="B1663" s="1860"/>
      <c r="C1663" s="1860"/>
      <c r="D1663" s="1860"/>
      <c r="E1663" s="1839"/>
      <c r="F1663" s="1841"/>
      <c r="G1663" s="1665"/>
      <c r="H1663" s="1601"/>
      <c r="I1663" s="1615"/>
      <c r="J1663" s="40" t="s">
        <v>133</v>
      </c>
      <c r="K1663" s="91"/>
      <c r="L1663" s="364">
        <v>0</v>
      </c>
      <c r="M1663" s="364">
        <v>0</v>
      </c>
      <c r="N1663" s="364">
        <v>0</v>
      </c>
      <c r="O1663" s="364">
        <v>0</v>
      </c>
      <c r="P1663" s="364">
        <v>0</v>
      </c>
      <c r="Q1663" s="1475">
        <f>L1663*$H1665</f>
        <v>0</v>
      </c>
      <c r="R1663" s="1475">
        <f>M1663*$H1665</f>
        <v>0</v>
      </c>
      <c r="S1663" s="1475">
        <f>N1663*$H1665</f>
        <v>0</v>
      </c>
      <c r="T1663" s="1475">
        <f>O1663*$H1665</f>
        <v>0</v>
      </c>
      <c r="U1663" s="1475">
        <f>P1663*$H1665</f>
        <v>0</v>
      </c>
      <c r="V1663" s="1475">
        <f t="shared" si="816"/>
        <v>0</v>
      </c>
    </row>
    <row r="1664" spans="1:22" s="39" customFormat="1" ht="24" customHeight="1">
      <c r="A1664" s="1860">
        <v>2</v>
      </c>
      <c r="B1664" s="1860"/>
      <c r="C1664" s="1860"/>
      <c r="D1664" s="1860"/>
      <c r="E1664" s="1839"/>
      <c r="F1664" s="1841"/>
      <c r="G1664" s="1665"/>
      <c r="H1664" s="1601"/>
      <c r="I1664" s="1615"/>
      <c r="J1664" s="40" t="s">
        <v>81</v>
      </c>
      <c r="K1664" s="91"/>
      <c r="L1664" s="364">
        <v>0</v>
      </c>
      <c r="M1664" s="364">
        <v>0</v>
      </c>
      <c r="N1664" s="364">
        <v>0</v>
      </c>
      <c r="O1664" s="364">
        <v>0</v>
      </c>
      <c r="P1664" s="364">
        <v>0</v>
      </c>
      <c r="Q1664" s="1475">
        <f>L1664*$H1665</f>
        <v>0</v>
      </c>
      <c r="R1664" s="1475">
        <f>M1664*$H1665</f>
        <v>0</v>
      </c>
      <c r="S1664" s="1475">
        <f>N1664*$H1665</f>
        <v>0</v>
      </c>
      <c r="T1664" s="1475">
        <f>O1664*$H1665</f>
        <v>0</v>
      </c>
      <c r="U1664" s="1475">
        <f>P1664*$H1665</f>
        <v>0</v>
      </c>
      <c r="V1664" s="1475">
        <f t="shared" si="816"/>
        <v>0</v>
      </c>
    </row>
    <row r="1665" spans="1:22" s="39" customFormat="1" ht="24" customHeight="1">
      <c r="A1665" s="1860">
        <v>2</v>
      </c>
      <c r="B1665" s="1860"/>
      <c r="C1665" s="1860"/>
      <c r="D1665" s="1860"/>
      <c r="E1665" s="1839"/>
      <c r="F1665" s="1841"/>
      <c r="G1665" s="1665"/>
      <c r="H1665" s="1598">
        <f>'Budget assumption'!H88</f>
        <v>1000</v>
      </c>
      <c r="I1665" s="1615"/>
      <c r="J1665" s="40" t="s">
        <v>134</v>
      </c>
      <c r="K1665" s="91"/>
      <c r="L1665" s="364">
        <v>0</v>
      </c>
      <c r="M1665" s="364">
        <v>0</v>
      </c>
      <c r="N1665" s="364">
        <v>0</v>
      </c>
      <c r="O1665" s="364">
        <f>O1656*30%</f>
        <v>0</v>
      </c>
      <c r="P1665" s="364">
        <f>P1656*30%</f>
        <v>0</v>
      </c>
      <c r="Q1665" s="1475">
        <f>L1665*$H1665</f>
        <v>0</v>
      </c>
      <c r="R1665" s="1475">
        <f>M1665*$H1665</f>
        <v>0</v>
      </c>
      <c r="S1665" s="1475">
        <f>N1665*$H1665</f>
        <v>0</v>
      </c>
      <c r="T1665" s="1475">
        <f>O1665*$H1665</f>
        <v>0</v>
      </c>
      <c r="U1665" s="1475">
        <f>P1665*$H1665</f>
        <v>0</v>
      </c>
      <c r="V1665" s="1475">
        <f t="shared" si="816"/>
        <v>0</v>
      </c>
    </row>
    <row r="1666" spans="1:22" s="39" customFormat="1" ht="24" customHeight="1">
      <c r="A1666" s="1860">
        <v>2</v>
      </c>
      <c r="B1666" s="1860"/>
      <c r="C1666" s="1860"/>
      <c r="D1666" s="1860"/>
      <c r="E1666" s="1839"/>
      <c r="F1666" s="1841"/>
      <c r="G1666" s="1665"/>
      <c r="H1666" s="1599"/>
      <c r="I1666" s="1615"/>
      <c r="J1666" s="40" t="s">
        <v>82</v>
      </c>
      <c r="K1666" s="91"/>
      <c r="L1666" s="364">
        <v>3</v>
      </c>
      <c r="M1666" s="364">
        <v>3</v>
      </c>
      <c r="N1666" s="364">
        <v>3</v>
      </c>
      <c r="O1666" s="364">
        <v>0</v>
      </c>
      <c r="P1666" s="364">
        <v>0</v>
      </c>
      <c r="Q1666" s="1475">
        <f>L1666*$H1665</f>
        <v>3000</v>
      </c>
      <c r="R1666" s="1475">
        <f>M1666*$H1665</f>
        <v>3000</v>
      </c>
      <c r="S1666" s="1475">
        <f>N1666*$H1665</f>
        <v>3000</v>
      </c>
      <c r="T1666" s="1475">
        <f>O1666*$H1665</f>
        <v>0</v>
      </c>
      <c r="U1666" s="1475">
        <f>P1666*$H1665</f>
        <v>0</v>
      </c>
      <c r="V1666" s="1475">
        <f t="shared" si="816"/>
        <v>9000</v>
      </c>
    </row>
    <row r="1667" spans="1:22" s="39" customFormat="1" ht="24" customHeight="1">
      <c r="A1667" s="1860">
        <v>2</v>
      </c>
      <c r="B1667" s="1860"/>
      <c r="C1667" s="1860"/>
      <c r="D1667" s="1860"/>
      <c r="E1667" s="1839"/>
      <c r="F1667" s="1841"/>
      <c r="G1667" s="1665"/>
      <c r="H1667" s="1599"/>
      <c r="I1667" s="1615"/>
      <c r="J1667" s="40" t="s">
        <v>90</v>
      </c>
      <c r="K1667" s="91"/>
      <c r="L1667" s="364">
        <v>1</v>
      </c>
      <c r="M1667" s="364">
        <v>1</v>
      </c>
      <c r="N1667" s="364">
        <v>1</v>
      </c>
      <c r="O1667" s="364">
        <v>0</v>
      </c>
      <c r="P1667" s="364">
        <v>0</v>
      </c>
      <c r="Q1667" s="1475">
        <f>L1667*$H1665</f>
        <v>1000</v>
      </c>
      <c r="R1667" s="1475">
        <f>M1667*$H1665</f>
        <v>1000</v>
      </c>
      <c r="S1667" s="1475">
        <f>N1667*$H1665</f>
        <v>1000</v>
      </c>
      <c r="T1667" s="1475">
        <f>O1667*$H1665</f>
        <v>0</v>
      </c>
      <c r="U1667" s="1475">
        <f>P1667*$H1665</f>
        <v>0</v>
      </c>
      <c r="V1667" s="1475">
        <f t="shared" si="816"/>
        <v>3000</v>
      </c>
    </row>
    <row r="1668" spans="1:22" s="39" customFormat="1" ht="24" customHeight="1">
      <c r="A1668" s="1860">
        <v>2</v>
      </c>
      <c r="B1668" s="1860"/>
      <c r="C1668" s="1860"/>
      <c r="D1668" s="1860"/>
      <c r="E1668" s="1839"/>
      <c r="F1668" s="1841"/>
      <c r="G1668" s="1665"/>
      <c r="H1668" s="1599"/>
      <c r="I1668" s="1615"/>
      <c r="J1668" s="40" t="s">
        <v>83</v>
      </c>
      <c r="K1668" s="91"/>
      <c r="L1668" s="364">
        <v>0</v>
      </c>
      <c r="M1668" s="364">
        <v>0</v>
      </c>
      <c r="N1668" s="364">
        <v>0</v>
      </c>
      <c r="O1668" s="364">
        <v>0</v>
      </c>
      <c r="P1668" s="364">
        <v>0</v>
      </c>
      <c r="Q1668" s="1475">
        <f>L1668*$H1665</f>
        <v>0</v>
      </c>
      <c r="R1668" s="1475">
        <f>M1668*$H1665</f>
        <v>0</v>
      </c>
      <c r="S1668" s="1475">
        <f>N1668*$H1665</f>
        <v>0</v>
      </c>
      <c r="T1668" s="1475">
        <f>O1668*$H1665</f>
        <v>0</v>
      </c>
      <c r="U1668" s="1475">
        <f>P1668*$H1665</f>
        <v>0</v>
      </c>
      <c r="V1668" s="1475">
        <f t="shared" si="816"/>
        <v>0</v>
      </c>
    </row>
    <row r="1669" spans="1:22" s="39" customFormat="1" ht="24" customHeight="1" thickBot="1">
      <c r="A1669" s="1860">
        <v>2</v>
      </c>
      <c r="B1669" s="1860"/>
      <c r="C1669" s="1860"/>
      <c r="D1669" s="1860"/>
      <c r="E1669" s="1839"/>
      <c r="F1669" s="1863"/>
      <c r="G1669" s="1665"/>
      <c r="H1669" s="1599"/>
      <c r="I1669" s="1615"/>
      <c r="J1669" s="40" t="s">
        <v>84</v>
      </c>
      <c r="K1669" s="91"/>
      <c r="L1669" s="364">
        <f>L1660-L1661</f>
        <v>0</v>
      </c>
      <c r="M1669" s="364">
        <f t="shared" ref="M1669:U1669" si="822">M1660-M1661</f>
        <v>0</v>
      </c>
      <c r="N1669" s="364">
        <f t="shared" si="822"/>
        <v>0</v>
      </c>
      <c r="O1669" s="364">
        <f t="shared" si="822"/>
        <v>4</v>
      </c>
      <c r="P1669" s="364">
        <f t="shared" si="822"/>
        <v>4</v>
      </c>
      <c r="Q1669" s="1475">
        <f t="shared" si="822"/>
        <v>0</v>
      </c>
      <c r="R1669" s="1475">
        <f t="shared" si="822"/>
        <v>0</v>
      </c>
      <c r="S1669" s="1475">
        <f t="shared" si="822"/>
        <v>0</v>
      </c>
      <c r="T1669" s="1475">
        <f t="shared" si="822"/>
        <v>4000</v>
      </c>
      <c r="U1669" s="1475">
        <f t="shared" si="822"/>
        <v>4000</v>
      </c>
      <c r="V1669" s="1475">
        <f t="shared" si="816"/>
        <v>8000</v>
      </c>
    </row>
    <row r="1670" spans="1:22" s="67" customFormat="1" ht="33" customHeight="1" thickBot="1">
      <c r="A1670" s="825">
        <v>3</v>
      </c>
      <c r="B1670" s="826">
        <v>2</v>
      </c>
      <c r="C1670" s="826">
        <v>4</v>
      </c>
      <c r="D1670" s="826"/>
      <c r="E1670" s="827" t="s">
        <v>135</v>
      </c>
      <c r="F1670" s="977" t="str">
        <f>CONCATENATE(A1670,".",B1670,".",C1670,)</f>
        <v>3.2.4</v>
      </c>
      <c r="G1670" s="1867" t="s">
        <v>331</v>
      </c>
      <c r="H1670" s="1868"/>
      <c r="I1670" s="1868"/>
      <c r="J1670" s="1869"/>
      <c r="K1670" s="831"/>
      <c r="L1670" s="832"/>
      <c r="M1670" s="832"/>
      <c r="N1670" s="832"/>
      <c r="O1670" s="832"/>
      <c r="P1670" s="832"/>
      <c r="Q1670" s="1534">
        <f ca="1">Q1672+Q1682+Q1692+Q1702+Q1712+Q1732+Q1742+Q1752+Q1722+Q1762+Q1772+Q1782+Q1792+Q1802+Q1812</f>
        <v>2029820.4619999998</v>
      </c>
      <c r="R1670" s="1534">
        <f t="shared" ref="R1670:U1670" ca="1" si="823">R1672+R1682+R1692+R1702+R1712+R1732+R1742+R1752+R1722+R1762+R1772+R1782+R1792+R1802+R1812</f>
        <v>967563.73600000003</v>
      </c>
      <c r="S1670" s="1534">
        <f t="shared" ca="1" si="823"/>
        <v>1189933.3456000001</v>
      </c>
      <c r="T1670" s="1534">
        <f t="shared" ca="1" si="823"/>
        <v>118765.72856000002</v>
      </c>
      <c r="U1670" s="1534">
        <f t="shared" ca="1" si="823"/>
        <v>150983.85741600004</v>
      </c>
      <c r="V1670" s="1534">
        <f t="shared" ca="1" si="816"/>
        <v>4457067.1295760004</v>
      </c>
    </row>
    <row r="1671" spans="1:22" s="45" customFormat="1" ht="24" customHeight="1">
      <c r="A1671" s="1860">
        <v>3</v>
      </c>
      <c r="B1671" s="1860">
        <v>2</v>
      </c>
      <c r="C1671" s="1860">
        <v>4</v>
      </c>
      <c r="D1671" s="1954">
        <v>1</v>
      </c>
      <c r="E1671" s="1962" t="s">
        <v>136</v>
      </c>
      <c r="F1671" s="1753" t="str">
        <f>CONCATENATE(A1671,".",B1671,".",C1671,".",D1671,)</f>
        <v>3.2.4.1</v>
      </c>
      <c r="G1671" s="1891" t="s">
        <v>1076</v>
      </c>
      <c r="H1671" s="1680" t="s">
        <v>1016</v>
      </c>
      <c r="I1671" s="1765" t="s">
        <v>1017</v>
      </c>
      <c r="J1671" s="815" t="s">
        <v>79</v>
      </c>
      <c r="K1671" s="897"/>
      <c r="L1671" s="1455">
        <f ca="1">'Budget Assumption_Lab Comp2'!G437</f>
        <v>0.43536672698571593</v>
      </c>
      <c r="M1671" s="1455">
        <f ca="1">'Budget Assumption_Lab Comp2'!I437</f>
        <v>0</v>
      </c>
      <c r="N1671" s="1455">
        <f ca="1">'Budget Assumption_Lab Comp2'!K437</f>
        <v>0</v>
      </c>
      <c r="O1671" s="1455">
        <f ca="1">'Budget Assumption_Lab Comp2'!M437</f>
        <v>0</v>
      </c>
      <c r="P1671" s="1455">
        <f ca="1">'Budget Assumption_Lab Comp2'!O437</f>
        <v>0.56463327301428412</v>
      </c>
      <c r="Q1671" s="1489">
        <f ca="1">L1671*H1676</f>
        <v>604966.23</v>
      </c>
      <c r="R1671" s="1489">
        <f ca="1">M1671*H1676</f>
        <v>0</v>
      </c>
      <c r="S1671" s="1489">
        <f ca="1">N1671*H1676</f>
        <v>0</v>
      </c>
      <c r="T1671" s="1489">
        <f ca="1">O1671*H1676</f>
        <v>0</v>
      </c>
      <c r="U1671" s="1489">
        <f ca="1">P1671*H1676</f>
        <v>784589.27000000014</v>
      </c>
      <c r="V1671" s="1489">
        <f t="shared" ca="1" si="816"/>
        <v>1389555.5</v>
      </c>
    </row>
    <row r="1672" spans="1:22" s="39" customFormat="1" ht="24" customHeight="1">
      <c r="A1672" s="1860">
        <v>3</v>
      </c>
      <c r="B1672" s="1860"/>
      <c r="C1672" s="1860"/>
      <c r="D1672" s="1954"/>
      <c r="E1672" s="1962"/>
      <c r="F1672" s="1753"/>
      <c r="G1672" s="1891"/>
      <c r="H1672" s="1680"/>
      <c r="I1672" s="1765"/>
      <c r="J1672" s="40" t="s">
        <v>80</v>
      </c>
      <c r="K1672" s="91"/>
      <c r="L1672" s="41">
        <f t="shared" ref="L1672:P1672" ca="1" si="824">SUM(L1673:L1679)</f>
        <v>0.43536672698571593</v>
      </c>
      <c r="M1672" s="41">
        <f t="shared" si="824"/>
        <v>0</v>
      </c>
      <c r="N1672" s="41">
        <f t="shared" si="824"/>
        <v>0</v>
      </c>
      <c r="O1672" s="41">
        <f t="shared" si="824"/>
        <v>0</v>
      </c>
      <c r="P1672" s="41">
        <f t="shared" si="824"/>
        <v>0</v>
      </c>
      <c r="Q1672" s="1475">
        <f t="shared" ref="Q1672:U1672" ca="1" si="825">SUM(Q1673:Q1679)</f>
        <v>604966.23</v>
      </c>
      <c r="R1672" s="1475">
        <f t="shared" ca="1" si="825"/>
        <v>0</v>
      </c>
      <c r="S1672" s="1475">
        <f t="shared" ca="1" si="825"/>
        <v>0</v>
      </c>
      <c r="T1672" s="1475">
        <f t="shared" ca="1" si="825"/>
        <v>0</v>
      </c>
      <c r="U1672" s="1475">
        <f t="shared" ca="1" si="825"/>
        <v>0</v>
      </c>
      <c r="V1672" s="1475">
        <f t="shared" ca="1" si="816"/>
        <v>604966.23</v>
      </c>
    </row>
    <row r="1673" spans="1:22" s="39" customFormat="1" ht="24" customHeight="1">
      <c r="A1673" s="1860">
        <v>3</v>
      </c>
      <c r="B1673" s="1860"/>
      <c r="C1673" s="1860"/>
      <c r="D1673" s="1954"/>
      <c r="E1673" s="1962"/>
      <c r="F1673" s="1753"/>
      <c r="G1673" s="1891"/>
      <c r="H1673" s="1680"/>
      <c r="I1673" s="1765"/>
      <c r="J1673" s="40" t="s">
        <v>429</v>
      </c>
      <c r="K1673" s="42"/>
      <c r="L1673" s="41">
        <v>0</v>
      </c>
      <c r="M1673" s="41">
        <v>0</v>
      </c>
      <c r="N1673" s="41">
        <v>0</v>
      </c>
      <c r="O1673" s="41">
        <v>0</v>
      </c>
      <c r="P1673" s="41">
        <v>0</v>
      </c>
      <c r="Q1673" s="1475">
        <f ca="1">L1673*$H1676</f>
        <v>0</v>
      </c>
      <c r="R1673" s="1475">
        <f ca="1">M1673*$H1676</f>
        <v>0</v>
      </c>
      <c r="S1673" s="1475">
        <f ca="1">N1673*$H1676</f>
        <v>0</v>
      </c>
      <c r="T1673" s="1475">
        <f ca="1">O1673*$H1676</f>
        <v>0</v>
      </c>
      <c r="U1673" s="1475">
        <f ca="1">P1673*$H1676</f>
        <v>0</v>
      </c>
      <c r="V1673" s="1475">
        <f t="shared" ca="1" si="816"/>
        <v>0</v>
      </c>
    </row>
    <row r="1674" spans="1:22" s="39" customFormat="1" ht="24" customHeight="1">
      <c r="A1674" s="1860">
        <v>3</v>
      </c>
      <c r="B1674" s="1860"/>
      <c r="C1674" s="1860"/>
      <c r="D1674" s="1954"/>
      <c r="E1674" s="1962"/>
      <c r="F1674" s="1753"/>
      <c r="G1674" s="1891"/>
      <c r="H1674" s="1680"/>
      <c r="I1674" s="1765"/>
      <c r="J1674" s="40" t="s">
        <v>133</v>
      </c>
      <c r="K1674" s="42"/>
      <c r="L1674" s="41">
        <v>0</v>
      </c>
      <c r="M1674" s="41">
        <v>0</v>
      </c>
      <c r="N1674" s="41">
        <v>0</v>
      </c>
      <c r="O1674" s="41">
        <v>0</v>
      </c>
      <c r="P1674" s="41">
        <v>0</v>
      </c>
      <c r="Q1674" s="1475">
        <f ca="1">L1674*$H1676</f>
        <v>0</v>
      </c>
      <c r="R1674" s="1475">
        <f ca="1">M1674*$H1676</f>
        <v>0</v>
      </c>
      <c r="S1674" s="1475">
        <f ca="1">N1674*$H1676</f>
        <v>0</v>
      </c>
      <c r="T1674" s="1475">
        <f ca="1">O1674*$H1676</f>
        <v>0</v>
      </c>
      <c r="U1674" s="1475">
        <f ca="1">P1674*$H1676</f>
        <v>0</v>
      </c>
      <c r="V1674" s="1475">
        <f t="shared" ca="1" si="816"/>
        <v>0</v>
      </c>
    </row>
    <row r="1675" spans="1:22" s="39" customFormat="1" ht="24" customHeight="1">
      <c r="A1675" s="1860">
        <v>3</v>
      </c>
      <c r="B1675" s="1860"/>
      <c r="C1675" s="1860"/>
      <c r="D1675" s="1954"/>
      <c r="E1675" s="1962"/>
      <c r="F1675" s="1753"/>
      <c r="G1675" s="1891"/>
      <c r="H1675" s="1681"/>
      <c r="I1675" s="1765"/>
      <c r="J1675" s="40" t="s">
        <v>81</v>
      </c>
      <c r="K1675" s="42"/>
      <c r="L1675" s="41">
        <v>0</v>
      </c>
      <c r="M1675" s="41">
        <v>0</v>
      </c>
      <c r="N1675" s="41">
        <v>0</v>
      </c>
      <c r="O1675" s="41">
        <v>0</v>
      </c>
      <c r="P1675" s="41">
        <v>0</v>
      </c>
      <c r="Q1675" s="1475">
        <f ca="1">L1675*$H1676</f>
        <v>0</v>
      </c>
      <c r="R1675" s="1475">
        <f ca="1">M1675*$H1676</f>
        <v>0</v>
      </c>
      <c r="S1675" s="1475">
        <f ca="1">N1675*$H1676</f>
        <v>0</v>
      </c>
      <c r="T1675" s="1475">
        <f ca="1">O1675*$H1676</f>
        <v>0</v>
      </c>
      <c r="U1675" s="1475">
        <f ca="1">P1675*$H1676</f>
        <v>0</v>
      </c>
      <c r="V1675" s="1475">
        <f t="shared" ca="1" si="816"/>
        <v>0</v>
      </c>
    </row>
    <row r="1676" spans="1:22" s="39" customFormat="1" ht="24" customHeight="1">
      <c r="A1676" s="1860">
        <v>3</v>
      </c>
      <c r="B1676" s="1860"/>
      <c r="C1676" s="1860"/>
      <c r="D1676" s="1954"/>
      <c r="E1676" s="1962"/>
      <c r="F1676" s="1753"/>
      <c r="G1676" s="1891"/>
      <c r="H1676" s="1595">
        <f ca="1">'Budget Assumption_Lab Comp2'!P436</f>
        <v>1389555.5</v>
      </c>
      <c r="I1676" s="1765"/>
      <c r="J1676" s="40" t="s">
        <v>134</v>
      </c>
      <c r="K1676" s="42"/>
      <c r="L1676" s="41">
        <f>L1728*30%</f>
        <v>0</v>
      </c>
      <c r="M1676" s="41">
        <f>M1728*30%</f>
        <v>0</v>
      </c>
      <c r="N1676" s="41">
        <f>N1728*30%</f>
        <v>0</v>
      </c>
      <c r="O1676" s="41">
        <f>O1728*30%</f>
        <v>0</v>
      </c>
      <c r="P1676" s="41">
        <f>P1728*30%</f>
        <v>0</v>
      </c>
      <c r="Q1676" s="1475">
        <f ca="1">L1676*$H1676</f>
        <v>0</v>
      </c>
      <c r="R1676" s="1475">
        <f ca="1">M1676*$H1676</f>
        <v>0</v>
      </c>
      <c r="S1676" s="1475">
        <f ca="1">N1676*$H1676</f>
        <v>0</v>
      </c>
      <c r="T1676" s="1475">
        <f ca="1">O1676*$H1676</f>
        <v>0</v>
      </c>
      <c r="U1676" s="1475">
        <f ca="1">P1676*$H1676</f>
        <v>0</v>
      </c>
      <c r="V1676" s="1475">
        <f t="shared" ca="1" si="816"/>
        <v>0</v>
      </c>
    </row>
    <row r="1677" spans="1:22" s="39" customFormat="1" ht="24" customHeight="1">
      <c r="A1677" s="1860">
        <v>3</v>
      </c>
      <c r="B1677" s="1860"/>
      <c r="C1677" s="1860"/>
      <c r="D1677" s="1954"/>
      <c r="E1677" s="1962"/>
      <c r="F1677" s="1753"/>
      <c r="G1677" s="1891"/>
      <c r="H1677" s="1596"/>
      <c r="I1677" s="1765"/>
      <c r="J1677" s="40" t="s">
        <v>82</v>
      </c>
      <c r="K1677" s="42"/>
      <c r="L1677" s="38">
        <f ca="1">L1671</f>
        <v>0.43536672698571593</v>
      </c>
      <c r="M1677" s="38">
        <v>0</v>
      </c>
      <c r="N1677" s="38">
        <v>0</v>
      </c>
      <c r="O1677" s="38">
        <v>0</v>
      </c>
      <c r="P1677" s="38">
        <v>0</v>
      </c>
      <c r="Q1677" s="1475">
        <f ca="1">L1677*$H1676</f>
        <v>604966.23</v>
      </c>
      <c r="R1677" s="1475">
        <f ca="1">M1677*$H1676</f>
        <v>0</v>
      </c>
      <c r="S1677" s="1475">
        <f ca="1">N1677*$H1676</f>
        <v>0</v>
      </c>
      <c r="T1677" s="1475">
        <f ca="1">O1677*$H1676</f>
        <v>0</v>
      </c>
      <c r="U1677" s="1475">
        <f ca="1">P1677*$H1676</f>
        <v>0</v>
      </c>
      <c r="V1677" s="1475">
        <f t="shared" ca="1" si="816"/>
        <v>604966.23</v>
      </c>
    </row>
    <row r="1678" spans="1:22" s="39" customFormat="1" ht="24" customHeight="1">
      <c r="A1678" s="1860">
        <v>3</v>
      </c>
      <c r="B1678" s="1860"/>
      <c r="C1678" s="1860"/>
      <c r="D1678" s="1954"/>
      <c r="E1678" s="1962"/>
      <c r="F1678" s="1753"/>
      <c r="G1678" s="1891"/>
      <c r="H1678" s="1596"/>
      <c r="I1678" s="1765"/>
      <c r="J1678" s="40" t="s">
        <v>90</v>
      </c>
      <c r="K1678" s="42"/>
      <c r="L1678" s="41">
        <v>0</v>
      </c>
      <c r="M1678" s="41">
        <v>0</v>
      </c>
      <c r="N1678" s="41">
        <v>0</v>
      </c>
      <c r="O1678" s="41">
        <v>0</v>
      </c>
      <c r="P1678" s="41">
        <v>0</v>
      </c>
      <c r="Q1678" s="1475">
        <f ca="1">L1678*$H1676</f>
        <v>0</v>
      </c>
      <c r="R1678" s="1475">
        <f ca="1">M1678*$H1676</f>
        <v>0</v>
      </c>
      <c r="S1678" s="1475">
        <f ca="1">N1678*$H1676</f>
        <v>0</v>
      </c>
      <c r="T1678" s="1475">
        <f ca="1">O1678*$H1676</f>
        <v>0</v>
      </c>
      <c r="U1678" s="1475">
        <f ca="1">P1678*$H1676</f>
        <v>0</v>
      </c>
      <c r="V1678" s="1475">
        <f t="shared" ca="1" si="816"/>
        <v>0</v>
      </c>
    </row>
    <row r="1679" spans="1:22" s="39" customFormat="1" ht="24" customHeight="1">
      <c r="A1679" s="1860">
        <v>3</v>
      </c>
      <c r="B1679" s="1860"/>
      <c r="C1679" s="1860"/>
      <c r="D1679" s="1954"/>
      <c r="E1679" s="1962"/>
      <c r="F1679" s="1753"/>
      <c r="G1679" s="1891"/>
      <c r="H1679" s="1596"/>
      <c r="I1679" s="1765"/>
      <c r="J1679" s="40" t="s">
        <v>83</v>
      </c>
      <c r="K1679" s="42"/>
      <c r="L1679" s="41">
        <v>0</v>
      </c>
      <c r="M1679" s="41">
        <v>0</v>
      </c>
      <c r="N1679" s="41">
        <v>0</v>
      </c>
      <c r="O1679" s="41">
        <v>0</v>
      </c>
      <c r="P1679" s="41">
        <v>0</v>
      </c>
      <c r="Q1679" s="1475">
        <f ca="1">L1679*$H1676</f>
        <v>0</v>
      </c>
      <c r="R1679" s="1475">
        <f ca="1">M1679*$H1676</f>
        <v>0</v>
      </c>
      <c r="S1679" s="1475">
        <f ca="1">N1679*$H1676</f>
        <v>0</v>
      </c>
      <c r="T1679" s="1475">
        <f ca="1">O1679*$H1676</f>
        <v>0</v>
      </c>
      <c r="U1679" s="1475">
        <f ca="1">P1679*$H1676</f>
        <v>0</v>
      </c>
      <c r="V1679" s="1475">
        <f t="shared" ca="1" si="816"/>
        <v>0</v>
      </c>
    </row>
    <row r="1680" spans="1:22" s="39" customFormat="1" ht="24" customHeight="1" thickBot="1">
      <c r="A1680" s="1860">
        <v>3</v>
      </c>
      <c r="B1680" s="1860"/>
      <c r="C1680" s="1860"/>
      <c r="D1680" s="1954"/>
      <c r="E1680" s="1962"/>
      <c r="F1680" s="1994"/>
      <c r="G1680" s="1896"/>
      <c r="H1680" s="1597"/>
      <c r="I1680" s="1766"/>
      <c r="J1680" s="80" t="s">
        <v>84</v>
      </c>
      <c r="K1680" s="81"/>
      <c r="L1680" s="83">
        <f ca="1">L1671-L1672</f>
        <v>0</v>
      </c>
      <c r="M1680" s="83">
        <f t="shared" ref="M1680:P1680" ca="1" si="826">M1671-M1672</f>
        <v>0</v>
      </c>
      <c r="N1680" s="83">
        <f t="shared" ca="1" si="826"/>
        <v>0</v>
      </c>
      <c r="O1680" s="83">
        <f t="shared" ca="1" si="826"/>
        <v>0</v>
      </c>
      <c r="P1680" s="83">
        <f t="shared" ca="1" si="826"/>
        <v>0.56463327301428412</v>
      </c>
      <c r="Q1680" s="1518">
        <f t="shared" ref="Q1680:U1680" ca="1" si="827">Q1671-Q1672</f>
        <v>0</v>
      </c>
      <c r="R1680" s="1518">
        <f t="shared" ca="1" si="827"/>
        <v>0</v>
      </c>
      <c r="S1680" s="1487">
        <f t="shared" ca="1" si="827"/>
        <v>0</v>
      </c>
      <c r="T1680" s="1487">
        <f t="shared" ca="1" si="827"/>
        <v>0</v>
      </c>
      <c r="U1680" s="1487">
        <f t="shared" ca="1" si="827"/>
        <v>784589.27000000014</v>
      </c>
      <c r="V1680" s="1487">
        <f t="shared" ca="1" si="816"/>
        <v>784589.27000000014</v>
      </c>
    </row>
    <row r="1681" spans="1:22" s="45" customFormat="1" ht="24" customHeight="1">
      <c r="A1681" s="1860">
        <v>3</v>
      </c>
      <c r="B1681" s="1860">
        <v>2</v>
      </c>
      <c r="C1681" s="1860">
        <v>4</v>
      </c>
      <c r="D1681" s="1860">
        <v>2</v>
      </c>
      <c r="E1681" s="1839" t="s">
        <v>136</v>
      </c>
      <c r="F1681" s="1844" t="str">
        <f>CONCATENATE(A1681,".",B1681,".",C1681,".",D1681,)</f>
        <v>3.2.4.2</v>
      </c>
      <c r="G1681" s="1891" t="s">
        <v>1077</v>
      </c>
      <c r="H1681" s="1650" t="s">
        <v>1016</v>
      </c>
      <c r="I1681" s="1789" t="s">
        <v>1029</v>
      </c>
      <c r="J1681" s="262" t="s">
        <v>79</v>
      </c>
      <c r="K1681" s="912"/>
      <c r="L1681" s="931">
        <f>'Budget Assumption_Lab Comp2'!G458</f>
        <v>0.25911002102312547</v>
      </c>
      <c r="M1681" s="931">
        <f>'Budget Assumption_Lab Comp2'!I458</f>
        <v>0.47421747255314184</v>
      </c>
      <c r="N1681" s="931">
        <f>'Budget Assumption_Lab Comp2'!K458</f>
        <v>0.2666725064237328</v>
      </c>
      <c r="O1681" s="912">
        <f>'Budget Assumption_Lab Comp2'!M458</f>
        <v>0</v>
      </c>
      <c r="P1681" s="912">
        <f>'Budget Assumption_Lab Comp2'!O458</f>
        <v>0</v>
      </c>
      <c r="Q1681" s="1524">
        <f>L1681*H1686</f>
        <v>379807.2</v>
      </c>
      <c r="R1681" s="1524">
        <f>M1681*H1686</f>
        <v>695114.8</v>
      </c>
      <c r="S1681" s="1484">
        <f>N1681*H1686</f>
        <v>390892.4</v>
      </c>
      <c r="T1681" s="1484">
        <f>O1681*H1686</f>
        <v>0</v>
      </c>
      <c r="U1681" s="1484">
        <f>P1681*H1686</f>
        <v>0</v>
      </c>
      <c r="V1681" s="1484">
        <f>SUM(Q1681:U1681)</f>
        <v>1465814.4</v>
      </c>
    </row>
    <row r="1682" spans="1:22" s="39" customFormat="1" ht="24" customHeight="1">
      <c r="A1682" s="1860">
        <v>3</v>
      </c>
      <c r="B1682" s="1860"/>
      <c r="C1682" s="1860"/>
      <c r="D1682" s="1860"/>
      <c r="E1682" s="1839"/>
      <c r="F1682" s="1844"/>
      <c r="G1682" s="1891"/>
      <c r="H1682" s="1627"/>
      <c r="I1682" s="1765"/>
      <c r="J1682" s="40" t="s">
        <v>80</v>
      </c>
      <c r="K1682" s="91"/>
      <c r="L1682" s="38">
        <f t="shared" ref="L1682:U1682" si="828">SUM(L1683:L1689)</f>
        <v>0.25911002102312547</v>
      </c>
      <c r="M1682" s="38">
        <f>SUM(M1683:M1689)</f>
        <v>0.47421747255314184</v>
      </c>
      <c r="N1682" s="38">
        <f t="shared" si="828"/>
        <v>0.2666725064237328</v>
      </c>
      <c r="O1682" s="38">
        <f t="shared" si="828"/>
        <v>0</v>
      </c>
      <c r="P1682" s="41">
        <f t="shared" si="828"/>
        <v>0</v>
      </c>
      <c r="Q1682" s="1517">
        <f>SUM(Q1683:Q1689)</f>
        <v>379807.2</v>
      </c>
      <c r="R1682" s="1517">
        <f t="shared" si="828"/>
        <v>695114.8</v>
      </c>
      <c r="S1682" s="1475">
        <f>SUM(S1683:S1689)</f>
        <v>390892.4</v>
      </c>
      <c r="T1682" s="1475">
        <f t="shared" si="828"/>
        <v>0</v>
      </c>
      <c r="U1682" s="1475">
        <f t="shared" si="828"/>
        <v>0</v>
      </c>
      <c r="V1682" s="1475">
        <f t="shared" ref="V1682:V1690" si="829">SUM(Q1682:U1682)</f>
        <v>1465814.4</v>
      </c>
    </row>
    <row r="1683" spans="1:22" s="39" customFormat="1" ht="24" customHeight="1">
      <c r="A1683" s="1860">
        <v>3</v>
      </c>
      <c r="B1683" s="1860"/>
      <c r="C1683" s="1860"/>
      <c r="D1683" s="1860"/>
      <c r="E1683" s="1839"/>
      <c r="F1683" s="1844"/>
      <c r="G1683" s="1891"/>
      <c r="H1683" s="1627"/>
      <c r="I1683" s="1765"/>
      <c r="J1683" s="40" t="s">
        <v>429</v>
      </c>
      <c r="K1683" s="42"/>
      <c r="L1683" s="41">
        <v>0</v>
      </c>
      <c r="M1683" s="41">
        <v>0</v>
      </c>
      <c r="N1683" s="41">
        <v>0</v>
      </c>
      <c r="O1683" s="41">
        <v>0</v>
      </c>
      <c r="P1683" s="41">
        <v>0</v>
      </c>
      <c r="Q1683" s="1517">
        <f>L1683*$H1686</f>
        <v>0</v>
      </c>
      <c r="R1683" s="1517">
        <f>M1683*$H1686</f>
        <v>0</v>
      </c>
      <c r="S1683" s="1475">
        <f>N1683*$H1686</f>
        <v>0</v>
      </c>
      <c r="T1683" s="1475">
        <f>O1683*$H1686</f>
        <v>0</v>
      </c>
      <c r="U1683" s="1475">
        <f>P1683*$H1686</f>
        <v>0</v>
      </c>
      <c r="V1683" s="1475">
        <f t="shared" si="829"/>
        <v>0</v>
      </c>
    </row>
    <row r="1684" spans="1:22" s="39" customFormat="1" ht="24" customHeight="1">
      <c r="A1684" s="1860">
        <v>3</v>
      </c>
      <c r="B1684" s="1860"/>
      <c r="C1684" s="1860"/>
      <c r="D1684" s="1860"/>
      <c r="E1684" s="1839"/>
      <c r="F1684" s="1844"/>
      <c r="G1684" s="1891"/>
      <c r="H1684" s="1627"/>
      <c r="I1684" s="1765"/>
      <c r="J1684" s="40" t="s">
        <v>133</v>
      </c>
      <c r="K1684" s="42"/>
      <c r="L1684" s="41">
        <v>0</v>
      </c>
      <c r="M1684" s="41">
        <v>0</v>
      </c>
      <c r="N1684" s="41">
        <v>0</v>
      </c>
      <c r="O1684" s="41">
        <v>0</v>
      </c>
      <c r="P1684" s="41">
        <v>0</v>
      </c>
      <c r="Q1684" s="1517">
        <f>L1684*$H1686</f>
        <v>0</v>
      </c>
      <c r="R1684" s="1517">
        <f>M1684*$H1686</f>
        <v>0</v>
      </c>
      <c r="S1684" s="1475">
        <f>N1684*$H1686</f>
        <v>0</v>
      </c>
      <c r="T1684" s="1475">
        <f>O1684*$H1686</f>
        <v>0</v>
      </c>
      <c r="U1684" s="1475">
        <f>P1684*$H1686</f>
        <v>0</v>
      </c>
      <c r="V1684" s="1475">
        <f t="shared" si="829"/>
        <v>0</v>
      </c>
    </row>
    <row r="1685" spans="1:22" s="39" customFormat="1" ht="24" customHeight="1">
      <c r="A1685" s="1860">
        <v>3</v>
      </c>
      <c r="B1685" s="1860"/>
      <c r="C1685" s="1860"/>
      <c r="D1685" s="1860"/>
      <c r="E1685" s="1839"/>
      <c r="F1685" s="1844"/>
      <c r="G1685" s="1891"/>
      <c r="H1685" s="1628"/>
      <c r="I1685" s="1765"/>
      <c r="J1685" s="40" t="s">
        <v>81</v>
      </c>
      <c r="K1685" s="42"/>
      <c r="L1685" s="41">
        <v>0</v>
      </c>
      <c r="M1685" s="41">
        <v>0</v>
      </c>
      <c r="N1685" s="41">
        <v>0</v>
      </c>
      <c r="O1685" s="41">
        <v>0</v>
      </c>
      <c r="P1685" s="41">
        <v>0</v>
      </c>
      <c r="Q1685" s="1517">
        <f>L1685*$H1686</f>
        <v>0</v>
      </c>
      <c r="R1685" s="1517">
        <f>M1685*$H1686</f>
        <v>0</v>
      </c>
      <c r="S1685" s="1475">
        <f>N1685*$H1686</f>
        <v>0</v>
      </c>
      <c r="T1685" s="1475">
        <f>O1685*$H1686</f>
        <v>0</v>
      </c>
      <c r="U1685" s="1475">
        <f>P1685*$H1686</f>
        <v>0</v>
      </c>
      <c r="V1685" s="1475">
        <f t="shared" si="829"/>
        <v>0</v>
      </c>
    </row>
    <row r="1686" spans="1:22" s="39" customFormat="1" ht="24" customHeight="1">
      <c r="A1686" s="1860">
        <v>3</v>
      </c>
      <c r="B1686" s="1860"/>
      <c r="C1686" s="1860"/>
      <c r="D1686" s="1860"/>
      <c r="E1686" s="1839"/>
      <c r="F1686" s="1844"/>
      <c r="G1686" s="1891"/>
      <c r="H1686" s="1595">
        <f>'Budget Assumption_Lab Comp2'!P457</f>
        <v>1465814.4</v>
      </c>
      <c r="I1686" s="1765"/>
      <c r="J1686" s="40" t="s">
        <v>134</v>
      </c>
      <c r="K1686" s="42"/>
      <c r="L1686" s="41">
        <v>0</v>
      </c>
      <c r="M1686" s="41">
        <v>0</v>
      </c>
      <c r="N1686" s="41">
        <v>0</v>
      </c>
      <c r="O1686" s="41">
        <v>0</v>
      </c>
      <c r="P1686" s="41">
        <v>0</v>
      </c>
      <c r="Q1686" s="1517">
        <f>L1686*$H1686</f>
        <v>0</v>
      </c>
      <c r="R1686" s="1517">
        <f>M1686*$H1686</f>
        <v>0</v>
      </c>
      <c r="S1686" s="1475">
        <f>N1686*$H1686</f>
        <v>0</v>
      </c>
      <c r="T1686" s="1475">
        <f>O1686*$H1686</f>
        <v>0</v>
      </c>
      <c r="U1686" s="1475">
        <f>P1686*$H1686</f>
        <v>0</v>
      </c>
      <c r="V1686" s="1475">
        <f t="shared" si="829"/>
        <v>0</v>
      </c>
    </row>
    <row r="1687" spans="1:22" s="39" customFormat="1" ht="24" customHeight="1">
      <c r="A1687" s="1860">
        <v>3</v>
      </c>
      <c r="B1687" s="1860"/>
      <c r="C1687" s="1860"/>
      <c r="D1687" s="1860"/>
      <c r="E1687" s="1839"/>
      <c r="F1687" s="1844"/>
      <c r="G1687" s="1891"/>
      <c r="H1687" s="1596"/>
      <c r="I1687" s="1765"/>
      <c r="J1687" s="40" t="s">
        <v>82</v>
      </c>
      <c r="K1687" s="42"/>
      <c r="L1687" s="1456">
        <f>L1681</f>
        <v>0.25911002102312547</v>
      </c>
      <c r="M1687" s="1456">
        <f t="shared" ref="M1687:P1687" si="830">M1681</f>
        <v>0.47421747255314184</v>
      </c>
      <c r="N1687" s="1456">
        <f t="shared" si="830"/>
        <v>0.2666725064237328</v>
      </c>
      <c r="O1687" s="1456">
        <f t="shared" si="830"/>
        <v>0</v>
      </c>
      <c r="P1687" s="1456">
        <f t="shared" si="830"/>
        <v>0</v>
      </c>
      <c r="Q1687" s="1517">
        <f>L1687*$H1686</f>
        <v>379807.2</v>
      </c>
      <c r="R1687" s="1517">
        <f>M1687*$H1686</f>
        <v>695114.8</v>
      </c>
      <c r="S1687" s="1475">
        <f>N1687*$H1686</f>
        <v>390892.4</v>
      </c>
      <c r="T1687" s="1475">
        <f>O1687*$H1686</f>
        <v>0</v>
      </c>
      <c r="U1687" s="1475">
        <f>P1687*$H1686</f>
        <v>0</v>
      </c>
      <c r="V1687" s="1475">
        <f t="shared" si="829"/>
        <v>1465814.4</v>
      </c>
    </row>
    <row r="1688" spans="1:22" s="39" customFormat="1" ht="24" customHeight="1">
      <c r="A1688" s="1860">
        <v>3</v>
      </c>
      <c r="B1688" s="1860"/>
      <c r="C1688" s="1860"/>
      <c r="D1688" s="1860"/>
      <c r="E1688" s="1839"/>
      <c r="F1688" s="1844"/>
      <c r="G1688" s="1891"/>
      <c r="H1688" s="1596"/>
      <c r="I1688" s="1765"/>
      <c r="J1688" s="40" t="s">
        <v>90</v>
      </c>
      <c r="K1688" s="42"/>
      <c r="L1688" s="41">
        <v>0</v>
      </c>
      <c r="M1688" s="41">
        <v>0</v>
      </c>
      <c r="N1688" s="41">
        <v>0</v>
      </c>
      <c r="O1688" s="41">
        <v>0</v>
      </c>
      <c r="P1688" s="41">
        <v>0</v>
      </c>
      <c r="Q1688" s="1517">
        <f>L1688*$H1686</f>
        <v>0</v>
      </c>
      <c r="R1688" s="1517">
        <f>M1688*$H1686</f>
        <v>0</v>
      </c>
      <c r="S1688" s="1475">
        <f>N1688*$H1686</f>
        <v>0</v>
      </c>
      <c r="T1688" s="1475">
        <f>O1688*$H1686</f>
        <v>0</v>
      </c>
      <c r="U1688" s="1475">
        <f>P1688*$H1686</f>
        <v>0</v>
      </c>
      <c r="V1688" s="1475">
        <f t="shared" si="829"/>
        <v>0</v>
      </c>
    </row>
    <row r="1689" spans="1:22" s="39" customFormat="1" ht="24" customHeight="1">
      <c r="A1689" s="1860">
        <v>3</v>
      </c>
      <c r="B1689" s="1860"/>
      <c r="C1689" s="1860"/>
      <c r="D1689" s="1860"/>
      <c r="E1689" s="1839"/>
      <c r="F1689" s="1844"/>
      <c r="G1689" s="1891"/>
      <c r="H1689" s="1596"/>
      <c r="I1689" s="1765"/>
      <c r="J1689" s="40" t="s">
        <v>83</v>
      </c>
      <c r="K1689" s="42"/>
      <c r="L1689" s="41">
        <v>0</v>
      </c>
      <c r="M1689" s="41">
        <v>0</v>
      </c>
      <c r="N1689" s="41">
        <v>0</v>
      </c>
      <c r="O1689" s="41">
        <v>0</v>
      </c>
      <c r="P1689" s="41">
        <v>0</v>
      </c>
      <c r="Q1689" s="1517">
        <f>L1689*$H1686</f>
        <v>0</v>
      </c>
      <c r="R1689" s="1517">
        <f>M1689*$H1686</f>
        <v>0</v>
      </c>
      <c r="S1689" s="1475">
        <f>N1689*$H1686</f>
        <v>0</v>
      </c>
      <c r="T1689" s="1475">
        <f>O1689*$H1686</f>
        <v>0</v>
      </c>
      <c r="U1689" s="1475">
        <f>P1689*$H1686</f>
        <v>0</v>
      </c>
      <c r="V1689" s="1475">
        <f t="shared" si="829"/>
        <v>0</v>
      </c>
    </row>
    <row r="1690" spans="1:22" s="39" customFormat="1" ht="24" customHeight="1" thickBot="1">
      <c r="A1690" s="1860">
        <v>3</v>
      </c>
      <c r="B1690" s="1860"/>
      <c r="C1690" s="1860"/>
      <c r="D1690" s="1860"/>
      <c r="E1690" s="1839"/>
      <c r="F1690" s="1844"/>
      <c r="G1690" s="1892"/>
      <c r="H1690" s="1597"/>
      <c r="I1690" s="1766"/>
      <c r="J1690" s="80" t="s">
        <v>84</v>
      </c>
      <c r="K1690" s="81"/>
      <c r="L1690" s="814">
        <f>L1681-L1682</f>
        <v>0</v>
      </c>
      <c r="M1690" s="814">
        <f t="shared" ref="M1690:U1690" si="831">M1681-M1682</f>
        <v>0</v>
      </c>
      <c r="N1690" s="814">
        <f t="shared" si="831"/>
        <v>0</v>
      </c>
      <c r="O1690" s="814">
        <f t="shared" si="831"/>
        <v>0</v>
      </c>
      <c r="P1690" s="814">
        <f t="shared" si="831"/>
        <v>0</v>
      </c>
      <c r="Q1690" s="1518">
        <f t="shared" si="831"/>
        <v>0</v>
      </c>
      <c r="R1690" s="1518">
        <f t="shared" si="831"/>
        <v>0</v>
      </c>
      <c r="S1690" s="1487">
        <f t="shared" si="831"/>
        <v>0</v>
      </c>
      <c r="T1690" s="1487">
        <f t="shared" si="831"/>
        <v>0</v>
      </c>
      <c r="U1690" s="1487">
        <f t="shared" si="831"/>
        <v>0</v>
      </c>
      <c r="V1690" s="1487">
        <f t="shared" si="829"/>
        <v>0</v>
      </c>
    </row>
    <row r="1691" spans="1:22" s="39" customFormat="1" ht="24" customHeight="1">
      <c r="A1691" s="1860">
        <v>3</v>
      </c>
      <c r="B1691" s="1860">
        <v>2</v>
      </c>
      <c r="C1691" s="1860">
        <v>4</v>
      </c>
      <c r="D1691" s="1860">
        <v>3</v>
      </c>
      <c r="E1691" s="1839" t="s">
        <v>49</v>
      </c>
      <c r="F1691" s="1841" t="str">
        <f>CONCATENATE(A1691,".",B1691,".",C1691,".",D1691,)</f>
        <v>3.2.4.3</v>
      </c>
      <c r="G1691" s="1904" t="s">
        <v>35</v>
      </c>
      <c r="H1691" s="1817" t="s">
        <v>147</v>
      </c>
      <c r="I1691" s="1614" t="s">
        <v>680</v>
      </c>
      <c r="J1691" s="36" t="s">
        <v>79</v>
      </c>
      <c r="K1691" s="896"/>
      <c r="L1691" s="383">
        <v>0</v>
      </c>
      <c r="M1691" s="383">
        <v>1</v>
      </c>
      <c r="N1691" s="383">
        <v>0</v>
      </c>
      <c r="O1691" s="383">
        <v>0</v>
      </c>
      <c r="P1691" s="383">
        <v>0</v>
      </c>
      <c r="Q1691" s="1475">
        <f>L1691*H1696</f>
        <v>0</v>
      </c>
      <c r="R1691" s="1475">
        <f>M1691*H1696</f>
        <v>157290.4</v>
      </c>
      <c r="S1691" s="1475">
        <f>N1691*H1696</f>
        <v>0</v>
      </c>
      <c r="T1691" s="1475">
        <f>O1691*H1696</f>
        <v>0</v>
      </c>
      <c r="U1691" s="1475">
        <f>P1691*H1696</f>
        <v>0</v>
      </c>
      <c r="V1691" s="1475">
        <f t="shared" si="816"/>
        <v>157290.4</v>
      </c>
    </row>
    <row r="1692" spans="1:22" s="39" customFormat="1" ht="24" customHeight="1">
      <c r="A1692" s="1860">
        <v>3</v>
      </c>
      <c r="B1692" s="1860"/>
      <c r="C1692" s="1860"/>
      <c r="D1692" s="1860"/>
      <c r="E1692" s="1839"/>
      <c r="F1692" s="1841"/>
      <c r="G1692" s="1898"/>
      <c r="H1692" s="1817"/>
      <c r="I1692" s="1615"/>
      <c r="J1692" s="40" t="s">
        <v>80</v>
      </c>
      <c r="K1692" s="91"/>
      <c r="L1692" s="364">
        <f t="shared" ref="L1692:U1692" si="832">SUM(L1693:L1699)</f>
        <v>0</v>
      </c>
      <c r="M1692" s="364">
        <f t="shared" si="832"/>
        <v>1</v>
      </c>
      <c r="N1692" s="364">
        <f t="shared" si="832"/>
        <v>0</v>
      </c>
      <c r="O1692" s="364">
        <f t="shared" si="832"/>
        <v>0</v>
      </c>
      <c r="P1692" s="364">
        <f t="shared" si="832"/>
        <v>0</v>
      </c>
      <c r="Q1692" s="1475">
        <f t="shared" si="832"/>
        <v>0</v>
      </c>
      <c r="R1692" s="1475">
        <f t="shared" si="832"/>
        <v>157290.4</v>
      </c>
      <c r="S1692" s="1475">
        <f t="shared" si="832"/>
        <v>0</v>
      </c>
      <c r="T1692" s="1475">
        <f t="shared" si="832"/>
        <v>0</v>
      </c>
      <c r="U1692" s="1475">
        <f t="shared" si="832"/>
        <v>0</v>
      </c>
      <c r="V1692" s="1475">
        <f t="shared" si="816"/>
        <v>157290.4</v>
      </c>
    </row>
    <row r="1693" spans="1:22" s="39" customFormat="1" ht="24" customHeight="1">
      <c r="A1693" s="1860">
        <v>3</v>
      </c>
      <c r="B1693" s="1860"/>
      <c r="C1693" s="1860"/>
      <c r="D1693" s="1860"/>
      <c r="E1693" s="1839"/>
      <c r="F1693" s="1841"/>
      <c r="G1693" s="1898"/>
      <c r="H1693" s="1817"/>
      <c r="I1693" s="1615"/>
      <c r="J1693" s="40" t="s">
        <v>429</v>
      </c>
      <c r="K1693" s="91"/>
      <c r="L1693" s="364">
        <v>0</v>
      </c>
      <c r="M1693" s="364">
        <v>0</v>
      </c>
      <c r="N1693" s="364">
        <v>0</v>
      </c>
      <c r="O1693" s="364">
        <v>0</v>
      </c>
      <c r="P1693" s="364">
        <v>0</v>
      </c>
      <c r="Q1693" s="1475">
        <f>L1693*$H1696</f>
        <v>0</v>
      </c>
      <c r="R1693" s="1475">
        <f>M1693*$H1696</f>
        <v>0</v>
      </c>
      <c r="S1693" s="1475">
        <f>N1693*$H1696</f>
        <v>0</v>
      </c>
      <c r="T1693" s="1475">
        <f>O1693*$H1696</f>
        <v>0</v>
      </c>
      <c r="U1693" s="1475">
        <f>P1693*$H1696</f>
        <v>0</v>
      </c>
      <c r="V1693" s="1475">
        <f t="shared" si="816"/>
        <v>0</v>
      </c>
    </row>
    <row r="1694" spans="1:22" s="39" customFormat="1" ht="24" customHeight="1">
      <c r="A1694" s="1860">
        <v>3</v>
      </c>
      <c r="B1694" s="1860"/>
      <c r="C1694" s="1860"/>
      <c r="D1694" s="1860"/>
      <c r="E1694" s="1839"/>
      <c r="F1694" s="1841"/>
      <c r="G1694" s="1898"/>
      <c r="H1694" s="1817"/>
      <c r="I1694" s="1615"/>
      <c r="J1694" s="40" t="s">
        <v>133</v>
      </c>
      <c r="K1694" s="91"/>
      <c r="L1694" s="364">
        <v>0</v>
      </c>
      <c r="M1694" s="364">
        <v>0</v>
      </c>
      <c r="N1694" s="364">
        <v>0</v>
      </c>
      <c r="O1694" s="364">
        <v>0</v>
      </c>
      <c r="P1694" s="364">
        <v>0</v>
      </c>
      <c r="Q1694" s="1475">
        <f>L1694*$H1696</f>
        <v>0</v>
      </c>
      <c r="R1694" s="1475">
        <f>M1694*$H1696</f>
        <v>0</v>
      </c>
      <c r="S1694" s="1475">
        <f>N1694*$H1696</f>
        <v>0</v>
      </c>
      <c r="T1694" s="1475">
        <f>O1694*$H1696</f>
        <v>0</v>
      </c>
      <c r="U1694" s="1475">
        <f>P1694*$H1696</f>
        <v>0</v>
      </c>
      <c r="V1694" s="1475">
        <f t="shared" si="816"/>
        <v>0</v>
      </c>
    </row>
    <row r="1695" spans="1:22" s="39" customFormat="1" ht="24" customHeight="1">
      <c r="A1695" s="1860">
        <v>3</v>
      </c>
      <c r="B1695" s="1860"/>
      <c r="C1695" s="1860"/>
      <c r="D1695" s="1860"/>
      <c r="E1695" s="1839"/>
      <c r="F1695" s="1841"/>
      <c r="G1695" s="1898"/>
      <c r="H1695" s="1817"/>
      <c r="I1695" s="1615"/>
      <c r="J1695" s="40" t="s">
        <v>81</v>
      </c>
      <c r="K1695" s="91"/>
      <c r="L1695" s="364">
        <v>0</v>
      </c>
      <c r="M1695" s="364">
        <v>0</v>
      </c>
      <c r="N1695" s="364">
        <v>0</v>
      </c>
      <c r="O1695" s="364">
        <v>0</v>
      </c>
      <c r="P1695" s="364">
        <v>0</v>
      </c>
      <c r="Q1695" s="1475">
        <f>L1695*$H1696</f>
        <v>0</v>
      </c>
      <c r="R1695" s="1475">
        <f>M1695*$H1696</f>
        <v>0</v>
      </c>
      <c r="S1695" s="1475">
        <f>N1695*$H1696</f>
        <v>0</v>
      </c>
      <c r="T1695" s="1475">
        <f>O1695*$H1696</f>
        <v>0</v>
      </c>
      <c r="U1695" s="1475">
        <f>P1695*$H1696</f>
        <v>0</v>
      </c>
      <c r="V1695" s="1475">
        <f t="shared" si="816"/>
        <v>0</v>
      </c>
    </row>
    <row r="1696" spans="1:22" s="39" customFormat="1" ht="24" customHeight="1">
      <c r="A1696" s="1860">
        <v>3</v>
      </c>
      <c r="B1696" s="1860"/>
      <c r="C1696" s="1860"/>
      <c r="D1696" s="1860"/>
      <c r="E1696" s="1839"/>
      <c r="F1696" s="1841"/>
      <c r="G1696" s="1898"/>
      <c r="H1696" s="1595">
        <f>'Budget assumption'!F404</f>
        <v>157290.4</v>
      </c>
      <c r="I1696" s="1615"/>
      <c r="J1696" s="40" t="s">
        <v>134</v>
      </c>
      <c r="K1696" s="91"/>
      <c r="L1696" s="364">
        <v>0</v>
      </c>
      <c r="M1696" s="364">
        <v>0</v>
      </c>
      <c r="N1696" s="364">
        <v>0</v>
      </c>
      <c r="O1696" s="364">
        <v>0</v>
      </c>
      <c r="P1696" s="364">
        <v>0</v>
      </c>
      <c r="Q1696" s="1475">
        <f>L1696*$H1696</f>
        <v>0</v>
      </c>
      <c r="R1696" s="1475">
        <f>M1696*$H1696</f>
        <v>0</v>
      </c>
      <c r="S1696" s="1475">
        <f>N1696*$H1696</f>
        <v>0</v>
      </c>
      <c r="T1696" s="1475">
        <f>O1696*$H1696</f>
        <v>0</v>
      </c>
      <c r="U1696" s="1475">
        <f>P1696*$H1696</f>
        <v>0</v>
      </c>
      <c r="V1696" s="1475">
        <f t="shared" si="816"/>
        <v>0</v>
      </c>
    </row>
    <row r="1697" spans="1:22" s="39" customFormat="1" ht="24" customHeight="1">
      <c r="A1697" s="1860">
        <v>3</v>
      </c>
      <c r="B1697" s="1860"/>
      <c r="C1697" s="1860"/>
      <c r="D1697" s="1860"/>
      <c r="E1697" s="1839"/>
      <c r="F1697" s="1841"/>
      <c r="G1697" s="1898"/>
      <c r="H1697" s="1596"/>
      <c r="I1697" s="1615"/>
      <c r="J1697" s="40" t="s">
        <v>82</v>
      </c>
      <c r="K1697" s="91"/>
      <c r="L1697" s="364">
        <v>0</v>
      </c>
      <c r="M1697" s="364">
        <v>1</v>
      </c>
      <c r="N1697" s="364">
        <v>0</v>
      </c>
      <c r="O1697" s="364">
        <v>0</v>
      </c>
      <c r="P1697" s="364">
        <v>0</v>
      </c>
      <c r="Q1697" s="1475">
        <f>L1697*$H1696</f>
        <v>0</v>
      </c>
      <c r="R1697" s="1475">
        <f>M1697*$H1696</f>
        <v>157290.4</v>
      </c>
      <c r="S1697" s="1475">
        <f>N1697*$H1696</f>
        <v>0</v>
      </c>
      <c r="T1697" s="1475">
        <f>O1697*$H1696</f>
        <v>0</v>
      </c>
      <c r="U1697" s="1475">
        <f>P1697*$H1696</f>
        <v>0</v>
      </c>
      <c r="V1697" s="1475">
        <f t="shared" si="816"/>
        <v>157290.4</v>
      </c>
    </row>
    <row r="1698" spans="1:22" s="39" customFormat="1" ht="24" customHeight="1">
      <c r="A1698" s="1860">
        <v>3</v>
      </c>
      <c r="B1698" s="1860"/>
      <c r="C1698" s="1860"/>
      <c r="D1698" s="1860"/>
      <c r="E1698" s="1839"/>
      <c r="F1698" s="1841"/>
      <c r="G1698" s="1898"/>
      <c r="H1698" s="1596"/>
      <c r="I1698" s="1615"/>
      <c r="J1698" s="40" t="s">
        <v>90</v>
      </c>
      <c r="K1698" s="91"/>
      <c r="L1698" s="364">
        <v>0</v>
      </c>
      <c r="M1698" s="364">
        <v>0</v>
      </c>
      <c r="N1698" s="364">
        <v>0</v>
      </c>
      <c r="O1698" s="364">
        <v>0</v>
      </c>
      <c r="P1698" s="364">
        <v>0</v>
      </c>
      <c r="Q1698" s="1475">
        <f>L1698*$H1696</f>
        <v>0</v>
      </c>
      <c r="R1698" s="1475">
        <f>M1698*$H1696</f>
        <v>0</v>
      </c>
      <c r="S1698" s="1475">
        <f>N1698*$H1696</f>
        <v>0</v>
      </c>
      <c r="T1698" s="1475">
        <f>O1698*$H1696</f>
        <v>0</v>
      </c>
      <c r="U1698" s="1475">
        <f>P1698*$H1696</f>
        <v>0</v>
      </c>
      <c r="V1698" s="1475">
        <f t="shared" si="816"/>
        <v>0</v>
      </c>
    </row>
    <row r="1699" spans="1:22" s="39" customFormat="1" ht="24" customHeight="1">
      <c r="A1699" s="1860">
        <v>3</v>
      </c>
      <c r="B1699" s="1860"/>
      <c r="C1699" s="1860"/>
      <c r="D1699" s="1860"/>
      <c r="E1699" s="1839"/>
      <c r="F1699" s="1841"/>
      <c r="G1699" s="1898"/>
      <c r="H1699" s="1596"/>
      <c r="I1699" s="1615"/>
      <c r="J1699" s="40" t="s">
        <v>83</v>
      </c>
      <c r="K1699" s="91"/>
      <c r="L1699" s="364">
        <v>0</v>
      </c>
      <c r="M1699" s="364">
        <v>0</v>
      </c>
      <c r="N1699" s="364">
        <v>0</v>
      </c>
      <c r="O1699" s="364">
        <v>0</v>
      </c>
      <c r="P1699" s="364">
        <v>0</v>
      </c>
      <c r="Q1699" s="1475">
        <f>L1699*$H1696</f>
        <v>0</v>
      </c>
      <c r="R1699" s="1475">
        <f>M1699*$H1696</f>
        <v>0</v>
      </c>
      <c r="S1699" s="1475">
        <f>N1699*$H1696</f>
        <v>0</v>
      </c>
      <c r="T1699" s="1475">
        <f>O1699*$H1696</f>
        <v>0</v>
      </c>
      <c r="U1699" s="1475">
        <f>P1699*$H1696</f>
        <v>0</v>
      </c>
      <c r="V1699" s="1475">
        <f t="shared" si="816"/>
        <v>0</v>
      </c>
    </row>
    <row r="1700" spans="1:22" s="39" customFormat="1" ht="24" customHeight="1" thickBot="1">
      <c r="A1700" s="1860">
        <v>3</v>
      </c>
      <c r="B1700" s="1860"/>
      <c r="C1700" s="1860"/>
      <c r="D1700" s="1860"/>
      <c r="E1700" s="1839"/>
      <c r="F1700" s="1863"/>
      <c r="G1700" s="1898"/>
      <c r="H1700" s="1596"/>
      <c r="I1700" s="1615"/>
      <c r="J1700" s="40" t="s">
        <v>84</v>
      </c>
      <c r="K1700" s="91"/>
      <c r="L1700" s="364">
        <f>L1691-L1692</f>
        <v>0</v>
      </c>
      <c r="M1700" s="364">
        <f t="shared" ref="M1700:U1700" si="833">M1691-M1692</f>
        <v>0</v>
      </c>
      <c r="N1700" s="364">
        <f t="shared" si="833"/>
        <v>0</v>
      </c>
      <c r="O1700" s="364">
        <f t="shared" si="833"/>
        <v>0</v>
      </c>
      <c r="P1700" s="364">
        <f t="shared" si="833"/>
        <v>0</v>
      </c>
      <c r="Q1700" s="1475">
        <f t="shared" si="833"/>
        <v>0</v>
      </c>
      <c r="R1700" s="1475">
        <f t="shared" si="833"/>
        <v>0</v>
      </c>
      <c r="S1700" s="1475">
        <f t="shared" si="833"/>
        <v>0</v>
      </c>
      <c r="T1700" s="1475">
        <f t="shared" si="833"/>
        <v>0</v>
      </c>
      <c r="U1700" s="1475">
        <f t="shared" si="833"/>
        <v>0</v>
      </c>
      <c r="V1700" s="1475">
        <f t="shared" si="816"/>
        <v>0</v>
      </c>
    </row>
    <row r="1701" spans="1:22" s="46" customFormat="1" ht="24" customHeight="1">
      <c r="A1701" s="1958">
        <v>3</v>
      </c>
      <c r="B1701" s="1873">
        <v>2</v>
      </c>
      <c r="C1701" s="1873">
        <v>4</v>
      </c>
      <c r="D1701" s="1873">
        <v>4</v>
      </c>
      <c r="E1701" s="1861" t="s">
        <v>49</v>
      </c>
      <c r="F1701" s="1841" t="str">
        <f>CONCATENATE(A1701,".",B1701,".",C1701,".",D1701,)</f>
        <v>3.2.4.4</v>
      </c>
      <c r="G1701" s="1897" t="s">
        <v>151</v>
      </c>
      <c r="H1701" s="1884" t="s">
        <v>147</v>
      </c>
      <c r="I1701" s="1773" t="s">
        <v>1111</v>
      </c>
      <c r="J1701" s="262" t="s">
        <v>79</v>
      </c>
      <c r="K1701" s="932"/>
      <c r="L1701" s="364">
        <v>1</v>
      </c>
      <c r="M1701" s="364">
        <v>0</v>
      </c>
      <c r="N1701" s="364">
        <v>0</v>
      </c>
      <c r="O1701" s="364">
        <v>0</v>
      </c>
      <c r="P1701" s="364">
        <v>0</v>
      </c>
      <c r="Q1701" s="1484">
        <f>L1701*H1706</f>
        <v>600000</v>
      </c>
      <c r="R1701" s="1484">
        <f>M1701*H1706</f>
        <v>0</v>
      </c>
      <c r="S1701" s="1484">
        <f>N1701*H1706</f>
        <v>0</v>
      </c>
      <c r="T1701" s="1484">
        <f>O1701*H1706</f>
        <v>0</v>
      </c>
      <c r="U1701" s="1484">
        <f>P1701*H1706</f>
        <v>0</v>
      </c>
      <c r="V1701" s="1526">
        <f t="shared" si="816"/>
        <v>600000</v>
      </c>
    </row>
    <row r="1702" spans="1:22" s="39" customFormat="1" ht="24" customHeight="1">
      <c r="A1702" s="1959">
        <v>3</v>
      </c>
      <c r="B1702" s="1860"/>
      <c r="C1702" s="1860"/>
      <c r="D1702" s="1860"/>
      <c r="E1702" s="1839"/>
      <c r="F1702" s="1841"/>
      <c r="G1702" s="1898"/>
      <c r="H1702" s="1629"/>
      <c r="I1702" s="1718"/>
      <c r="J1702" s="40" t="s">
        <v>80</v>
      </c>
      <c r="K1702" s="91"/>
      <c r="L1702" s="364">
        <f t="shared" ref="L1702:U1702" si="834">SUM(L1703:L1709)</f>
        <v>1</v>
      </c>
      <c r="M1702" s="364">
        <f t="shared" si="834"/>
        <v>0</v>
      </c>
      <c r="N1702" s="364">
        <f t="shared" si="834"/>
        <v>0</v>
      </c>
      <c r="O1702" s="364">
        <f t="shared" si="834"/>
        <v>0</v>
      </c>
      <c r="P1702" s="364">
        <f t="shared" si="834"/>
        <v>0</v>
      </c>
      <c r="Q1702" s="1475">
        <f t="shared" si="834"/>
        <v>600000</v>
      </c>
      <c r="R1702" s="1475">
        <f t="shared" si="834"/>
        <v>0</v>
      </c>
      <c r="S1702" s="1475">
        <f t="shared" si="834"/>
        <v>0</v>
      </c>
      <c r="T1702" s="1475">
        <f t="shared" si="834"/>
        <v>0</v>
      </c>
      <c r="U1702" s="1475">
        <f t="shared" si="834"/>
        <v>0</v>
      </c>
      <c r="V1702" s="1527">
        <f t="shared" si="816"/>
        <v>600000</v>
      </c>
    </row>
    <row r="1703" spans="1:22" s="39" customFormat="1" ht="24" customHeight="1">
      <c r="A1703" s="1959">
        <v>3</v>
      </c>
      <c r="B1703" s="1860"/>
      <c r="C1703" s="1860"/>
      <c r="D1703" s="1860"/>
      <c r="E1703" s="1839"/>
      <c r="F1703" s="1841"/>
      <c r="G1703" s="1898"/>
      <c r="H1703" s="1629"/>
      <c r="I1703" s="1718"/>
      <c r="J1703" s="40" t="s">
        <v>429</v>
      </c>
      <c r="K1703" s="91"/>
      <c r="L1703" s="364">
        <v>0</v>
      </c>
      <c r="M1703" s="364">
        <v>0</v>
      </c>
      <c r="N1703" s="364">
        <v>0</v>
      </c>
      <c r="O1703" s="364">
        <v>0</v>
      </c>
      <c r="P1703" s="364">
        <v>0</v>
      </c>
      <c r="Q1703" s="1475">
        <f>L1703*$H1706</f>
        <v>0</v>
      </c>
      <c r="R1703" s="1475">
        <f>M1703*$H1706</f>
        <v>0</v>
      </c>
      <c r="S1703" s="1475">
        <f>N1703*$H1706</f>
        <v>0</v>
      </c>
      <c r="T1703" s="1475">
        <f>O1703*$H1706</f>
        <v>0</v>
      </c>
      <c r="U1703" s="1475">
        <f>P1703*$H1706</f>
        <v>0</v>
      </c>
      <c r="V1703" s="1527">
        <f t="shared" si="816"/>
        <v>0</v>
      </c>
    </row>
    <row r="1704" spans="1:22" s="39" customFormat="1" ht="24" customHeight="1">
      <c r="A1704" s="1959">
        <v>3</v>
      </c>
      <c r="B1704" s="1860"/>
      <c r="C1704" s="1860"/>
      <c r="D1704" s="1860"/>
      <c r="E1704" s="1839"/>
      <c r="F1704" s="1841"/>
      <c r="G1704" s="1898"/>
      <c r="H1704" s="1629"/>
      <c r="I1704" s="1718"/>
      <c r="J1704" s="40" t="s">
        <v>133</v>
      </c>
      <c r="K1704" s="91"/>
      <c r="L1704" s="364">
        <v>0</v>
      </c>
      <c r="M1704" s="364">
        <v>0</v>
      </c>
      <c r="N1704" s="364">
        <v>0</v>
      </c>
      <c r="O1704" s="364">
        <v>0</v>
      </c>
      <c r="P1704" s="364">
        <v>0</v>
      </c>
      <c r="Q1704" s="1475">
        <f>L1704*$H1706</f>
        <v>0</v>
      </c>
      <c r="R1704" s="1475">
        <f>M1704*$H1706</f>
        <v>0</v>
      </c>
      <c r="S1704" s="1475">
        <f>N1704*$H1706</f>
        <v>0</v>
      </c>
      <c r="T1704" s="1475">
        <f>O1704*$H1706</f>
        <v>0</v>
      </c>
      <c r="U1704" s="1475">
        <f>P1704*$H1706</f>
        <v>0</v>
      </c>
      <c r="V1704" s="1527">
        <f t="shared" ref="V1704:V1767" si="835">SUM(Q1704:U1704)</f>
        <v>0</v>
      </c>
    </row>
    <row r="1705" spans="1:22" s="39" customFormat="1" ht="24" customHeight="1">
      <c r="A1705" s="1959">
        <v>3</v>
      </c>
      <c r="B1705" s="1860"/>
      <c r="C1705" s="1860"/>
      <c r="D1705" s="1860"/>
      <c r="E1705" s="1839"/>
      <c r="F1705" s="1841"/>
      <c r="G1705" s="1898"/>
      <c r="H1705" s="1629"/>
      <c r="I1705" s="1718"/>
      <c r="J1705" s="40" t="s">
        <v>81</v>
      </c>
      <c r="K1705" s="91"/>
      <c r="L1705" s="364">
        <v>0</v>
      </c>
      <c r="M1705" s="364">
        <v>0</v>
      </c>
      <c r="N1705" s="364">
        <v>0</v>
      </c>
      <c r="O1705" s="364">
        <v>0</v>
      </c>
      <c r="P1705" s="364">
        <v>0</v>
      </c>
      <c r="Q1705" s="1475">
        <f>L1705*$H1706</f>
        <v>0</v>
      </c>
      <c r="R1705" s="1475">
        <f>M1705*$H1706</f>
        <v>0</v>
      </c>
      <c r="S1705" s="1475">
        <f>N1705*$H1706</f>
        <v>0</v>
      </c>
      <c r="T1705" s="1475">
        <f>O1705*$H1706</f>
        <v>0</v>
      </c>
      <c r="U1705" s="1475">
        <f>P1705*$H1706</f>
        <v>0</v>
      </c>
      <c r="V1705" s="1527">
        <f t="shared" si="835"/>
        <v>0</v>
      </c>
    </row>
    <row r="1706" spans="1:22" s="39" customFormat="1" ht="24" customHeight="1">
      <c r="A1706" s="1959">
        <v>3</v>
      </c>
      <c r="B1706" s="1860"/>
      <c r="C1706" s="1860"/>
      <c r="D1706" s="1860"/>
      <c r="E1706" s="1839"/>
      <c r="F1706" s="1841"/>
      <c r="G1706" s="1898"/>
      <c r="H1706" s="1602">
        <v>600000</v>
      </c>
      <c r="I1706" s="1718"/>
      <c r="J1706" s="40" t="s">
        <v>134</v>
      </c>
      <c r="K1706" s="91"/>
      <c r="L1706" s="364">
        <f>L1697*30%</f>
        <v>0</v>
      </c>
      <c r="M1706" s="364">
        <v>0</v>
      </c>
      <c r="N1706" s="364">
        <f>N1697*30%</f>
        <v>0</v>
      </c>
      <c r="O1706" s="364">
        <f>O1697*30%</f>
        <v>0</v>
      </c>
      <c r="P1706" s="364">
        <f>P1697*30%</f>
        <v>0</v>
      </c>
      <c r="Q1706" s="1475">
        <f>L1706*$H1706</f>
        <v>0</v>
      </c>
      <c r="R1706" s="1475">
        <f>M1706*$H1706</f>
        <v>0</v>
      </c>
      <c r="S1706" s="1475">
        <f>N1706*$H1706</f>
        <v>0</v>
      </c>
      <c r="T1706" s="1475">
        <f>O1706*$H1706</f>
        <v>0</v>
      </c>
      <c r="U1706" s="1475">
        <f>P1706*$H1706</f>
        <v>0</v>
      </c>
      <c r="V1706" s="1527">
        <f t="shared" si="835"/>
        <v>0</v>
      </c>
    </row>
    <row r="1707" spans="1:22" s="39" customFormat="1" ht="24" customHeight="1">
      <c r="A1707" s="1959">
        <v>3</v>
      </c>
      <c r="B1707" s="1860"/>
      <c r="C1707" s="1860"/>
      <c r="D1707" s="1860"/>
      <c r="E1707" s="1839"/>
      <c r="F1707" s="1841"/>
      <c r="G1707" s="1898"/>
      <c r="H1707" s="1603"/>
      <c r="I1707" s="1718"/>
      <c r="J1707" s="40" t="s">
        <v>82</v>
      </c>
      <c r="K1707" s="91"/>
      <c r="L1707" s="364">
        <v>1</v>
      </c>
      <c r="M1707" s="364">
        <v>0</v>
      </c>
      <c r="N1707" s="364">
        <v>0</v>
      </c>
      <c r="O1707" s="364">
        <v>0</v>
      </c>
      <c r="P1707" s="364">
        <v>0</v>
      </c>
      <c r="Q1707" s="1475">
        <f>L1707*$H1706</f>
        <v>600000</v>
      </c>
      <c r="R1707" s="1475">
        <f>M1707*$H1706</f>
        <v>0</v>
      </c>
      <c r="S1707" s="1475">
        <f>N1707*$H1706</f>
        <v>0</v>
      </c>
      <c r="T1707" s="1475">
        <f>O1707*$H1706</f>
        <v>0</v>
      </c>
      <c r="U1707" s="1475">
        <f>P1707*$H1706</f>
        <v>0</v>
      </c>
      <c r="V1707" s="1527">
        <f t="shared" si="835"/>
        <v>600000</v>
      </c>
    </row>
    <row r="1708" spans="1:22" s="39" customFormat="1" ht="24" customHeight="1">
      <c r="A1708" s="1959">
        <v>3</v>
      </c>
      <c r="B1708" s="1860"/>
      <c r="C1708" s="1860"/>
      <c r="D1708" s="1860"/>
      <c r="E1708" s="1839"/>
      <c r="F1708" s="1841"/>
      <c r="G1708" s="1898"/>
      <c r="H1708" s="1603"/>
      <c r="I1708" s="1718"/>
      <c r="J1708" s="40" t="s">
        <v>90</v>
      </c>
      <c r="K1708" s="91"/>
      <c r="L1708" s="364">
        <v>0</v>
      </c>
      <c r="M1708" s="364">
        <v>0</v>
      </c>
      <c r="N1708" s="364">
        <v>0</v>
      </c>
      <c r="O1708" s="364">
        <v>0</v>
      </c>
      <c r="P1708" s="364">
        <v>0</v>
      </c>
      <c r="Q1708" s="1475">
        <f>L1708*$H1706</f>
        <v>0</v>
      </c>
      <c r="R1708" s="1475">
        <f>M1708*$H1706</f>
        <v>0</v>
      </c>
      <c r="S1708" s="1475">
        <f>N1708*$H1706</f>
        <v>0</v>
      </c>
      <c r="T1708" s="1475">
        <f>O1708*$H1706</f>
        <v>0</v>
      </c>
      <c r="U1708" s="1475">
        <f>P1708*$H1706</f>
        <v>0</v>
      </c>
      <c r="V1708" s="1527">
        <f t="shared" si="835"/>
        <v>0</v>
      </c>
    </row>
    <row r="1709" spans="1:22" s="39" customFormat="1" ht="24" customHeight="1">
      <c r="A1709" s="1959">
        <v>3</v>
      </c>
      <c r="B1709" s="1860"/>
      <c r="C1709" s="1860"/>
      <c r="D1709" s="1860"/>
      <c r="E1709" s="1839"/>
      <c r="F1709" s="1841"/>
      <c r="G1709" s="1898"/>
      <c r="H1709" s="1603"/>
      <c r="I1709" s="1718"/>
      <c r="J1709" s="40" t="s">
        <v>83</v>
      </c>
      <c r="K1709" s="91"/>
      <c r="L1709" s="364">
        <v>0</v>
      </c>
      <c r="M1709" s="364">
        <v>0</v>
      </c>
      <c r="N1709" s="364">
        <v>0</v>
      </c>
      <c r="O1709" s="364">
        <v>0</v>
      </c>
      <c r="P1709" s="364">
        <v>0</v>
      </c>
      <c r="Q1709" s="1475">
        <f>L1709*$H1706</f>
        <v>0</v>
      </c>
      <c r="R1709" s="1475">
        <f>M1709*$H1706</f>
        <v>0</v>
      </c>
      <c r="S1709" s="1475">
        <f>N1709*$H1706</f>
        <v>0</v>
      </c>
      <c r="T1709" s="1475">
        <f>O1709*$H1706</f>
        <v>0</v>
      </c>
      <c r="U1709" s="1475">
        <f>P1709*$H1706</f>
        <v>0</v>
      </c>
      <c r="V1709" s="1527">
        <f t="shared" si="835"/>
        <v>0</v>
      </c>
    </row>
    <row r="1710" spans="1:22" s="39" customFormat="1" ht="24" customHeight="1" thickBot="1">
      <c r="A1710" s="1960">
        <v>3</v>
      </c>
      <c r="B1710" s="1874"/>
      <c r="C1710" s="1874"/>
      <c r="D1710" s="1874"/>
      <c r="E1710" s="1862"/>
      <c r="F1710" s="1863"/>
      <c r="G1710" s="1899"/>
      <c r="H1710" s="1870"/>
      <c r="I1710" s="1774"/>
      <c r="J1710" s="80" t="s">
        <v>84</v>
      </c>
      <c r="K1710" s="824"/>
      <c r="L1710" s="371">
        <f>L1701-L1702</f>
        <v>0</v>
      </c>
      <c r="M1710" s="371">
        <f t="shared" ref="M1710:U1710" si="836">M1701-M1702</f>
        <v>0</v>
      </c>
      <c r="N1710" s="371">
        <f t="shared" si="836"/>
        <v>0</v>
      </c>
      <c r="O1710" s="371">
        <f t="shared" si="836"/>
        <v>0</v>
      </c>
      <c r="P1710" s="371">
        <f t="shared" si="836"/>
        <v>0</v>
      </c>
      <c r="Q1710" s="1487">
        <f t="shared" si="836"/>
        <v>0</v>
      </c>
      <c r="R1710" s="1487">
        <f t="shared" si="836"/>
        <v>0</v>
      </c>
      <c r="S1710" s="1487">
        <f t="shared" si="836"/>
        <v>0</v>
      </c>
      <c r="T1710" s="1487">
        <f t="shared" si="836"/>
        <v>0</v>
      </c>
      <c r="U1710" s="1487">
        <f t="shared" si="836"/>
        <v>0</v>
      </c>
      <c r="V1710" s="1528">
        <f t="shared" si="835"/>
        <v>0</v>
      </c>
    </row>
    <row r="1711" spans="1:22" s="39" customFormat="1" ht="24" customHeight="1">
      <c r="A1711" s="1860">
        <v>3</v>
      </c>
      <c r="B1711" s="1860">
        <v>2</v>
      </c>
      <c r="C1711" s="1860">
        <v>4</v>
      </c>
      <c r="D1711" s="1860">
        <v>5</v>
      </c>
      <c r="E1711" s="1839" t="s">
        <v>15</v>
      </c>
      <c r="F1711" s="1854" t="str">
        <f>CONCATENATE(A1711,".",B1711,".",C1711,".",D1711,)</f>
        <v>3.2.4.5</v>
      </c>
      <c r="G1711" s="1827" t="s">
        <v>780</v>
      </c>
      <c r="H1711" s="1628" t="s">
        <v>147</v>
      </c>
      <c r="I1711" s="1615" t="s">
        <v>423</v>
      </c>
      <c r="J1711" s="815" t="s">
        <v>79</v>
      </c>
      <c r="K1711" s="898"/>
      <c r="L1711" s="923">
        <v>0</v>
      </c>
      <c r="M1711" s="923">
        <v>0</v>
      </c>
      <c r="N1711" s="923">
        <v>0</v>
      </c>
      <c r="O1711" s="923">
        <v>1</v>
      </c>
      <c r="P1711" s="923">
        <v>0</v>
      </c>
      <c r="Q1711" s="1489">
        <f>L1711*H1716</f>
        <v>0</v>
      </c>
      <c r="R1711" s="1489">
        <f>M1711*H1716</f>
        <v>0</v>
      </c>
      <c r="S1711" s="1489">
        <f>N1711*H1716</f>
        <v>0</v>
      </c>
      <c r="T1711" s="1489">
        <f>O1711*H1716</f>
        <v>2706199.9999999995</v>
      </c>
      <c r="U1711" s="1489">
        <f>P1711*H1716</f>
        <v>0</v>
      </c>
      <c r="V1711" s="1489">
        <f t="shared" si="835"/>
        <v>2706199.9999999995</v>
      </c>
    </row>
    <row r="1712" spans="1:22" s="39" customFormat="1" ht="24" customHeight="1">
      <c r="A1712" s="1860">
        <v>3</v>
      </c>
      <c r="B1712" s="1860"/>
      <c r="C1712" s="1860"/>
      <c r="D1712" s="1860"/>
      <c r="E1712" s="1839"/>
      <c r="F1712" s="1841"/>
      <c r="G1712" s="1827"/>
      <c r="H1712" s="1601"/>
      <c r="I1712" s="1615"/>
      <c r="J1712" s="40" t="s">
        <v>80</v>
      </c>
      <c r="K1712" s="91"/>
      <c r="L1712" s="364">
        <f t="shared" ref="L1712:U1712" si="837">SUM(L1713:L1719)</f>
        <v>0</v>
      </c>
      <c r="M1712" s="364">
        <f>SUM(M1713:M1719)</f>
        <v>0</v>
      </c>
      <c r="N1712" s="364">
        <f t="shared" si="837"/>
        <v>0</v>
      </c>
      <c r="O1712" s="364">
        <f t="shared" si="837"/>
        <v>0</v>
      </c>
      <c r="P1712" s="364">
        <f t="shared" si="837"/>
        <v>0</v>
      </c>
      <c r="Q1712" s="1475">
        <f t="shared" si="837"/>
        <v>0</v>
      </c>
      <c r="R1712" s="1475">
        <f t="shared" si="837"/>
        <v>0</v>
      </c>
      <c r="S1712" s="1475">
        <f t="shared" si="837"/>
        <v>0</v>
      </c>
      <c r="T1712" s="1475">
        <f t="shared" si="837"/>
        <v>0</v>
      </c>
      <c r="U1712" s="1475">
        <f t="shared" si="837"/>
        <v>0</v>
      </c>
      <c r="V1712" s="1475">
        <f t="shared" si="835"/>
        <v>0</v>
      </c>
    </row>
    <row r="1713" spans="1:22" s="39" customFormat="1" ht="24" customHeight="1">
      <c r="A1713" s="1860">
        <v>3</v>
      </c>
      <c r="B1713" s="1860"/>
      <c r="C1713" s="1860"/>
      <c r="D1713" s="1860"/>
      <c r="E1713" s="1839"/>
      <c r="F1713" s="1841"/>
      <c r="G1713" s="1827"/>
      <c r="H1713" s="1601"/>
      <c r="I1713" s="1615"/>
      <c r="J1713" s="40" t="s">
        <v>429</v>
      </c>
      <c r="K1713" s="91"/>
      <c r="L1713" s="364">
        <v>0</v>
      </c>
      <c r="M1713" s="364">
        <v>0</v>
      </c>
      <c r="N1713" s="364">
        <v>0</v>
      </c>
      <c r="O1713" s="364">
        <v>0</v>
      </c>
      <c r="P1713" s="364">
        <v>0</v>
      </c>
      <c r="Q1713" s="1475">
        <f>L1713*$H$1716</f>
        <v>0</v>
      </c>
      <c r="R1713" s="1475">
        <f t="shared" ref="R1713:U1715" si="838">M1713*$H$1716</f>
        <v>0</v>
      </c>
      <c r="S1713" s="1475">
        <f t="shared" si="838"/>
        <v>0</v>
      </c>
      <c r="T1713" s="1475">
        <f t="shared" si="838"/>
        <v>0</v>
      </c>
      <c r="U1713" s="1475">
        <f t="shared" si="838"/>
        <v>0</v>
      </c>
      <c r="V1713" s="1475">
        <f t="shared" si="835"/>
        <v>0</v>
      </c>
    </row>
    <row r="1714" spans="1:22" s="39" customFormat="1" ht="24" customHeight="1">
      <c r="A1714" s="1860">
        <v>3</v>
      </c>
      <c r="B1714" s="1860"/>
      <c r="C1714" s="1860"/>
      <c r="D1714" s="1860"/>
      <c r="E1714" s="1839"/>
      <c r="F1714" s="1841"/>
      <c r="G1714" s="1827"/>
      <c r="H1714" s="1601"/>
      <c r="I1714" s="1615"/>
      <c r="J1714" s="40" t="s">
        <v>133</v>
      </c>
      <c r="K1714" s="91"/>
      <c r="L1714" s="364">
        <v>0</v>
      </c>
      <c r="M1714" s="364">
        <v>0</v>
      </c>
      <c r="N1714" s="364">
        <v>0</v>
      </c>
      <c r="O1714" s="364">
        <v>0</v>
      </c>
      <c r="P1714" s="364">
        <v>0</v>
      </c>
      <c r="Q1714" s="1475">
        <f>L1714*$H$1716</f>
        <v>0</v>
      </c>
      <c r="R1714" s="1475">
        <f t="shared" si="838"/>
        <v>0</v>
      </c>
      <c r="S1714" s="1475">
        <f t="shared" si="838"/>
        <v>0</v>
      </c>
      <c r="T1714" s="1475">
        <f t="shared" si="838"/>
        <v>0</v>
      </c>
      <c r="U1714" s="1475">
        <f t="shared" si="838"/>
        <v>0</v>
      </c>
      <c r="V1714" s="1475">
        <f t="shared" si="835"/>
        <v>0</v>
      </c>
    </row>
    <row r="1715" spans="1:22" s="39" customFormat="1" ht="24" customHeight="1">
      <c r="A1715" s="1860">
        <v>3</v>
      </c>
      <c r="B1715" s="1860"/>
      <c r="C1715" s="1860"/>
      <c r="D1715" s="1860"/>
      <c r="E1715" s="1839"/>
      <c r="F1715" s="1841"/>
      <c r="G1715" s="1827"/>
      <c r="H1715" s="1601"/>
      <c r="I1715" s="1615"/>
      <c r="J1715" s="40" t="s">
        <v>81</v>
      </c>
      <c r="K1715" s="91"/>
      <c r="L1715" s="364">
        <v>0</v>
      </c>
      <c r="M1715" s="364">
        <v>0</v>
      </c>
      <c r="N1715" s="364">
        <v>0</v>
      </c>
      <c r="O1715" s="364">
        <v>0</v>
      </c>
      <c r="P1715" s="364">
        <v>0</v>
      </c>
      <c r="Q1715" s="1475">
        <f>L1715*$H$1716</f>
        <v>0</v>
      </c>
      <c r="R1715" s="1475">
        <f t="shared" si="838"/>
        <v>0</v>
      </c>
      <c r="S1715" s="1475">
        <f t="shared" si="838"/>
        <v>0</v>
      </c>
      <c r="T1715" s="1475">
        <f t="shared" si="838"/>
        <v>0</v>
      </c>
      <c r="U1715" s="1475">
        <f t="shared" si="838"/>
        <v>0</v>
      </c>
      <c r="V1715" s="1475">
        <f t="shared" si="835"/>
        <v>0</v>
      </c>
    </row>
    <row r="1716" spans="1:22" s="39" customFormat="1" ht="24" customHeight="1">
      <c r="A1716" s="1860">
        <v>3</v>
      </c>
      <c r="B1716" s="1860"/>
      <c r="C1716" s="1860"/>
      <c r="D1716" s="1860"/>
      <c r="E1716" s="1839"/>
      <c r="F1716" s="1841"/>
      <c r="G1716" s="1827"/>
      <c r="H1716" s="1602">
        <f>140000*19.33</f>
        <v>2706199.9999999995</v>
      </c>
      <c r="I1716" s="1615"/>
      <c r="J1716" s="40" t="s">
        <v>134</v>
      </c>
      <c r="K1716" s="91"/>
      <c r="L1716" s="364">
        <f>L1596*30%</f>
        <v>0</v>
      </c>
      <c r="M1716" s="364">
        <f>M1596*30%</f>
        <v>0</v>
      </c>
      <c r="N1716" s="364">
        <f>N1596*30%</f>
        <v>0</v>
      </c>
      <c r="O1716" s="364">
        <f>O1596*30%</f>
        <v>0</v>
      </c>
      <c r="P1716" s="364">
        <f>P1596*30%</f>
        <v>0</v>
      </c>
      <c r="Q1716" s="1475">
        <f t="shared" ref="Q1716:Q1719" si="839">L1716*$H$1716</f>
        <v>0</v>
      </c>
      <c r="R1716" s="1475">
        <f t="shared" ref="R1716:R1719" si="840">M1716*$H$1716</f>
        <v>0</v>
      </c>
      <c r="S1716" s="1475">
        <f t="shared" ref="S1716:S1719" si="841">N1716*$H$1716</f>
        <v>0</v>
      </c>
      <c r="T1716" s="1475">
        <f t="shared" ref="T1716:T1719" si="842">O1716*$H$1716</f>
        <v>0</v>
      </c>
      <c r="U1716" s="1475">
        <f t="shared" ref="U1716:U1719" si="843">P1716*$H$1716</f>
        <v>0</v>
      </c>
      <c r="V1716" s="1475">
        <f t="shared" si="835"/>
        <v>0</v>
      </c>
    </row>
    <row r="1717" spans="1:22" s="39" customFormat="1" ht="24" customHeight="1">
      <c r="A1717" s="1860">
        <v>3</v>
      </c>
      <c r="B1717" s="1860"/>
      <c r="C1717" s="1860"/>
      <c r="D1717" s="1860"/>
      <c r="E1717" s="1839"/>
      <c r="F1717" s="1841"/>
      <c r="G1717" s="1827"/>
      <c r="H1717" s="1603">
        <f>810*0.05</f>
        <v>40.5</v>
      </c>
      <c r="I1717" s="1615"/>
      <c r="J1717" s="40" t="s">
        <v>82</v>
      </c>
      <c r="K1717" s="91"/>
      <c r="L1717" s="364">
        <v>0</v>
      </c>
      <c r="M1717" s="364">
        <v>0</v>
      </c>
      <c r="N1717" s="364">
        <v>0</v>
      </c>
      <c r="O1717" s="364">
        <v>0</v>
      </c>
      <c r="P1717" s="364">
        <v>0</v>
      </c>
      <c r="Q1717" s="1475">
        <f t="shared" si="839"/>
        <v>0</v>
      </c>
      <c r="R1717" s="1475">
        <f t="shared" si="840"/>
        <v>0</v>
      </c>
      <c r="S1717" s="1475">
        <f t="shared" si="841"/>
        <v>0</v>
      </c>
      <c r="T1717" s="1475">
        <f t="shared" si="842"/>
        <v>0</v>
      </c>
      <c r="U1717" s="1475">
        <f t="shared" si="843"/>
        <v>0</v>
      </c>
      <c r="V1717" s="1475">
        <f t="shared" si="835"/>
        <v>0</v>
      </c>
    </row>
    <row r="1718" spans="1:22" s="39" customFormat="1" ht="24" customHeight="1">
      <c r="A1718" s="1860">
        <v>3</v>
      </c>
      <c r="B1718" s="1860"/>
      <c r="C1718" s="1860"/>
      <c r="D1718" s="1860"/>
      <c r="E1718" s="1839"/>
      <c r="F1718" s="1841"/>
      <c r="G1718" s="1827"/>
      <c r="H1718" s="1603"/>
      <c r="I1718" s="1615"/>
      <c r="J1718" s="40" t="s">
        <v>90</v>
      </c>
      <c r="K1718" s="91"/>
      <c r="L1718" s="364">
        <v>0</v>
      </c>
      <c r="M1718" s="364">
        <v>0</v>
      </c>
      <c r="N1718" s="364">
        <v>0</v>
      </c>
      <c r="O1718" s="364">
        <v>0</v>
      </c>
      <c r="P1718" s="364">
        <v>0</v>
      </c>
      <c r="Q1718" s="1475">
        <f t="shared" si="839"/>
        <v>0</v>
      </c>
      <c r="R1718" s="1475">
        <f t="shared" si="840"/>
        <v>0</v>
      </c>
      <c r="S1718" s="1475">
        <f t="shared" si="841"/>
        <v>0</v>
      </c>
      <c r="T1718" s="1475">
        <f t="shared" si="842"/>
        <v>0</v>
      </c>
      <c r="U1718" s="1475">
        <f t="shared" si="843"/>
        <v>0</v>
      </c>
      <c r="V1718" s="1475">
        <f t="shared" si="835"/>
        <v>0</v>
      </c>
    </row>
    <row r="1719" spans="1:22" s="39" customFormat="1" ht="24" customHeight="1">
      <c r="A1719" s="1860">
        <v>3</v>
      </c>
      <c r="B1719" s="1860"/>
      <c r="C1719" s="1860"/>
      <c r="D1719" s="1860"/>
      <c r="E1719" s="1839"/>
      <c r="F1719" s="1841"/>
      <c r="G1719" s="1827"/>
      <c r="H1719" s="1603"/>
      <c r="I1719" s="1615"/>
      <c r="J1719" s="40" t="s">
        <v>83</v>
      </c>
      <c r="K1719" s="91"/>
      <c r="L1719" s="364">
        <v>0</v>
      </c>
      <c r="M1719" s="364">
        <v>0</v>
      </c>
      <c r="N1719" s="364">
        <v>0</v>
      </c>
      <c r="O1719" s="364">
        <v>0</v>
      </c>
      <c r="P1719" s="364">
        <v>0</v>
      </c>
      <c r="Q1719" s="1475">
        <f t="shared" si="839"/>
        <v>0</v>
      </c>
      <c r="R1719" s="1475">
        <f t="shared" si="840"/>
        <v>0</v>
      </c>
      <c r="S1719" s="1475">
        <f t="shared" si="841"/>
        <v>0</v>
      </c>
      <c r="T1719" s="1475">
        <f t="shared" si="842"/>
        <v>0</v>
      </c>
      <c r="U1719" s="1475">
        <f t="shared" si="843"/>
        <v>0</v>
      </c>
      <c r="V1719" s="1475">
        <f t="shared" si="835"/>
        <v>0</v>
      </c>
    </row>
    <row r="1720" spans="1:22" s="39" customFormat="1" ht="24" customHeight="1" thickBot="1">
      <c r="A1720" s="1860">
        <v>3</v>
      </c>
      <c r="B1720" s="1860"/>
      <c r="C1720" s="1860"/>
      <c r="D1720" s="1860"/>
      <c r="E1720" s="1839"/>
      <c r="F1720" s="1863"/>
      <c r="G1720" s="1827"/>
      <c r="H1720" s="1603"/>
      <c r="I1720" s="1615"/>
      <c r="J1720" s="40" t="s">
        <v>84</v>
      </c>
      <c r="K1720" s="91"/>
      <c r="L1720" s="364">
        <f>L1711-L1712</f>
        <v>0</v>
      </c>
      <c r="M1720" s="364">
        <f t="shared" ref="M1720:U1720" si="844">M1711-M1712</f>
        <v>0</v>
      </c>
      <c r="N1720" s="364">
        <f t="shared" si="844"/>
        <v>0</v>
      </c>
      <c r="O1720" s="364">
        <f t="shared" si="844"/>
        <v>1</v>
      </c>
      <c r="P1720" s="364">
        <f t="shared" si="844"/>
        <v>0</v>
      </c>
      <c r="Q1720" s="1475">
        <f t="shared" si="844"/>
        <v>0</v>
      </c>
      <c r="R1720" s="1475">
        <f t="shared" si="844"/>
        <v>0</v>
      </c>
      <c r="S1720" s="1475">
        <f t="shared" si="844"/>
        <v>0</v>
      </c>
      <c r="T1720" s="1475">
        <f t="shared" si="844"/>
        <v>2706199.9999999995</v>
      </c>
      <c r="U1720" s="1475">
        <f t="shared" si="844"/>
        <v>0</v>
      </c>
      <c r="V1720" s="1475">
        <f t="shared" si="835"/>
        <v>2706199.9999999995</v>
      </c>
    </row>
    <row r="1721" spans="1:22" s="39" customFormat="1" ht="24" customHeight="1">
      <c r="A1721" s="1958">
        <v>3</v>
      </c>
      <c r="B1721" s="1873">
        <v>2</v>
      </c>
      <c r="C1721" s="1873">
        <v>4</v>
      </c>
      <c r="D1721" s="1873">
        <v>6</v>
      </c>
      <c r="E1721" s="1861" t="s">
        <v>15</v>
      </c>
      <c r="F1721" s="1840" t="str">
        <f>CONCATENATE(A1721,".",B1721,".",C1721,".",D1721,)</f>
        <v>3.2.4.6</v>
      </c>
      <c r="G1721" s="1887" t="s">
        <v>783</v>
      </c>
      <c r="H1721" s="1679" t="s">
        <v>195</v>
      </c>
      <c r="I1721" s="1673" t="s">
        <v>784</v>
      </c>
      <c r="J1721" s="262" t="s">
        <v>79</v>
      </c>
      <c r="K1721" s="908"/>
      <c r="L1721" s="914">
        <v>0</v>
      </c>
      <c r="M1721" s="914">
        <v>0</v>
      </c>
      <c r="N1721" s="914">
        <v>0</v>
      </c>
      <c r="O1721" s="914">
        <v>30</v>
      </c>
      <c r="P1721" s="914">
        <v>0</v>
      </c>
      <c r="Q1721" s="1484">
        <f>L1721*H1726</f>
        <v>0</v>
      </c>
      <c r="R1721" s="1484">
        <f>M1721*H1726</f>
        <v>0</v>
      </c>
      <c r="S1721" s="1484">
        <f>N1721*H1726</f>
        <v>0</v>
      </c>
      <c r="T1721" s="1484">
        <f>O1721*H1726</f>
        <v>60000</v>
      </c>
      <c r="U1721" s="1484">
        <f>P1721*H1726</f>
        <v>0</v>
      </c>
      <c r="V1721" s="1526">
        <f t="shared" si="835"/>
        <v>60000</v>
      </c>
    </row>
    <row r="1722" spans="1:22" s="39" customFormat="1" ht="24" customHeight="1">
      <c r="A1722" s="1959">
        <v>3</v>
      </c>
      <c r="B1722" s="1860"/>
      <c r="C1722" s="1860"/>
      <c r="D1722" s="1860"/>
      <c r="E1722" s="1839"/>
      <c r="F1722" s="1841"/>
      <c r="G1722" s="1827"/>
      <c r="H1722" s="1601"/>
      <c r="I1722" s="1615"/>
      <c r="J1722" s="40" t="s">
        <v>80</v>
      </c>
      <c r="K1722" s="91"/>
      <c r="L1722" s="364">
        <f t="shared" ref="L1722:U1722" si="845">SUM(L1723:L1729)</f>
        <v>0</v>
      </c>
      <c r="M1722" s="364">
        <f t="shared" si="845"/>
        <v>0</v>
      </c>
      <c r="N1722" s="364">
        <f t="shared" si="845"/>
        <v>0</v>
      </c>
      <c r="O1722" s="364">
        <f t="shared" si="845"/>
        <v>0</v>
      </c>
      <c r="P1722" s="364">
        <f t="shared" si="845"/>
        <v>0</v>
      </c>
      <c r="Q1722" s="1475">
        <f t="shared" si="845"/>
        <v>0</v>
      </c>
      <c r="R1722" s="1475">
        <f t="shared" si="845"/>
        <v>0</v>
      </c>
      <c r="S1722" s="1475">
        <f t="shared" si="845"/>
        <v>0</v>
      </c>
      <c r="T1722" s="1475">
        <f t="shared" si="845"/>
        <v>0</v>
      </c>
      <c r="U1722" s="1475">
        <f t="shared" si="845"/>
        <v>0</v>
      </c>
      <c r="V1722" s="1527">
        <f t="shared" si="835"/>
        <v>0</v>
      </c>
    </row>
    <row r="1723" spans="1:22" s="39" customFormat="1" ht="24" customHeight="1">
      <c r="A1723" s="1959">
        <v>3</v>
      </c>
      <c r="B1723" s="1860"/>
      <c r="C1723" s="1860"/>
      <c r="D1723" s="1860"/>
      <c r="E1723" s="1839"/>
      <c r="F1723" s="1841"/>
      <c r="G1723" s="1827"/>
      <c r="H1723" s="1601"/>
      <c r="I1723" s="1615"/>
      <c r="J1723" s="40" t="s">
        <v>429</v>
      </c>
      <c r="K1723" s="91"/>
      <c r="L1723" s="364">
        <v>0</v>
      </c>
      <c r="M1723" s="364">
        <v>0</v>
      </c>
      <c r="N1723" s="364">
        <v>0</v>
      </c>
      <c r="O1723" s="364">
        <v>0</v>
      </c>
      <c r="P1723" s="364">
        <v>0</v>
      </c>
      <c r="Q1723" s="1475">
        <f>L1723*$H$1736</f>
        <v>0</v>
      </c>
      <c r="R1723" s="1475">
        <f t="shared" ref="R1723:R1729" si="846">M1723*$H$1736</f>
        <v>0</v>
      </c>
      <c r="S1723" s="1475">
        <f t="shared" ref="S1723:S1729" si="847">N1723*$H$1736</f>
        <v>0</v>
      </c>
      <c r="T1723" s="1475">
        <f t="shared" ref="T1723:T1729" si="848">O1723*$H$1736</f>
        <v>0</v>
      </c>
      <c r="U1723" s="1475">
        <f t="shared" ref="U1723:U1729" si="849">P1723*$H$1736</f>
        <v>0</v>
      </c>
      <c r="V1723" s="1527">
        <f t="shared" si="835"/>
        <v>0</v>
      </c>
    </row>
    <row r="1724" spans="1:22" s="39" customFormat="1" ht="24" customHeight="1">
      <c r="A1724" s="1959">
        <v>3</v>
      </c>
      <c r="B1724" s="1860"/>
      <c r="C1724" s="1860"/>
      <c r="D1724" s="1860"/>
      <c r="E1724" s="1839"/>
      <c r="F1724" s="1841"/>
      <c r="G1724" s="1827"/>
      <c r="H1724" s="1601"/>
      <c r="I1724" s="1615"/>
      <c r="J1724" s="40" t="s">
        <v>133</v>
      </c>
      <c r="K1724" s="91"/>
      <c r="L1724" s="364">
        <v>0</v>
      </c>
      <c r="M1724" s="364">
        <v>0</v>
      </c>
      <c r="N1724" s="364">
        <v>0</v>
      </c>
      <c r="O1724" s="364">
        <v>0</v>
      </c>
      <c r="P1724" s="364">
        <v>0</v>
      </c>
      <c r="Q1724" s="1475">
        <f t="shared" ref="Q1724:Q1729" si="850">L1724*$H$1736</f>
        <v>0</v>
      </c>
      <c r="R1724" s="1475">
        <f t="shared" si="846"/>
        <v>0</v>
      </c>
      <c r="S1724" s="1475">
        <f t="shared" si="847"/>
        <v>0</v>
      </c>
      <c r="T1724" s="1475">
        <f t="shared" si="848"/>
        <v>0</v>
      </c>
      <c r="U1724" s="1475">
        <f t="shared" si="849"/>
        <v>0</v>
      </c>
      <c r="V1724" s="1527">
        <f t="shared" si="835"/>
        <v>0</v>
      </c>
    </row>
    <row r="1725" spans="1:22" s="39" customFormat="1" ht="24" customHeight="1">
      <c r="A1725" s="1959">
        <v>3</v>
      </c>
      <c r="B1725" s="1860"/>
      <c r="C1725" s="1860"/>
      <c r="D1725" s="1860"/>
      <c r="E1725" s="1839"/>
      <c r="F1725" s="1841"/>
      <c r="G1725" s="1827"/>
      <c r="H1725" s="1601"/>
      <c r="I1725" s="1615"/>
      <c r="J1725" s="40" t="s">
        <v>81</v>
      </c>
      <c r="K1725" s="91"/>
      <c r="L1725" s="364">
        <v>0</v>
      </c>
      <c r="M1725" s="364">
        <v>0</v>
      </c>
      <c r="N1725" s="364">
        <v>0</v>
      </c>
      <c r="O1725" s="364">
        <v>0</v>
      </c>
      <c r="P1725" s="364">
        <v>0</v>
      </c>
      <c r="Q1725" s="1475">
        <f t="shared" si="850"/>
        <v>0</v>
      </c>
      <c r="R1725" s="1475">
        <f t="shared" si="846"/>
        <v>0</v>
      </c>
      <c r="S1725" s="1475">
        <f t="shared" si="847"/>
        <v>0</v>
      </c>
      <c r="T1725" s="1475">
        <f t="shared" si="848"/>
        <v>0</v>
      </c>
      <c r="U1725" s="1475">
        <f t="shared" si="849"/>
        <v>0</v>
      </c>
      <c r="V1725" s="1527">
        <f t="shared" si="835"/>
        <v>0</v>
      </c>
    </row>
    <row r="1726" spans="1:22" s="39" customFormat="1" ht="24" customHeight="1">
      <c r="A1726" s="1959">
        <v>3</v>
      </c>
      <c r="B1726" s="1860"/>
      <c r="C1726" s="1860"/>
      <c r="D1726" s="1860"/>
      <c r="E1726" s="1839"/>
      <c r="F1726" s="1841"/>
      <c r="G1726" s="1827"/>
      <c r="H1726" s="1602">
        <f>'Budget assumption'!C4</f>
        <v>2000</v>
      </c>
      <c r="I1726" s="1615"/>
      <c r="J1726" s="40" t="s">
        <v>134</v>
      </c>
      <c r="K1726" s="91"/>
      <c r="L1726" s="364">
        <v>0</v>
      </c>
      <c r="M1726" s="364">
        <v>0</v>
      </c>
      <c r="N1726" s="364">
        <v>0</v>
      </c>
      <c r="O1726" s="364">
        <v>0</v>
      </c>
      <c r="P1726" s="364">
        <v>0</v>
      </c>
      <c r="Q1726" s="1475">
        <f t="shared" si="850"/>
        <v>0</v>
      </c>
      <c r="R1726" s="1475">
        <f t="shared" si="846"/>
        <v>0</v>
      </c>
      <c r="S1726" s="1475">
        <f t="shared" si="847"/>
        <v>0</v>
      </c>
      <c r="T1726" s="1475">
        <f t="shared" si="848"/>
        <v>0</v>
      </c>
      <c r="U1726" s="1475">
        <f t="shared" si="849"/>
        <v>0</v>
      </c>
      <c r="V1726" s="1527">
        <f t="shared" si="835"/>
        <v>0</v>
      </c>
    </row>
    <row r="1727" spans="1:22" s="39" customFormat="1" ht="24" customHeight="1">
      <c r="A1727" s="1959">
        <v>3</v>
      </c>
      <c r="B1727" s="1860"/>
      <c r="C1727" s="1860"/>
      <c r="D1727" s="1860"/>
      <c r="E1727" s="1839"/>
      <c r="F1727" s="1841"/>
      <c r="G1727" s="1827"/>
      <c r="H1727" s="1603"/>
      <c r="I1727" s="1615"/>
      <c r="J1727" s="40" t="s">
        <v>82</v>
      </c>
      <c r="K1727" s="91"/>
      <c r="L1727" s="364">
        <v>0</v>
      </c>
      <c r="M1727" s="364">
        <v>0</v>
      </c>
      <c r="N1727" s="364">
        <v>0</v>
      </c>
      <c r="O1727" s="364">
        <v>0</v>
      </c>
      <c r="P1727" s="364">
        <v>0</v>
      </c>
      <c r="Q1727" s="1475">
        <f t="shared" si="850"/>
        <v>0</v>
      </c>
      <c r="R1727" s="1475">
        <f t="shared" si="846"/>
        <v>0</v>
      </c>
      <c r="S1727" s="1475">
        <f t="shared" si="847"/>
        <v>0</v>
      </c>
      <c r="T1727" s="1475">
        <f t="shared" si="848"/>
        <v>0</v>
      </c>
      <c r="U1727" s="1475">
        <f t="shared" si="849"/>
        <v>0</v>
      </c>
      <c r="V1727" s="1527">
        <f t="shared" si="835"/>
        <v>0</v>
      </c>
    </row>
    <row r="1728" spans="1:22" s="39" customFormat="1" ht="24" customHeight="1">
      <c r="A1728" s="1959">
        <v>3</v>
      </c>
      <c r="B1728" s="1860"/>
      <c r="C1728" s="1860"/>
      <c r="D1728" s="1860"/>
      <c r="E1728" s="1839"/>
      <c r="F1728" s="1841"/>
      <c r="G1728" s="1827"/>
      <c r="H1728" s="1603"/>
      <c r="I1728" s="1615"/>
      <c r="J1728" s="40" t="s">
        <v>90</v>
      </c>
      <c r="K1728" s="91"/>
      <c r="L1728" s="364">
        <v>0</v>
      </c>
      <c r="M1728" s="364">
        <v>0</v>
      </c>
      <c r="N1728" s="364">
        <v>0</v>
      </c>
      <c r="O1728" s="364">
        <v>0</v>
      </c>
      <c r="P1728" s="364">
        <v>0</v>
      </c>
      <c r="Q1728" s="1475">
        <f t="shared" si="850"/>
        <v>0</v>
      </c>
      <c r="R1728" s="1475">
        <f t="shared" si="846"/>
        <v>0</v>
      </c>
      <c r="S1728" s="1475">
        <f t="shared" si="847"/>
        <v>0</v>
      </c>
      <c r="T1728" s="1475">
        <f t="shared" si="848"/>
        <v>0</v>
      </c>
      <c r="U1728" s="1475">
        <f t="shared" si="849"/>
        <v>0</v>
      </c>
      <c r="V1728" s="1527">
        <f t="shared" si="835"/>
        <v>0</v>
      </c>
    </row>
    <row r="1729" spans="1:22" s="39" customFormat="1" ht="24" customHeight="1">
      <c r="A1729" s="1959">
        <v>3</v>
      </c>
      <c r="B1729" s="1860"/>
      <c r="C1729" s="1860"/>
      <c r="D1729" s="1860"/>
      <c r="E1729" s="1839"/>
      <c r="F1729" s="1841"/>
      <c r="G1729" s="1827"/>
      <c r="H1729" s="1603"/>
      <c r="I1729" s="1615"/>
      <c r="J1729" s="40" t="s">
        <v>83</v>
      </c>
      <c r="K1729" s="91"/>
      <c r="L1729" s="364">
        <v>0</v>
      </c>
      <c r="M1729" s="364">
        <v>0</v>
      </c>
      <c r="N1729" s="364">
        <v>0</v>
      </c>
      <c r="O1729" s="364">
        <v>0</v>
      </c>
      <c r="P1729" s="364">
        <v>0</v>
      </c>
      <c r="Q1729" s="1475">
        <f t="shared" si="850"/>
        <v>0</v>
      </c>
      <c r="R1729" s="1475">
        <f t="shared" si="846"/>
        <v>0</v>
      </c>
      <c r="S1729" s="1475">
        <f t="shared" si="847"/>
        <v>0</v>
      </c>
      <c r="T1729" s="1475">
        <f t="shared" si="848"/>
        <v>0</v>
      </c>
      <c r="U1729" s="1475">
        <f t="shared" si="849"/>
        <v>0</v>
      </c>
      <c r="V1729" s="1527">
        <f t="shared" si="835"/>
        <v>0</v>
      </c>
    </row>
    <row r="1730" spans="1:22" s="39" customFormat="1" ht="24" customHeight="1" thickBot="1">
      <c r="A1730" s="1960">
        <v>3</v>
      </c>
      <c r="B1730" s="1874"/>
      <c r="C1730" s="1874"/>
      <c r="D1730" s="1874"/>
      <c r="E1730" s="1862"/>
      <c r="F1730" s="1842"/>
      <c r="G1730" s="1888"/>
      <c r="H1730" s="1870"/>
      <c r="I1730" s="1616"/>
      <c r="J1730" s="80" t="s">
        <v>84</v>
      </c>
      <c r="K1730" s="824"/>
      <c r="L1730" s="371">
        <f>L1721-L1722</f>
        <v>0</v>
      </c>
      <c r="M1730" s="371">
        <f t="shared" ref="M1730:U1730" si="851">M1721-M1722</f>
        <v>0</v>
      </c>
      <c r="N1730" s="371">
        <f t="shared" si="851"/>
        <v>0</v>
      </c>
      <c r="O1730" s="371">
        <f t="shared" si="851"/>
        <v>30</v>
      </c>
      <c r="P1730" s="371">
        <f t="shared" si="851"/>
        <v>0</v>
      </c>
      <c r="Q1730" s="1487">
        <f t="shared" si="851"/>
        <v>0</v>
      </c>
      <c r="R1730" s="1487">
        <f t="shared" si="851"/>
        <v>0</v>
      </c>
      <c r="S1730" s="1487">
        <f t="shared" si="851"/>
        <v>0</v>
      </c>
      <c r="T1730" s="1487">
        <f t="shared" si="851"/>
        <v>60000</v>
      </c>
      <c r="U1730" s="1487">
        <f t="shared" si="851"/>
        <v>0</v>
      </c>
      <c r="V1730" s="1528">
        <f t="shared" si="835"/>
        <v>60000</v>
      </c>
    </row>
    <row r="1731" spans="1:22" s="39" customFormat="1" ht="24" customHeight="1">
      <c r="A1731" s="1860">
        <v>3</v>
      </c>
      <c r="B1731" s="1860">
        <v>2</v>
      </c>
      <c r="C1731" s="1860">
        <v>4</v>
      </c>
      <c r="D1731" s="1860">
        <v>7</v>
      </c>
      <c r="E1731" s="1839" t="s">
        <v>15</v>
      </c>
      <c r="F1731" s="1854" t="str">
        <f>CONCATENATE(A1731,".",B1731,".",C1731,".",D1731,)</f>
        <v>3.2.4.7</v>
      </c>
      <c r="G1731" s="1893" t="s">
        <v>222</v>
      </c>
      <c r="H1731" s="1628" t="s">
        <v>147</v>
      </c>
      <c r="I1731" s="1615" t="s">
        <v>424</v>
      </c>
      <c r="J1731" s="815" t="s">
        <v>79</v>
      </c>
      <c r="K1731" s="898"/>
      <c r="L1731" s="923">
        <v>0</v>
      </c>
      <c r="M1731" s="923">
        <v>0</v>
      </c>
      <c r="N1731" s="983">
        <v>1</v>
      </c>
      <c r="O1731" s="923">
        <v>0</v>
      </c>
      <c r="P1731" s="923">
        <v>0</v>
      </c>
      <c r="Q1731" s="1489">
        <f>L1731*H1736</f>
        <v>0</v>
      </c>
      <c r="R1731" s="1489">
        <f>M1731*H1736</f>
        <v>0</v>
      </c>
      <c r="S1731" s="1489">
        <f>N1731*H1736</f>
        <v>1159800</v>
      </c>
      <c r="T1731" s="1489">
        <f>O1731*H1736</f>
        <v>0</v>
      </c>
      <c r="U1731" s="1489">
        <f>P1731*H1736</f>
        <v>0</v>
      </c>
      <c r="V1731" s="1489">
        <f t="shared" si="835"/>
        <v>1159800</v>
      </c>
    </row>
    <row r="1732" spans="1:22" s="39" customFormat="1" ht="24" customHeight="1">
      <c r="A1732" s="1860">
        <v>3</v>
      </c>
      <c r="B1732" s="1860"/>
      <c r="C1732" s="1860"/>
      <c r="D1732" s="1860"/>
      <c r="E1732" s="1839"/>
      <c r="F1732" s="1841"/>
      <c r="G1732" s="1893"/>
      <c r="H1732" s="1601"/>
      <c r="I1732" s="1615"/>
      <c r="J1732" s="40" t="s">
        <v>80</v>
      </c>
      <c r="K1732" s="91"/>
      <c r="L1732" s="364">
        <f t="shared" ref="L1732:U1732" si="852">SUM(L1733:L1739)</f>
        <v>0</v>
      </c>
      <c r="M1732" s="364">
        <f t="shared" si="852"/>
        <v>0</v>
      </c>
      <c r="N1732" s="364">
        <f t="shared" si="852"/>
        <v>0.16666666666666666</v>
      </c>
      <c r="O1732" s="364">
        <f t="shared" si="852"/>
        <v>0</v>
      </c>
      <c r="P1732" s="364">
        <f t="shared" si="852"/>
        <v>0</v>
      </c>
      <c r="Q1732" s="1475">
        <f t="shared" si="852"/>
        <v>0</v>
      </c>
      <c r="R1732" s="1475">
        <f t="shared" si="852"/>
        <v>0</v>
      </c>
      <c r="S1732" s="1475">
        <f t="shared" si="852"/>
        <v>193300</v>
      </c>
      <c r="T1732" s="1475">
        <f t="shared" si="852"/>
        <v>0</v>
      </c>
      <c r="U1732" s="1475">
        <f t="shared" si="852"/>
        <v>0</v>
      </c>
      <c r="V1732" s="1475">
        <f t="shared" si="835"/>
        <v>193300</v>
      </c>
    </row>
    <row r="1733" spans="1:22" s="39" customFormat="1" ht="24" customHeight="1">
      <c r="A1733" s="1860">
        <v>3</v>
      </c>
      <c r="B1733" s="1860"/>
      <c r="C1733" s="1860"/>
      <c r="D1733" s="1860"/>
      <c r="E1733" s="1839"/>
      <c r="F1733" s="1841"/>
      <c r="G1733" s="1893"/>
      <c r="H1733" s="1601"/>
      <c r="I1733" s="1615"/>
      <c r="J1733" s="40" t="s">
        <v>429</v>
      </c>
      <c r="K1733" s="91"/>
      <c r="L1733" s="364">
        <v>0</v>
      </c>
      <c r="M1733" s="364">
        <v>0</v>
      </c>
      <c r="N1733" s="364">
        <v>0</v>
      </c>
      <c r="O1733" s="364">
        <v>0</v>
      </c>
      <c r="P1733" s="364">
        <v>0</v>
      </c>
      <c r="Q1733" s="1475">
        <f>L1733*$H$1736</f>
        <v>0</v>
      </c>
      <c r="R1733" s="1475">
        <f t="shared" ref="R1733:U1733" si="853">M1733*$H$1736</f>
        <v>0</v>
      </c>
      <c r="S1733" s="1475">
        <f t="shared" si="853"/>
        <v>0</v>
      </c>
      <c r="T1733" s="1475">
        <f t="shared" si="853"/>
        <v>0</v>
      </c>
      <c r="U1733" s="1475">
        <f t="shared" si="853"/>
        <v>0</v>
      </c>
      <c r="V1733" s="1475">
        <f t="shared" si="835"/>
        <v>0</v>
      </c>
    </row>
    <row r="1734" spans="1:22" s="39" customFormat="1" ht="24" customHeight="1">
      <c r="A1734" s="1860">
        <v>3</v>
      </c>
      <c r="B1734" s="1860"/>
      <c r="C1734" s="1860"/>
      <c r="D1734" s="1860"/>
      <c r="E1734" s="1839"/>
      <c r="F1734" s="1841"/>
      <c r="G1734" s="1893"/>
      <c r="H1734" s="1601"/>
      <c r="I1734" s="1615"/>
      <c r="J1734" s="40" t="s">
        <v>133</v>
      </c>
      <c r="K1734" s="91"/>
      <c r="L1734" s="364">
        <v>0</v>
      </c>
      <c r="M1734" s="364">
        <v>0</v>
      </c>
      <c r="N1734" s="364">
        <v>0</v>
      </c>
      <c r="O1734" s="364">
        <v>0</v>
      </c>
      <c r="P1734" s="364">
        <v>0</v>
      </c>
      <c r="Q1734" s="1475">
        <f t="shared" ref="Q1734:Q1739" si="854">L1734*$H$1736</f>
        <v>0</v>
      </c>
      <c r="R1734" s="1475">
        <f t="shared" ref="R1734:R1739" si="855">M1734*$H$1736</f>
        <v>0</v>
      </c>
      <c r="S1734" s="1475">
        <f t="shared" ref="S1734:S1739" si="856">N1734*$H$1736</f>
        <v>0</v>
      </c>
      <c r="T1734" s="1475">
        <f t="shared" ref="T1734:T1739" si="857">O1734*$H$1736</f>
        <v>0</v>
      </c>
      <c r="U1734" s="1475">
        <f t="shared" ref="U1734:U1739" si="858">P1734*$H$1736</f>
        <v>0</v>
      </c>
      <c r="V1734" s="1475">
        <f t="shared" si="835"/>
        <v>0</v>
      </c>
    </row>
    <row r="1735" spans="1:22" s="39" customFormat="1" ht="24" customHeight="1">
      <c r="A1735" s="1860">
        <v>3</v>
      </c>
      <c r="B1735" s="1860"/>
      <c r="C1735" s="1860"/>
      <c r="D1735" s="1860"/>
      <c r="E1735" s="1839"/>
      <c r="F1735" s="1841"/>
      <c r="G1735" s="1893"/>
      <c r="H1735" s="1601"/>
      <c r="I1735" s="1615"/>
      <c r="J1735" s="40" t="s">
        <v>81</v>
      </c>
      <c r="K1735" s="91"/>
      <c r="L1735" s="364">
        <v>0</v>
      </c>
      <c r="M1735" s="364">
        <v>0</v>
      </c>
      <c r="N1735" s="364">
        <v>0</v>
      </c>
      <c r="O1735" s="364">
        <v>0</v>
      </c>
      <c r="P1735" s="364">
        <v>0</v>
      </c>
      <c r="Q1735" s="1475">
        <f t="shared" si="854"/>
        <v>0</v>
      </c>
      <c r="R1735" s="1475">
        <f t="shared" si="855"/>
        <v>0</v>
      </c>
      <c r="S1735" s="1475">
        <f t="shared" si="856"/>
        <v>0</v>
      </c>
      <c r="T1735" s="1475">
        <f t="shared" si="857"/>
        <v>0</v>
      </c>
      <c r="U1735" s="1475">
        <f t="shared" si="858"/>
        <v>0</v>
      </c>
      <c r="V1735" s="1475">
        <f t="shared" si="835"/>
        <v>0</v>
      </c>
    </row>
    <row r="1736" spans="1:22" s="39" customFormat="1" ht="24" customHeight="1">
      <c r="A1736" s="1860">
        <v>3</v>
      </c>
      <c r="B1736" s="1860"/>
      <c r="C1736" s="1860"/>
      <c r="D1736" s="1860"/>
      <c r="E1736" s="1839"/>
      <c r="F1736" s="1841"/>
      <c r="G1736" s="1893"/>
      <c r="H1736" s="1602">
        <f>60000*19.33</f>
        <v>1159800</v>
      </c>
      <c r="I1736" s="1615"/>
      <c r="J1736" s="40" t="s">
        <v>134</v>
      </c>
      <c r="K1736" s="91"/>
      <c r="L1736" s="364">
        <v>0</v>
      </c>
      <c r="M1736" s="364">
        <v>0</v>
      </c>
      <c r="N1736" s="364">
        <v>0</v>
      </c>
      <c r="O1736" s="364">
        <v>0</v>
      </c>
      <c r="P1736" s="364">
        <v>0</v>
      </c>
      <c r="Q1736" s="1475">
        <f t="shared" si="854"/>
        <v>0</v>
      </c>
      <c r="R1736" s="1475">
        <f t="shared" si="855"/>
        <v>0</v>
      </c>
      <c r="S1736" s="1475">
        <f t="shared" si="856"/>
        <v>0</v>
      </c>
      <c r="T1736" s="1475">
        <f t="shared" si="857"/>
        <v>0</v>
      </c>
      <c r="U1736" s="1475">
        <f t="shared" si="858"/>
        <v>0</v>
      </c>
      <c r="V1736" s="1475">
        <f t="shared" si="835"/>
        <v>0</v>
      </c>
    </row>
    <row r="1737" spans="1:22" s="39" customFormat="1" ht="24" customHeight="1">
      <c r="A1737" s="1860">
        <v>3</v>
      </c>
      <c r="B1737" s="1860"/>
      <c r="C1737" s="1860"/>
      <c r="D1737" s="1860"/>
      <c r="E1737" s="1839"/>
      <c r="F1737" s="1841"/>
      <c r="G1737" s="1893"/>
      <c r="H1737" s="1603"/>
      <c r="I1737" s="1615"/>
      <c r="J1737" s="40" t="s">
        <v>82</v>
      </c>
      <c r="K1737" s="91"/>
      <c r="L1737" s="364">
        <v>0</v>
      </c>
      <c r="M1737" s="364">
        <v>0</v>
      </c>
      <c r="N1737" s="933">
        <v>0</v>
      </c>
      <c r="O1737" s="364">
        <v>0</v>
      </c>
      <c r="P1737" s="364">
        <v>0</v>
      </c>
      <c r="Q1737" s="1475">
        <f t="shared" si="854"/>
        <v>0</v>
      </c>
      <c r="R1737" s="1475">
        <f t="shared" si="855"/>
        <v>0</v>
      </c>
      <c r="S1737" s="1475">
        <f t="shared" si="856"/>
        <v>0</v>
      </c>
      <c r="T1737" s="1475">
        <f t="shared" si="857"/>
        <v>0</v>
      </c>
      <c r="U1737" s="1475">
        <f t="shared" si="858"/>
        <v>0</v>
      </c>
      <c r="V1737" s="1475">
        <f t="shared" si="835"/>
        <v>0</v>
      </c>
    </row>
    <row r="1738" spans="1:22" s="39" customFormat="1" ht="24" customHeight="1">
      <c r="A1738" s="1860">
        <v>3</v>
      </c>
      <c r="B1738" s="1860"/>
      <c r="C1738" s="1860"/>
      <c r="D1738" s="1860"/>
      <c r="E1738" s="1839"/>
      <c r="F1738" s="1841"/>
      <c r="G1738" s="1893"/>
      <c r="H1738" s="1603"/>
      <c r="I1738" s="1615"/>
      <c r="J1738" s="40" t="s">
        <v>90</v>
      </c>
      <c r="K1738" s="91"/>
      <c r="L1738" s="364">
        <v>0</v>
      </c>
      <c r="M1738" s="364">
        <v>0</v>
      </c>
      <c r="N1738" s="364">
        <v>0</v>
      </c>
      <c r="O1738" s="364">
        <v>0</v>
      </c>
      <c r="P1738" s="364">
        <v>0</v>
      </c>
      <c r="Q1738" s="1475">
        <f t="shared" si="854"/>
        <v>0</v>
      </c>
      <c r="R1738" s="1475">
        <f t="shared" si="855"/>
        <v>0</v>
      </c>
      <c r="S1738" s="1475">
        <f t="shared" si="856"/>
        <v>0</v>
      </c>
      <c r="T1738" s="1475">
        <f t="shared" si="857"/>
        <v>0</v>
      </c>
      <c r="U1738" s="1475">
        <f t="shared" si="858"/>
        <v>0</v>
      </c>
      <c r="V1738" s="1475">
        <f t="shared" si="835"/>
        <v>0</v>
      </c>
    </row>
    <row r="1739" spans="1:22" s="39" customFormat="1" ht="24" customHeight="1">
      <c r="A1739" s="1860">
        <v>3</v>
      </c>
      <c r="B1739" s="1860"/>
      <c r="C1739" s="1860"/>
      <c r="D1739" s="1860"/>
      <c r="E1739" s="1839"/>
      <c r="F1739" s="1841"/>
      <c r="G1739" s="1893"/>
      <c r="H1739" s="1603"/>
      <c r="I1739" s="1615"/>
      <c r="J1739" s="40" t="s">
        <v>83</v>
      </c>
      <c r="K1739" s="91"/>
      <c r="L1739" s="364">
        <v>0</v>
      </c>
      <c r="M1739" s="364">
        <v>0</v>
      </c>
      <c r="N1739" s="1457">
        <f>1/6</f>
        <v>0.16666666666666666</v>
      </c>
      <c r="O1739" s="364">
        <v>0</v>
      </c>
      <c r="P1739" s="364">
        <v>0</v>
      </c>
      <c r="Q1739" s="1475">
        <f t="shared" si="854"/>
        <v>0</v>
      </c>
      <c r="R1739" s="1475">
        <f t="shared" si="855"/>
        <v>0</v>
      </c>
      <c r="S1739" s="1475">
        <f t="shared" si="856"/>
        <v>193300</v>
      </c>
      <c r="T1739" s="1475">
        <f t="shared" si="857"/>
        <v>0</v>
      </c>
      <c r="U1739" s="1475">
        <f t="shared" si="858"/>
        <v>0</v>
      </c>
      <c r="V1739" s="1475">
        <f t="shared" si="835"/>
        <v>193300</v>
      </c>
    </row>
    <row r="1740" spans="1:22" s="39" customFormat="1" ht="24" customHeight="1" thickBot="1">
      <c r="A1740" s="1860">
        <v>3</v>
      </c>
      <c r="B1740" s="1860"/>
      <c r="C1740" s="1860"/>
      <c r="D1740" s="1860"/>
      <c r="E1740" s="1839"/>
      <c r="F1740" s="1863"/>
      <c r="G1740" s="1893"/>
      <c r="H1740" s="1603"/>
      <c r="I1740" s="1615"/>
      <c r="J1740" s="40" t="s">
        <v>84</v>
      </c>
      <c r="K1740" s="91"/>
      <c r="L1740" s="364">
        <f>L1731-L1732</f>
        <v>0</v>
      </c>
      <c r="M1740" s="364">
        <f t="shared" ref="M1740:U1740" si="859">M1731-M1732</f>
        <v>0</v>
      </c>
      <c r="N1740" s="820">
        <f t="shared" si="859"/>
        <v>0.83333333333333337</v>
      </c>
      <c r="O1740" s="364">
        <f t="shared" si="859"/>
        <v>0</v>
      </c>
      <c r="P1740" s="364">
        <f t="shared" si="859"/>
        <v>0</v>
      </c>
      <c r="Q1740" s="1475">
        <f t="shared" si="859"/>
        <v>0</v>
      </c>
      <c r="R1740" s="1475">
        <f t="shared" si="859"/>
        <v>0</v>
      </c>
      <c r="S1740" s="1475">
        <f t="shared" si="859"/>
        <v>966500</v>
      </c>
      <c r="T1740" s="1475">
        <f t="shared" si="859"/>
        <v>0</v>
      </c>
      <c r="U1740" s="1475">
        <f t="shared" si="859"/>
        <v>0</v>
      </c>
      <c r="V1740" s="1475">
        <f t="shared" si="835"/>
        <v>966500</v>
      </c>
    </row>
    <row r="1741" spans="1:22" s="39" customFormat="1" ht="24" customHeight="1">
      <c r="A1741" s="1958">
        <v>3</v>
      </c>
      <c r="B1741" s="1873">
        <v>2</v>
      </c>
      <c r="C1741" s="1873">
        <v>4</v>
      </c>
      <c r="D1741" s="1873">
        <v>8</v>
      </c>
      <c r="E1741" s="1861" t="s">
        <v>15</v>
      </c>
      <c r="F1741" s="1840" t="str">
        <f>CONCATENATE(A1741,".",B1741,".",C1741,".",D1741,)</f>
        <v>3.2.4.8</v>
      </c>
      <c r="G1741" s="1894" t="s">
        <v>223</v>
      </c>
      <c r="H1741" s="1679" t="s">
        <v>147</v>
      </c>
      <c r="I1741" s="1673" t="s">
        <v>782</v>
      </c>
      <c r="J1741" s="262" t="s">
        <v>79</v>
      </c>
      <c r="K1741" s="908"/>
      <c r="L1741" s="914">
        <v>0</v>
      </c>
      <c r="M1741" s="914">
        <v>0</v>
      </c>
      <c r="N1741" s="1459">
        <v>1</v>
      </c>
      <c r="O1741" s="914">
        <v>0</v>
      </c>
      <c r="P1741" s="914">
        <v>0</v>
      </c>
      <c r="Q1741" s="1484">
        <f>L1741*H1746</f>
        <v>0</v>
      </c>
      <c r="R1741" s="1484">
        <f>M1741*H1746</f>
        <v>0</v>
      </c>
      <c r="S1741" s="1484">
        <f>N1741*H1746</f>
        <v>676549.99999999988</v>
      </c>
      <c r="T1741" s="1484">
        <f>O1741*H1746</f>
        <v>0</v>
      </c>
      <c r="U1741" s="1484">
        <f>P1741*H1746</f>
        <v>0</v>
      </c>
      <c r="V1741" s="1526">
        <f t="shared" si="835"/>
        <v>676549.99999999988</v>
      </c>
    </row>
    <row r="1742" spans="1:22" s="39" customFormat="1" ht="24" customHeight="1">
      <c r="A1742" s="1959">
        <v>3</v>
      </c>
      <c r="B1742" s="1860"/>
      <c r="C1742" s="1860"/>
      <c r="D1742" s="1860"/>
      <c r="E1742" s="1839"/>
      <c r="F1742" s="1841"/>
      <c r="G1742" s="1893"/>
      <c r="H1742" s="1601"/>
      <c r="I1742" s="1615"/>
      <c r="J1742" s="40" t="s">
        <v>80</v>
      </c>
      <c r="K1742" s="91"/>
      <c r="L1742" s="364">
        <f t="shared" ref="L1742:U1742" si="860">SUM(L1743:L1749)</f>
        <v>0</v>
      </c>
      <c r="M1742" s="364">
        <f t="shared" si="860"/>
        <v>0</v>
      </c>
      <c r="N1742" s="364">
        <f t="shared" si="860"/>
        <v>0</v>
      </c>
      <c r="O1742" s="364">
        <f t="shared" si="860"/>
        <v>0</v>
      </c>
      <c r="P1742" s="364">
        <f t="shared" si="860"/>
        <v>0</v>
      </c>
      <c r="Q1742" s="1475">
        <f t="shared" si="860"/>
        <v>0</v>
      </c>
      <c r="R1742" s="1475">
        <f t="shared" si="860"/>
        <v>0</v>
      </c>
      <c r="S1742" s="1475">
        <f t="shared" si="860"/>
        <v>0</v>
      </c>
      <c r="T1742" s="1475">
        <f t="shared" si="860"/>
        <v>0</v>
      </c>
      <c r="U1742" s="1475">
        <f t="shared" si="860"/>
        <v>0</v>
      </c>
      <c r="V1742" s="1527">
        <f t="shared" si="835"/>
        <v>0</v>
      </c>
    </row>
    <row r="1743" spans="1:22" s="39" customFormat="1" ht="24" customHeight="1">
      <c r="A1743" s="1959">
        <v>3</v>
      </c>
      <c r="B1743" s="1860"/>
      <c r="C1743" s="1860"/>
      <c r="D1743" s="1860"/>
      <c r="E1743" s="1839"/>
      <c r="F1743" s="1841"/>
      <c r="G1743" s="1893"/>
      <c r="H1743" s="1601"/>
      <c r="I1743" s="1615"/>
      <c r="J1743" s="40" t="s">
        <v>429</v>
      </c>
      <c r="K1743" s="91"/>
      <c r="L1743" s="364">
        <v>0</v>
      </c>
      <c r="M1743" s="364">
        <v>0</v>
      </c>
      <c r="N1743" s="364">
        <v>0</v>
      </c>
      <c r="O1743" s="364">
        <v>0</v>
      </c>
      <c r="P1743" s="364">
        <v>0</v>
      </c>
      <c r="Q1743" s="1475">
        <f>L1743*$H1746</f>
        <v>0</v>
      </c>
      <c r="R1743" s="1475">
        <f>M1743*$H1746</f>
        <v>0</v>
      </c>
      <c r="S1743" s="1475">
        <f>N1743*$H1746</f>
        <v>0</v>
      </c>
      <c r="T1743" s="1475">
        <f>O1743*$H1746</f>
        <v>0</v>
      </c>
      <c r="U1743" s="1475">
        <f>P1743*$H1746</f>
        <v>0</v>
      </c>
      <c r="V1743" s="1527">
        <f t="shared" si="835"/>
        <v>0</v>
      </c>
    </row>
    <row r="1744" spans="1:22" s="39" customFormat="1" ht="24" customHeight="1">
      <c r="A1744" s="1959">
        <v>3</v>
      </c>
      <c r="B1744" s="1860"/>
      <c r="C1744" s="1860"/>
      <c r="D1744" s="1860"/>
      <c r="E1744" s="1839"/>
      <c r="F1744" s="1841"/>
      <c r="G1744" s="1893"/>
      <c r="H1744" s="1601"/>
      <c r="I1744" s="1615"/>
      <c r="J1744" s="40" t="s">
        <v>133</v>
      </c>
      <c r="K1744" s="91"/>
      <c r="L1744" s="364">
        <v>0</v>
      </c>
      <c r="M1744" s="364">
        <v>0</v>
      </c>
      <c r="N1744" s="364">
        <v>0</v>
      </c>
      <c r="O1744" s="364">
        <v>0</v>
      </c>
      <c r="P1744" s="364">
        <v>0</v>
      </c>
      <c r="Q1744" s="1475">
        <f>L1744*$H1746</f>
        <v>0</v>
      </c>
      <c r="R1744" s="1475">
        <f>M1744*$H1746</f>
        <v>0</v>
      </c>
      <c r="S1744" s="1475">
        <f>N1744*$H1746</f>
        <v>0</v>
      </c>
      <c r="T1744" s="1475">
        <f>O1744*$H1746</f>
        <v>0</v>
      </c>
      <c r="U1744" s="1475">
        <f>P1744*$H1746</f>
        <v>0</v>
      </c>
      <c r="V1744" s="1527">
        <f t="shared" si="835"/>
        <v>0</v>
      </c>
    </row>
    <row r="1745" spans="1:22" s="39" customFormat="1" ht="24" customHeight="1">
      <c r="A1745" s="1959">
        <v>3</v>
      </c>
      <c r="B1745" s="1860"/>
      <c r="C1745" s="1860"/>
      <c r="D1745" s="1860"/>
      <c r="E1745" s="1839"/>
      <c r="F1745" s="1841"/>
      <c r="G1745" s="1893"/>
      <c r="H1745" s="1601"/>
      <c r="I1745" s="1615"/>
      <c r="J1745" s="40" t="s">
        <v>81</v>
      </c>
      <c r="K1745" s="91"/>
      <c r="L1745" s="364">
        <v>0</v>
      </c>
      <c r="M1745" s="364">
        <v>0</v>
      </c>
      <c r="N1745" s="364">
        <v>0</v>
      </c>
      <c r="O1745" s="364">
        <v>0</v>
      </c>
      <c r="P1745" s="364">
        <v>0</v>
      </c>
      <c r="Q1745" s="1475">
        <f>L1745*$H1746</f>
        <v>0</v>
      </c>
      <c r="R1745" s="1475">
        <f>M1745*$H1746</f>
        <v>0</v>
      </c>
      <c r="S1745" s="1475">
        <f>N1745*$H1746</f>
        <v>0</v>
      </c>
      <c r="T1745" s="1475">
        <f>O1745*$H1746</f>
        <v>0</v>
      </c>
      <c r="U1745" s="1475">
        <f>P1745*$H1746</f>
        <v>0</v>
      </c>
      <c r="V1745" s="1527">
        <f t="shared" si="835"/>
        <v>0</v>
      </c>
    </row>
    <row r="1746" spans="1:22" s="39" customFormat="1" ht="24" customHeight="1">
      <c r="A1746" s="1959">
        <v>3</v>
      </c>
      <c r="B1746" s="1860"/>
      <c r="C1746" s="1860"/>
      <c r="D1746" s="1860"/>
      <c r="E1746" s="1839"/>
      <c r="F1746" s="1841"/>
      <c r="G1746" s="1893"/>
      <c r="H1746" s="1602">
        <f>35000*19.33</f>
        <v>676549.99999999988</v>
      </c>
      <c r="I1746" s="1615"/>
      <c r="J1746" s="40" t="s">
        <v>134</v>
      </c>
      <c r="K1746" s="91"/>
      <c r="L1746" s="364">
        <v>0</v>
      </c>
      <c r="M1746" s="364">
        <v>0</v>
      </c>
      <c r="N1746" s="384">
        <v>0</v>
      </c>
      <c r="O1746" s="364">
        <v>0</v>
      </c>
      <c r="P1746" s="364">
        <v>0</v>
      </c>
      <c r="Q1746" s="1475">
        <f>L1746*$H1746</f>
        <v>0</v>
      </c>
      <c r="R1746" s="1475">
        <f>M1746*$H1746</f>
        <v>0</v>
      </c>
      <c r="S1746" s="1475">
        <f>N1746*$H1746</f>
        <v>0</v>
      </c>
      <c r="T1746" s="1475">
        <f>O1746*$H1746</f>
        <v>0</v>
      </c>
      <c r="U1746" s="1475">
        <f>P1746*$H1746</f>
        <v>0</v>
      </c>
      <c r="V1746" s="1527">
        <f t="shared" si="835"/>
        <v>0</v>
      </c>
    </row>
    <row r="1747" spans="1:22" s="39" customFormat="1" ht="24" customHeight="1">
      <c r="A1747" s="1959">
        <v>3</v>
      </c>
      <c r="B1747" s="1860"/>
      <c r="C1747" s="1860"/>
      <c r="D1747" s="1860"/>
      <c r="E1747" s="1839"/>
      <c r="F1747" s="1841"/>
      <c r="G1747" s="1893"/>
      <c r="H1747" s="1603"/>
      <c r="I1747" s="1615"/>
      <c r="J1747" s="40" t="s">
        <v>82</v>
      </c>
      <c r="K1747" s="91"/>
      <c r="L1747" s="364">
        <v>0</v>
      </c>
      <c r="M1747" s="364">
        <v>0</v>
      </c>
      <c r="N1747" s="934">
        <v>0</v>
      </c>
      <c r="O1747" s="364">
        <v>0</v>
      </c>
      <c r="P1747" s="364">
        <v>0</v>
      </c>
      <c r="Q1747" s="1475">
        <f>L1747*$H1746</f>
        <v>0</v>
      </c>
      <c r="R1747" s="1475">
        <f>M1747*$H1746</f>
        <v>0</v>
      </c>
      <c r="S1747" s="1475">
        <f>N1747*$H1746</f>
        <v>0</v>
      </c>
      <c r="T1747" s="1475">
        <f>O1747*$H1746</f>
        <v>0</v>
      </c>
      <c r="U1747" s="1475">
        <f>P1747*$H1746</f>
        <v>0</v>
      </c>
      <c r="V1747" s="1527">
        <f t="shared" si="835"/>
        <v>0</v>
      </c>
    </row>
    <row r="1748" spans="1:22" s="39" customFormat="1" ht="24" customHeight="1">
      <c r="A1748" s="1959">
        <v>3</v>
      </c>
      <c r="B1748" s="1860"/>
      <c r="C1748" s="1860"/>
      <c r="D1748" s="1860"/>
      <c r="E1748" s="1839"/>
      <c r="F1748" s="1841"/>
      <c r="G1748" s="1893"/>
      <c r="H1748" s="1603"/>
      <c r="I1748" s="1615"/>
      <c r="J1748" s="40" t="s">
        <v>90</v>
      </c>
      <c r="K1748" s="91"/>
      <c r="L1748" s="364">
        <v>0</v>
      </c>
      <c r="M1748" s="364">
        <v>0</v>
      </c>
      <c r="N1748" s="1458">
        <v>0</v>
      </c>
      <c r="O1748" s="364">
        <v>0</v>
      </c>
      <c r="P1748" s="364">
        <v>0</v>
      </c>
      <c r="Q1748" s="1475">
        <f>L1748*$H1746</f>
        <v>0</v>
      </c>
      <c r="R1748" s="1475">
        <f>M1748*$H1746</f>
        <v>0</v>
      </c>
      <c r="S1748" s="1475">
        <f>N1748*$H1746</f>
        <v>0</v>
      </c>
      <c r="T1748" s="1475">
        <f>O1748*$H1746</f>
        <v>0</v>
      </c>
      <c r="U1748" s="1475">
        <f>P1748*$H1746</f>
        <v>0</v>
      </c>
      <c r="V1748" s="1527">
        <f t="shared" si="835"/>
        <v>0</v>
      </c>
    </row>
    <row r="1749" spans="1:22" s="39" customFormat="1" ht="24" customHeight="1">
      <c r="A1749" s="1959">
        <v>3</v>
      </c>
      <c r="B1749" s="1860"/>
      <c r="C1749" s="1860"/>
      <c r="D1749" s="1860"/>
      <c r="E1749" s="1839"/>
      <c r="F1749" s="1841"/>
      <c r="G1749" s="1893"/>
      <c r="H1749" s="1603"/>
      <c r="I1749" s="1615"/>
      <c r="J1749" s="40" t="s">
        <v>83</v>
      </c>
      <c r="K1749" s="91"/>
      <c r="L1749" s="364">
        <v>0</v>
      </c>
      <c r="M1749" s="364">
        <v>0</v>
      </c>
      <c r="N1749" s="1458">
        <v>0</v>
      </c>
      <c r="O1749" s="364">
        <v>0</v>
      </c>
      <c r="P1749" s="364">
        <v>0</v>
      </c>
      <c r="Q1749" s="1475">
        <f>L1749*$H1746</f>
        <v>0</v>
      </c>
      <c r="R1749" s="1475">
        <f>M1749*$H1746</f>
        <v>0</v>
      </c>
      <c r="S1749" s="1475">
        <f>N1749*$H1746</f>
        <v>0</v>
      </c>
      <c r="T1749" s="1475">
        <f>O1749*$H1746</f>
        <v>0</v>
      </c>
      <c r="U1749" s="1475">
        <f>P1749*$H1746</f>
        <v>0</v>
      </c>
      <c r="V1749" s="1527">
        <f t="shared" si="835"/>
        <v>0</v>
      </c>
    </row>
    <row r="1750" spans="1:22" s="39" customFormat="1" ht="24" customHeight="1" thickBot="1">
      <c r="A1750" s="1960">
        <v>3</v>
      </c>
      <c r="B1750" s="1874"/>
      <c r="C1750" s="1874"/>
      <c r="D1750" s="1874"/>
      <c r="E1750" s="1862"/>
      <c r="F1750" s="1842"/>
      <c r="G1750" s="1895"/>
      <c r="H1750" s="1870"/>
      <c r="I1750" s="1616"/>
      <c r="J1750" s="80" t="s">
        <v>84</v>
      </c>
      <c r="K1750" s="824"/>
      <c r="L1750" s="371">
        <f>L1741-L1742</f>
        <v>0</v>
      </c>
      <c r="M1750" s="371">
        <f t="shared" ref="M1750:U1750" si="861">M1741-M1742</f>
        <v>0</v>
      </c>
      <c r="N1750" s="821">
        <f t="shared" si="861"/>
        <v>1</v>
      </c>
      <c r="O1750" s="371">
        <f t="shared" si="861"/>
        <v>0</v>
      </c>
      <c r="P1750" s="371">
        <f t="shared" si="861"/>
        <v>0</v>
      </c>
      <c r="Q1750" s="1487">
        <f t="shared" si="861"/>
        <v>0</v>
      </c>
      <c r="R1750" s="1487">
        <f t="shared" si="861"/>
        <v>0</v>
      </c>
      <c r="S1750" s="1487">
        <f t="shared" si="861"/>
        <v>676549.99999999988</v>
      </c>
      <c r="T1750" s="1487">
        <f t="shared" si="861"/>
        <v>0</v>
      </c>
      <c r="U1750" s="1487">
        <f t="shared" si="861"/>
        <v>0</v>
      </c>
      <c r="V1750" s="1528">
        <f t="shared" si="835"/>
        <v>676549.99999999988</v>
      </c>
    </row>
    <row r="1751" spans="1:22" s="45" customFormat="1" ht="24" customHeight="1">
      <c r="A1751" s="1860">
        <v>3</v>
      </c>
      <c r="B1751" s="1860">
        <v>2</v>
      </c>
      <c r="C1751" s="1860">
        <v>4</v>
      </c>
      <c r="D1751" s="1860">
        <v>9</v>
      </c>
      <c r="E1751" s="1839" t="s">
        <v>49</v>
      </c>
      <c r="F1751" s="1854" t="str">
        <f>CONCATENATE(A1751,".",B1751,".",C1751,".",D1751,)</f>
        <v>3.2.4.9</v>
      </c>
      <c r="G1751" s="1665" t="s">
        <v>226</v>
      </c>
      <c r="H1751" s="1628" t="s">
        <v>220</v>
      </c>
      <c r="I1751" s="1615" t="s">
        <v>425</v>
      </c>
      <c r="J1751" s="815" t="s">
        <v>79</v>
      </c>
      <c r="K1751" s="898"/>
      <c r="L1751" s="923">
        <v>1</v>
      </c>
      <c r="M1751" s="923">
        <v>0</v>
      </c>
      <c r="N1751" s="923">
        <v>0</v>
      </c>
      <c r="O1751" s="923">
        <v>0</v>
      </c>
      <c r="P1751" s="923">
        <v>1</v>
      </c>
      <c r="Q1751" s="1489">
        <f>L1751*H1756</f>
        <v>193299.99999999997</v>
      </c>
      <c r="R1751" s="1489">
        <f>M1751*H1756</f>
        <v>0</v>
      </c>
      <c r="S1751" s="1489">
        <f>N1751*H1756</f>
        <v>0</v>
      </c>
      <c r="T1751" s="1489">
        <f>O1751*H1756</f>
        <v>0</v>
      </c>
      <c r="U1751" s="1489">
        <f>P1751*H1756</f>
        <v>193299.99999999997</v>
      </c>
      <c r="V1751" s="1489">
        <f t="shared" si="835"/>
        <v>386599.99999999994</v>
      </c>
    </row>
    <row r="1752" spans="1:22" s="39" customFormat="1" ht="24" customHeight="1">
      <c r="A1752" s="1860">
        <v>2</v>
      </c>
      <c r="B1752" s="1860"/>
      <c r="C1752" s="1860"/>
      <c r="D1752" s="1860"/>
      <c r="E1752" s="1839"/>
      <c r="F1752" s="1841"/>
      <c r="G1752" s="1665"/>
      <c r="H1752" s="1601"/>
      <c r="I1752" s="1615"/>
      <c r="J1752" s="40" t="s">
        <v>80</v>
      </c>
      <c r="K1752" s="91"/>
      <c r="L1752" s="364">
        <f t="shared" ref="L1752" si="862">SUM(L1753:L1759)</f>
        <v>1.1400000000000001</v>
      </c>
      <c r="M1752" s="364">
        <f t="shared" ref="M1752" si="863">SUM(M1753:M1759)</f>
        <v>0</v>
      </c>
      <c r="N1752" s="364">
        <f t="shared" ref="N1752" si="864">SUM(N1753:N1759)</f>
        <v>0</v>
      </c>
      <c r="O1752" s="364">
        <f t="shared" ref="O1752" si="865">SUM(O1753:O1759)</f>
        <v>0</v>
      </c>
      <c r="P1752" s="364">
        <f t="shared" ref="P1752" si="866">SUM(P1753:P1759)</f>
        <v>0</v>
      </c>
      <c r="Q1752" s="1475">
        <f t="shared" ref="Q1752" si="867">SUM(Q1753:Q1759)</f>
        <v>193299.99999999997</v>
      </c>
      <c r="R1752" s="1475">
        <f t="shared" ref="R1752" si="868">SUM(R1753:R1759)</f>
        <v>0</v>
      </c>
      <c r="S1752" s="1475">
        <f t="shared" ref="S1752" si="869">SUM(S1753:S1759)</f>
        <v>0</v>
      </c>
      <c r="T1752" s="1475">
        <f t="shared" ref="T1752" si="870">SUM(T1753:T1759)</f>
        <v>0</v>
      </c>
      <c r="U1752" s="1475">
        <f t="shared" ref="U1752" si="871">SUM(U1753:U1759)</f>
        <v>0</v>
      </c>
      <c r="V1752" s="1475">
        <f t="shared" si="835"/>
        <v>193299.99999999997</v>
      </c>
    </row>
    <row r="1753" spans="1:22" s="39" customFormat="1" ht="24" customHeight="1">
      <c r="A1753" s="1860">
        <v>2</v>
      </c>
      <c r="B1753" s="1860"/>
      <c r="C1753" s="1860"/>
      <c r="D1753" s="1860"/>
      <c r="E1753" s="1839"/>
      <c r="F1753" s="1841"/>
      <c r="G1753" s="1665"/>
      <c r="H1753" s="1601"/>
      <c r="I1753" s="1615"/>
      <c r="J1753" s="40" t="s">
        <v>429</v>
      </c>
      <c r="K1753" s="91"/>
      <c r="L1753" s="364">
        <v>0</v>
      </c>
      <c r="M1753" s="364">
        <v>0</v>
      </c>
      <c r="N1753" s="364">
        <v>0</v>
      </c>
      <c r="O1753" s="364">
        <v>0</v>
      </c>
      <c r="P1753" s="364">
        <v>0</v>
      </c>
      <c r="Q1753" s="1475">
        <f>L1753*$H1756</f>
        <v>0</v>
      </c>
      <c r="R1753" s="1475">
        <f>M1753*$H1756</f>
        <v>0</v>
      </c>
      <c r="S1753" s="1475">
        <f>N1753*$H1756</f>
        <v>0</v>
      </c>
      <c r="T1753" s="1475">
        <f>O1753*$H1756</f>
        <v>0</v>
      </c>
      <c r="U1753" s="1475">
        <f>P1753*$H1756</f>
        <v>0</v>
      </c>
      <c r="V1753" s="1475">
        <f t="shared" si="835"/>
        <v>0</v>
      </c>
    </row>
    <row r="1754" spans="1:22" s="39" customFormat="1" ht="24" customHeight="1">
      <c r="A1754" s="1860">
        <v>2</v>
      </c>
      <c r="B1754" s="1860"/>
      <c r="C1754" s="1860"/>
      <c r="D1754" s="1860"/>
      <c r="E1754" s="1839"/>
      <c r="F1754" s="1841"/>
      <c r="G1754" s="1665"/>
      <c r="H1754" s="1601"/>
      <c r="I1754" s="1615"/>
      <c r="J1754" s="40" t="s">
        <v>133</v>
      </c>
      <c r="K1754" s="91"/>
      <c r="L1754" s="364">
        <v>0</v>
      </c>
      <c r="M1754" s="364">
        <v>0</v>
      </c>
      <c r="N1754" s="364">
        <v>0</v>
      </c>
      <c r="O1754" s="364">
        <v>0</v>
      </c>
      <c r="P1754" s="364">
        <v>0</v>
      </c>
      <c r="Q1754" s="1475">
        <f>L1754*$H1756</f>
        <v>0</v>
      </c>
      <c r="R1754" s="1475">
        <f>M1754*$H1756</f>
        <v>0</v>
      </c>
      <c r="S1754" s="1475">
        <f>N1754*$H1756</f>
        <v>0</v>
      </c>
      <c r="T1754" s="1475">
        <f>O1754*$H1756</f>
        <v>0</v>
      </c>
      <c r="U1754" s="1475">
        <f>P1754*$H1756</f>
        <v>0</v>
      </c>
      <c r="V1754" s="1475">
        <f t="shared" si="835"/>
        <v>0</v>
      </c>
    </row>
    <row r="1755" spans="1:22" s="39" customFormat="1" ht="24" customHeight="1">
      <c r="A1755" s="1860">
        <v>2</v>
      </c>
      <c r="B1755" s="1860"/>
      <c r="C1755" s="1860"/>
      <c r="D1755" s="1860"/>
      <c r="E1755" s="1839"/>
      <c r="F1755" s="1841"/>
      <c r="G1755" s="1665"/>
      <c r="H1755" s="1601"/>
      <c r="I1755" s="1615"/>
      <c r="J1755" s="40" t="s">
        <v>81</v>
      </c>
      <c r="K1755" s="91"/>
      <c r="L1755" s="364">
        <v>0</v>
      </c>
      <c r="M1755" s="364">
        <v>0</v>
      </c>
      <c r="N1755" s="364">
        <v>0</v>
      </c>
      <c r="O1755" s="364">
        <v>0</v>
      </c>
      <c r="P1755" s="364">
        <v>0</v>
      </c>
      <c r="Q1755" s="1475">
        <f>L1755*$H1756</f>
        <v>0</v>
      </c>
      <c r="R1755" s="1475">
        <f>M1755*$H1756</f>
        <v>0</v>
      </c>
      <c r="S1755" s="1475">
        <f>N1755*$H1756</f>
        <v>0</v>
      </c>
      <c r="T1755" s="1475">
        <f>O1755*$H1756</f>
        <v>0</v>
      </c>
      <c r="U1755" s="1475">
        <f>P1755*$H1756</f>
        <v>0</v>
      </c>
      <c r="V1755" s="1475">
        <f t="shared" si="835"/>
        <v>0</v>
      </c>
    </row>
    <row r="1756" spans="1:22" s="39" customFormat="1" ht="24" customHeight="1">
      <c r="A1756" s="1860">
        <v>2</v>
      </c>
      <c r="B1756" s="1860"/>
      <c r="C1756" s="1860"/>
      <c r="D1756" s="1860"/>
      <c r="E1756" s="1839"/>
      <c r="F1756" s="1841"/>
      <c r="G1756" s="1665"/>
      <c r="H1756" s="1602">
        <f>10000*19.33</f>
        <v>193299.99999999997</v>
      </c>
      <c r="I1756" s="1615"/>
      <c r="J1756" s="40" t="s">
        <v>134</v>
      </c>
      <c r="K1756" s="91"/>
      <c r="L1756" s="364">
        <v>0</v>
      </c>
      <c r="M1756" s="364">
        <v>0</v>
      </c>
      <c r="N1756" s="364">
        <v>0</v>
      </c>
      <c r="O1756" s="364">
        <v>0</v>
      </c>
      <c r="P1756" s="364">
        <v>0</v>
      </c>
      <c r="Q1756" s="1475">
        <f>L1756*$H1756</f>
        <v>0</v>
      </c>
      <c r="R1756" s="1475">
        <f>M1756*$H1756</f>
        <v>0</v>
      </c>
      <c r="S1756" s="1475">
        <f>N1756*$H1756</f>
        <v>0</v>
      </c>
      <c r="T1756" s="1475">
        <f>O1756*$H1756</f>
        <v>0</v>
      </c>
      <c r="U1756" s="1475">
        <f>P1756*$H1756</f>
        <v>0</v>
      </c>
      <c r="V1756" s="1475">
        <f t="shared" si="835"/>
        <v>0</v>
      </c>
    </row>
    <row r="1757" spans="1:22" s="39" customFormat="1" ht="24" customHeight="1">
      <c r="A1757" s="1860">
        <v>2</v>
      </c>
      <c r="B1757" s="1860"/>
      <c r="C1757" s="1860"/>
      <c r="D1757" s="1860"/>
      <c r="E1757" s="1839"/>
      <c r="F1757" s="1841"/>
      <c r="G1757" s="1665"/>
      <c r="H1757" s="1603"/>
      <c r="I1757" s="1615"/>
      <c r="J1757" s="40" t="s">
        <v>82</v>
      </c>
      <c r="K1757" s="91"/>
      <c r="L1757" s="934">
        <v>1</v>
      </c>
      <c r="M1757" s="364">
        <f t="shared" ref="M1757" si="872">M1839*30%</f>
        <v>0</v>
      </c>
      <c r="N1757" s="934">
        <v>0</v>
      </c>
      <c r="O1757" s="364">
        <f t="shared" ref="O1757:P1757" si="873">O1839*30%</f>
        <v>0</v>
      </c>
      <c r="P1757" s="364">
        <f t="shared" si="873"/>
        <v>0</v>
      </c>
      <c r="Q1757" s="1475">
        <f>L1757*$H1756</f>
        <v>193299.99999999997</v>
      </c>
      <c r="R1757" s="1475">
        <f>M1757*$H1756</f>
        <v>0</v>
      </c>
      <c r="S1757" s="1475">
        <f>N1757*$H1756</f>
        <v>0</v>
      </c>
      <c r="T1757" s="1475">
        <f>O1757*$H1756</f>
        <v>0</v>
      </c>
      <c r="U1757" s="1475">
        <f>P1757*$H1756</f>
        <v>0</v>
      </c>
      <c r="V1757" s="1475">
        <f t="shared" si="835"/>
        <v>193299.99999999997</v>
      </c>
    </row>
    <row r="1758" spans="1:22" s="39" customFormat="1" ht="24" customHeight="1">
      <c r="A1758" s="1860">
        <v>2</v>
      </c>
      <c r="B1758" s="1860"/>
      <c r="C1758" s="1860"/>
      <c r="D1758" s="1860"/>
      <c r="E1758" s="1839"/>
      <c r="F1758" s="1841"/>
      <c r="G1758" s="1665"/>
      <c r="H1758" s="1603"/>
      <c r="I1758" s="1615"/>
      <c r="J1758" s="40" t="s">
        <v>90</v>
      </c>
      <c r="K1758" s="91"/>
      <c r="L1758" s="364">
        <v>0</v>
      </c>
      <c r="M1758" s="364">
        <v>0</v>
      </c>
      <c r="N1758" s="364">
        <v>0</v>
      </c>
      <c r="O1758" s="364">
        <v>0</v>
      </c>
      <c r="P1758" s="364">
        <v>0</v>
      </c>
      <c r="Q1758" s="1475">
        <f>L1758*$H1756</f>
        <v>0</v>
      </c>
      <c r="R1758" s="1475">
        <f>M1758*$H1756</f>
        <v>0</v>
      </c>
      <c r="S1758" s="1475">
        <f>N1758*$H1756</f>
        <v>0</v>
      </c>
      <c r="T1758" s="1475">
        <f>O1758*$H1756</f>
        <v>0</v>
      </c>
      <c r="U1758" s="1475">
        <f>P1758*$H1756</f>
        <v>0</v>
      </c>
      <c r="V1758" s="1475">
        <f t="shared" si="835"/>
        <v>0</v>
      </c>
    </row>
    <row r="1759" spans="1:22" s="39" customFormat="1" ht="24" customHeight="1">
      <c r="A1759" s="1860">
        <v>2</v>
      </c>
      <c r="B1759" s="1860"/>
      <c r="C1759" s="1860"/>
      <c r="D1759" s="1860"/>
      <c r="E1759" s="1839"/>
      <c r="F1759" s="1841"/>
      <c r="G1759" s="1665"/>
      <c r="H1759" s="1603"/>
      <c r="I1759" s="1615"/>
      <c r="J1759" s="40" t="s">
        <v>83</v>
      </c>
      <c r="K1759" s="91"/>
      <c r="L1759" s="934">
        <v>0.14000000000000001</v>
      </c>
      <c r="M1759" s="364">
        <v>0</v>
      </c>
      <c r="N1759" s="934">
        <v>0</v>
      </c>
      <c r="O1759" s="364">
        <v>0</v>
      </c>
      <c r="P1759" s="364">
        <v>0</v>
      </c>
      <c r="Q1759" s="1475">
        <v>0</v>
      </c>
      <c r="R1759" s="1475">
        <f>M1759*$H1756</f>
        <v>0</v>
      </c>
      <c r="S1759" s="1475">
        <f>N1759*$H1756</f>
        <v>0</v>
      </c>
      <c r="T1759" s="1475">
        <f>O1759*$H1756</f>
        <v>0</v>
      </c>
      <c r="U1759" s="1475">
        <f>P1759*$H1756</f>
        <v>0</v>
      </c>
      <c r="V1759" s="1475">
        <f t="shared" si="835"/>
        <v>0</v>
      </c>
    </row>
    <row r="1760" spans="1:22" s="39" customFormat="1" ht="24" customHeight="1" thickBot="1">
      <c r="A1760" s="1860">
        <v>2</v>
      </c>
      <c r="B1760" s="1860"/>
      <c r="C1760" s="1860"/>
      <c r="D1760" s="1860"/>
      <c r="E1760" s="1839"/>
      <c r="F1760" s="1863"/>
      <c r="G1760" s="1665"/>
      <c r="H1760" s="1603"/>
      <c r="I1760" s="1615"/>
      <c r="J1760" s="40" t="s">
        <v>84</v>
      </c>
      <c r="K1760" s="91"/>
      <c r="L1760" s="364">
        <f>L1751-L1752</f>
        <v>-0.14000000000000012</v>
      </c>
      <c r="M1760" s="364">
        <f t="shared" ref="M1760:U1760" si="874">M1751-M1752</f>
        <v>0</v>
      </c>
      <c r="N1760" s="364">
        <v>0</v>
      </c>
      <c r="O1760" s="364">
        <f t="shared" si="874"/>
        <v>0</v>
      </c>
      <c r="P1760" s="364">
        <f t="shared" si="874"/>
        <v>1</v>
      </c>
      <c r="Q1760" s="1475">
        <f t="shared" si="874"/>
        <v>0</v>
      </c>
      <c r="R1760" s="1475">
        <f t="shared" si="874"/>
        <v>0</v>
      </c>
      <c r="S1760" s="1475">
        <f t="shared" si="874"/>
        <v>0</v>
      </c>
      <c r="T1760" s="1475">
        <f t="shared" si="874"/>
        <v>0</v>
      </c>
      <c r="U1760" s="1475">
        <f t="shared" si="874"/>
        <v>193299.99999999997</v>
      </c>
      <c r="V1760" s="1475">
        <f t="shared" si="835"/>
        <v>193299.99999999997</v>
      </c>
    </row>
    <row r="1761" spans="1:22" s="45" customFormat="1" ht="24" customHeight="1">
      <c r="A1761" s="1958">
        <v>3</v>
      </c>
      <c r="B1761" s="1873">
        <v>2</v>
      </c>
      <c r="C1761" s="1873">
        <v>4</v>
      </c>
      <c r="D1761" s="1873">
        <v>10</v>
      </c>
      <c r="E1761" s="1861" t="s">
        <v>49</v>
      </c>
      <c r="F1761" s="1840" t="str">
        <f>CONCATENATE(A1761,".",B1761,".",C1761,".",D1761,)</f>
        <v>3.2.4.10</v>
      </c>
      <c r="G1761" s="1677" t="s">
        <v>781</v>
      </c>
      <c r="H1761" s="1679" t="s">
        <v>147</v>
      </c>
      <c r="I1761" s="1673" t="s">
        <v>1101</v>
      </c>
      <c r="J1761" s="262" t="s">
        <v>79</v>
      </c>
      <c r="K1761" s="908"/>
      <c r="L1761" s="914">
        <v>0</v>
      </c>
      <c r="M1761" s="914">
        <v>0</v>
      </c>
      <c r="N1761" s="914">
        <v>0</v>
      </c>
      <c r="O1761" s="914">
        <v>1</v>
      </c>
      <c r="P1761" s="914">
        <v>0</v>
      </c>
      <c r="Q1761" s="1484">
        <f>L1761*H1766</f>
        <v>0</v>
      </c>
      <c r="R1761" s="1484">
        <f>M1761*H1766</f>
        <v>0</v>
      </c>
      <c r="S1761" s="1484">
        <f>N1761*H1766</f>
        <v>0</v>
      </c>
      <c r="T1761" s="1484">
        <f>O1761*H1766</f>
        <v>271400</v>
      </c>
      <c r="U1761" s="1484">
        <f>P1761*H1766</f>
        <v>0</v>
      </c>
      <c r="V1761" s="1526">
        <f t="shared" si="835"/>
        <v>271400</v>
      </c>
    </row>
    <row r="1762" spans="1:22" s="39" customFormat="1" ht="24" customHeight="1">
      <c r="A1762" s="1959">
        <v>2</v>
      </c>
      <c r="B1762" s="1860"/>
      <c r="C1762" s="1860"/>
      <c r="D1762" s="1860"/>
      <c r="E1762" s="1839"/>
      <c r="F1762" s="1841"/>
      <c r="G1762" s="1665"/>
      <c r="H1762" s="1601"/>
      <c r="I1762" s="1615"/>
      <c r="J1762" s="40" t="s">
        <v>80</v>
      </c>
      <c r="K1762" s="91"/>
      <c r="L1762" s="364">
        <f t="shared" ref="L1762" si="875">SUM(L1763:L1769)</f>
        <v>0</v>
      </c>
      <c r="M1762" s="364">
        <f t="shared" ref="M1762:U1762" si="876">SUM(M1763:M1769)</f>
        <v>0</v>
      </c>
      <c r="N1762" s="364">
        <f t="shared" si="876"/>
        <v>0</v>
      </c>
      <c r="O1762" s="364">
        <f t="shared" si="876"/>
        <v>0</v>
      </c>
      <c r="P1762" s="364">
        <f t="shared" si="876"/>
        <v>0</v>
      </c>
      <c r="Q1762" s="1475">
        <f t="shared" si="876"/>
        <v>0</v>
      </c>
      <c r="R1762" s="1475">
        <f t="shared" si="876"/>
        <v>0</v>
      </c>
      <c r="S1762" s="1475">
        <f t="shared" si="876"/>
        <v>0</v>
      </c>
      <c r="T1762" s="1475">
        <f t="shared" si="876"/>
        <v>0</v>
      </c>
      <c r="U1762" s="1475">
        <f t="shared" si="876"/>
        <v>0</v>
      </c>
      <c r="V1762" s="1527">
        <f t="shared" si="835"/>
        <v>0</v>
      </c>
    </row>
    <row r="1763" spans="1:22" s="39" customFormat="1" ht="24" customHeight="1">
      <c r="A1763" s="1959">
        <v>2</v>
      </c>
      <c r="B1763" s="1860"/>
      <c r="C1763" s="1860"/>
      <c r="D1763" s="1860"/>
      <c r="E1763" s="1839"/>
      <c r="F1763" s="1841"/>
      <c r="G1763" s="1665"/>
      <c r="H1763" s="1601"/>
      <c r="I1763" s="1615"/>
      <c r="J1763" s="40" t="s">
        <v>429</v>
      </c>
      <c r="K1763" s="91"/>
      <c r="L1763" s="364">
        <v>0</v>
      </c>
      <c r="M1763" s="364">
        <v>0</v>
      </c>
      <c r="N1763" s="364">
        <v>0</v>
      </c>
      <c r="O1763" s="364">
        <v>0</v>
      </c>
      <c r="P1763" s="364">
        <v>0</v>
      </c>
      <c r="Q1763" s="1475">
        <f>L1763*$H1766</f>
        <v>0</v>
      </c>
      <c r="R1763" s="1475">
        <f>M1763*$H1766</f>
        <v>0</v>
      </c>
      <c r="S1763" s="1475">
        <f>N1763*$H1766</f>
        <v>0</v>
      </c>
      <c r="T1763" s="1475">
        <f>O1763*$H1766</f>
        <v>0</v>
      </c>
      <c r="U1763" s="1475">
        <f>P1763*$H1766</f>
        <v>0</v>
      </c>
      <c r="V1763" s="1527">
        <f t="shared" si="835"/>
        <v>0</v>
      </c>
    </row>
    <row r="1764" spans="1:22" s="39" customFormat="1" ht="24" customHeight="1">
      <c r="A1764" s="1959">
        <v>2</v>
      </c>
      <c r="B1764" s="1860"/>
      <c r="C1764" s="1860"/>
      <c r="D1764" s="1860"/>
      <c r="E1764" s="1839"/>
      <c r="F1764" s="1841"/>
      <c r="G1764" s="1665"/>
      <c r="H1764" s="1601"/>
      <c r="I1764" s="1615"/>
      <c r="J1764" s="40" t="s">
        <v>133</v>
      </c>
      <c r="K1764" s="91"/>
      <c r="L1764" s="364">
        <v>0</v>
      </c>
      <c r="M1764" s="364">
        <v>0</v>
      </c>
      <c r="N1764" s="364">
        <v>0</v>
      </c>
      <c r="O1764" s="364">
        <v>0</v>
      </c>
      <c r="P1764" s="364">
        <v>0</v>
      </c>
      <c r="Q1764" s="1475">
        <f>L1764*$H1766</f>
        <v>0</v>
      </c>
      <c r="R1764" s="1475">
        <f>M1764*$H1766</f>
        <v>0</v>
      </c>
      <c r="S1764" s="1475">
        <f>N1764*$H1766</f>
        <v>0</v>
      </c>
      <c r="T1764" s="1475">
        <f>O1764*$H1766</f>
        <v>0</v>
      </c>
      <c r="U1764" s="1475">
        <f>P1764*$H1766</f>
        <v>0</v>
      </c>
      <c r="V1764" s="1527">
        <f t="shared" si="835"/>
        <v>0</v>
      </c>
    </row>
    <row r="1765" spans="1:22" s="39" customFormat="1" ht="24" customHeight="1">
      <c r="A1765" s="1959">
        <v>2</v>
      </c>
      <c r="B1765" s="1860"/>
      <c r="C1765" s="1860"/>
      <c r="D1765" s="1860"/>
      <c r="E1765" s="1839"/>
      <c r="F1765" s="1841"/>
      <c r="G1765" s="1665"/>
      <c r="H1765" s="1601"/>
      <c r="I1765" s="1615"/>
      <c r="J1765" s="40" t="s">
        <v>81</v>
      </c>
      <c r="K1765" s="91"/>
      <c r="L1765" s="364">
        <v>0</v>
      </c>
      <c r="M1765" s="364">
        <v>0</v>
      </c>
      <c r="N1765" s="364">
        <v>0</v>
      </c>
      <c r="O1765" s="364">
        <v>0</v>
      </c>
      <c r="P1765" s="364">
        <v>0</v>
      </c>
      <c r="Q1765" s="1475">
        <f>L1765*$H1766</f>
        <v>0</v>
      </c>
      <c r="R1765" s="1475">
        <f>M1765*$H1766</f>
        <v>0</v>
      </c>
      <c r="S1765" s="1475">
        <f>N1765*$H1766</f>
        <v>0</v>
      </c>
      <c r="T1765" s="1475">
        <f>O1765*$H1766</f>
        <v>0</v>
      </c>
      <c r="U1765" s="1475">
        <f>P1765*$H1766</f>
        <v>0</v>
      </c>
      <c r="V1765" s="1527">
        <f t="shared" si="835"/>
        <v>0</v>
      </c>
    </row>
    <row r="1766" spans="1:22" s="39" customFormat="1" ht="24" customHeight="1">
      <c r="A1766" s="1959">
        <v>2</v>
      </c>
      <c r="B1766" s="1860"/>
      <c r="C1766" s="1860"/>
      <c r="D1766" s="1860"/>
      <c r="E1766" s="1839"/>
      <c r="F1766" s="1841"/>
      <c r="G1766" s="1665"/>
      <c r="H1766" s="1595">
        <v>271400</v>
      </c>
      <c r="I1766" s="1615"/>
      <c r="J1766" s="40" t="s">
        <v>134</v>
      </c>
      <c r="K1766" s="91"/>
      <c r="L1766" s="364">
        <v>0</v>
      </c>
      <c r="M1766" s="364">
        <v>0</v>
      </c>
      <c r="N1766" s="364">
        <v>0</v>
      </c>
      <c r="O1766" s="364">
        <v>0</v>
      </c>
      <c r="P1766" s="364">
        <v>0</v>
      </c>
      <c r="Q1766" s="1475">
        <f>L1766*$H1766</f>
        <v>0</v>
      </c>
      <c r="R1766" s="1475">
        <f>M1766*$H1766</f>
        <v>0</v>
      </c>
      <c r="S1766" s="1475">
        <f>N1766*$H1766</f>
        <v>0</v>
      </c>
      <c r="T1766" s="1475">
        <f>O1766*$H1766</f>
        <v>0</v>
      </c>
      <c r="U1766" s="1475">
        <f>P1766*$H1766</f>
        <v>0</v>
      </c>
      <c r="V1766" s="1527">
        <f t="shared" si="835"/>
        <v>0</v>
      </c>
    </row>
    <row r="1767" spans="1:22" s="39" customFormat="1" ht="24" customHeight="1">
      <c r="A1767" s="1959">
        <v>2</v>
      </c>
      <c r="B1767" s="1860"/>
      <c r="C1767" s="1860"/>
      <c r="D1767" s="1860"/>
      <c r="E1767" s="1839"/>
      <c r="F1767" s="1841"/>
      <c r="G1767" s="1665"/>
      <c r="H1767" s="1596"/>
      <c r="I1767" s="1615"/>
      <c r="J1767" s="40" t="s">
        <v>82</v>
      </c>
      <c r="K1767" s="91"/>
      <c r="L1767" s="364">
        <v>0</v>
      </c>
      <c r="M1767" s="364">
        <v>0</v>
      </c>
      <c r="N1767" s="364">
        <v>0</v>
      </c>
      <c r="O1767" s="364">
        <v>0</v>
      </c>
      <c r="P1767" s="364">
        <v>0</v>
      </c>
      <c r="Q1767" s="1475">
        <f>L1767*$H1766</f>
        <v>0</v>
      </c>
      <c r="R1767" s="1475">
        <f>M1767*$H1766</f>
        <v>0</v>
      </c>
      <c r="S1767" s="1475">
        <f>N1767*$H1766</f>
        <v>0</v>
      </c>
      <c r="T1767" s="1475">
        <f>O1767*$H1766</f>
        <v>0</v>
      </c>
      <c r="U1767" s="1475">
        <f>P1767*$H1766</f>
        <v>0</v>
      </c>
      <c r="V1767" s="1527">
        <f t="shared" si="835"/>
        <v>0</v>
      </c>
    </row>
    <row r="1768" spans="1:22" s="39" customFormat="1" ht="24" customHeight="1">
      <c r="A1768" s="1959">
        <v>2</v>
      </c>
      <c r="B1768" s="1860"/>
      <c r="C1768" s="1860"/>
      <c r="D1768" s="1860"/>
      <c r="E1768" s="1839"/>
      <c r="F1768" s="1841"/>
      <c r="G1768" s="1665"/>
      <c r="H1768" s="1596"/>
      <c r="I1768" s="1615"/>
      <c r="J1768" s="40" t="s">
        <v>90</v>
      </c>
      <c r="K1768" s="91"/>
      <c r="L1768" s="364">
        <v>0</v>
      </c>
      <c r="M1768" s="364">
        <v>0</v>
      </c>
      <c r="N1768" s="364">
        <v>0</v>
      </c>
      <c r="O1768" s="364">
        <v>0</v>
      </c>
      <c r="P1768" s="364">
        <v>0</v>
      </c>
      <c r="Q1768" s="1475">
        <f>L1768*$H1766</f>
        <v>0</v>
      </c>
      <c r="R1768" s="1475">
        <f>M1768*$H1766</f>
        <v>0</v>
      </c>
      <c r="S1768" s="1475">
        <f>N1768*$H1766</f>
        <v>0</v>
      </c>
      <c r="T1768" s="1475">
        <f>O1768*$H1766</f>
        <v>0</v>
      </c>
      <c r="U1768" s="1475">
        <f>P1768*$H1766</f>
        <v>0</v>
      </c>
      <c r="V1768" s="1527">
        <f t="shared" ref="V1768:V1820" si="877">SUM(Q1768:U1768)</f>
        <v>0</v>
      </c>
    </row>
    <row r="1769" spans="1:22" s="39" customFormat="1" ht="24" customHeight="1">
      <c r="A1769" s="1959">
        <v>2</v>
      </c>
      <c r="B1769" s="1860"/>
      <c r="C1769" s="1860"/>
      <c r="D1769" s="1860"/>
      <c r="E1769" s="1839"/>
      <c r="F1769" s="1841"/>
      <c r="G1769" s="1665"/>
      <c r="H1769" s="1596"/>
      <c r="I1769" s="1615"/>
      <c r="J1769" s="40" t="s">
        <v>83</v>
      </c>
      <c r="K1769" s="91"/>
      <c r="L1769" s="364">
        <v>0</v>
      </c>
      <c r="M1769" s="364">
        <v>0</v>
      </c>
      <c r="N1769" s="364">
        <v>0</v>
      </c>
      <c r="O1769" s="364">
        <v>0</v>
      </c>
      <c r="P1769" s="364">
        <v>0</v>
      </c>
      <c r="Q1769" s="1475">
        <f>L1769*$H1766</f>
        <v>0</v>
      </c>
      <c r="R1769" s="1475">
        <f>M1769*$H1766</f>
        <v>0</v>
      </c>
      <c r="S1769" s="1475">
        <f>N1769*$H1766</f>
        <v>0</v>
      </c>
      <c r="T1769" s="1475">
        <f>O1769*$H1766</f>
        <v>0</v>
      </c>
      <c r="U1769" s="1475">
        <f>P1769*$H1766</f>
        <v>0</v>
      </c>
      <c r="V1769" s="1527">
        <f t="shared" si="877"/>
        <v>0</v>
      </c>
    </row>
    <row r="1770" spans="1:22" s="39" customFormat="1" ht="24" customHeight="1" thickBot="1">
      <c r="A1770" s="1960">
        <v>2</v>
      </c>
      <c r="B1770" s="1874"/>
      <c r="C1770" s="1874"/>
      <c r="D1770" s="1874"/>
      <c r="E1770" s="1862"/>
      <c r="F1770" s="1842"/>
      <c r="G1770" s="1678"/>
      <c r="H1770" s="1597"/>
      <c r="I1770" s="1616"/>
      <c r="J1770" s="80" t="s">
        <v>84</v>
      </c>
      <c r="K1770" s="824"/>
      <c r="L1770" s="371">
        <f>L1761-L1762</f>
        <v>0</v>
      </c>
      <c r="M1770" s="371">
        <f t="shared" ref="M1770:U1770" si="878">M1761-M1762</f>
        <v>0</v>
      </c>
      <c r="N1770" s="371">
        <f t="shared" si="878"/>
        <v>0</v>
      </c>
      <c r="O1770" s="371">
        <f t="shared" si="878"/>
        <v>1</v>
      </c>
      <c r="P1770" s="371">
        <f t="shared" si="878"/>
        <v>0</v>
      </c>
      <c r="Q1770" s="1487">
        <f t="shared" si="878"/>
        <v>0</v>
      </c>
      <c r="R1770" s="1487">
        <f t="shared" si="878"/>
        <v>0</v>
      </c>
      <c r="S1770" s="1487">
        <f t="shared" si="878"/>
        <v>0</v>
      </c>
      <c r="T1770" s="1487">
        <f t="shared" si="878"/>
        <v>271400</v>
      </c>
      <c r="U1770" s="1487">
        <f t="shared" si="878"/>
        <v>0</v>
      </c>
      <c r="V1770" s="1528">
        <f t="shared" si="877"/>
        <v>271400</v>
      </c>
    </row>
    <row r="1771" spans="1:22" s="45" customFormat="1" ht="24" customHeight="1">
      <c r="A1771" s="1860">
        <v>3</v>
      </c>
      <c r="B1771" s="1860">
        <v>2</v>
      </c>
      <c r="C1771" s="1860">
        <v>4</v>
      </c>
      <c r="D1771" s="1860">
        <v>11</v>
      </c>
      <c r="E1771" s="1839" t="s">
        <v>49</v>
      </c>
      <c r="F1771" s="1843" t="str">
        <f>CONCATENATE(A1771,".",B1771,".",C1771,".",D1771,)</f>
        <v>3.2.4.11</v>
      </c>
      <c r="G1771" s="1780" t="s">
        <v>785</v>
      </c>
      <c r="H1771" s="1955" t="s">
        <v>147</v>
      </c>
      <c r="I1771" s="1558"/>
      <c r="J1771" s="815" t="s">
        <v>79</v>
      </c>
      <c r="K1771" s="898"/>
      <c r="L1771" s="983">
        <f ca="1">'Budget Assumption_Lab Comp2'!G477</f>
        <v>0.3171699665975205</v>
      </c>
      <c r="M1771" s="983">
        <f ca="1">'Budget Assumption_Lab Comp2'!I477</f>
        <v>0.14508544043744423</v>
      </c>
      <c r="N1771" s="983">
        <f ca="1">'Budget Assumption_Lab Comp2'!K477</f>
        <v>0.19789364618722796</v>
      </c>
      <c r="O1771" s="983">
        <f ca="1">'Budget Assumption_Lab Comp2'!M477</f>
        <v>0.14963005466656462</v>
      </c>
      <c r="P1771" s="983">
        <f ca="1">'Budget Assumption_Lab Comp2'!O477</f>
        <v>0.19022089211124257</v>
      </c>
      <c r="Q1771" s="1489">
        <f ca="1">H1776*L1771</f>
        <v>251747.03199999998</v>
      </c>
      <c r="R1771" s="1489">
        <f ca="1">H1776*M1771</f>
        <v>115158.53600000001</v>
      </c>
      <c r="S1771" s="1489">
        <f ca="1">H1776*N1771</f>
        <v>157073.94560000001</v>
      </c>
      <c r="T1771" s="1489">
        <f ca="1">H1776*O1771</f>
        <v>118765.72856000002</v>
      </c>
      <c r="U1771" s="1489">
        <f ca="1">H1776*P1771</f>
        <v>150983.85741600004</v>
      </c>
      <c r="V1771" s="1489">
        <f t="shared" ca="1" si="877"/>
        <v>793729.09957599989</v>
      </c>
    </row>
    <row r="1772" spans="1:22" s="39" customFormat="1" ht="24" customHeight="1">
      <c r="A1772" s="1860">
        <v>2</v>
      </c>
      <c r="B1772" s="1860"/>
      <c r="C1772" s="1860"/>
      <c r="D1772" s="1860"/>
      <c r="E1772" s="1839"/>
      <c r="F1772" s="1844"/>
      <c r="G1772" s="1780"/>
      <c r="H1772" s="1629"/>
      <c r="I1772" s="1558"/>
      <c r="J1772" s="40" t="s">
        <v>80</v>
      </c>
      <c r="K1772" s="91"/>
      <c r="L1772" s="820">
        <f t="shared" ref="L1772:P1772" ca="1" si="879">SUM(L1773:L1779)</f>
        <v>0.3171699665975205</v>
      </c>
      <c r="M1772" s="820">
        <f t="shared" ca="1" si="879"/>
        <v>0.14508544043744423</v>
      </c>
      <c r="N1772" s="820">
        <f t="shared" ca="1" si="879"/>
        <v>0.19789364618722796</v>
      </c>
      <c r="O1772" s="820">
        <f t="shared" ca="1" si="879"/>
        <v>0.14963005466656462</v>
      </c>
      <c r="P1772" s="820">
        <f t="shared" ca="1" si="879"/>
        <v>0.19022089211124257</v>
      </c>
      <c r="Q1772" s="1475">
        <f ca="1">SUM(Q1773:Q1779)</f>
        <v>251747.03199999998</v>
      </c>
      <c r="R1772" s="1475">
        <f t="shared" ref="R1772:U1772" ca="1" si="880">SUM(R1773:R1779)</f>
        <v>115158.53600000001</v>
      </c>
      <c r="S1772" s="1475">
        <f t="shared" ca="1" si="880"/>
        <v>157073.94560000001</v>
      </c>
      <c r="T1772" s="1475">
        <f t="shared" ca="1" si="880"/>
        <v>118765.72856000002</v>
      </c>
      <c r="U1772" s="1475">
        <f t="shared" ca="1" si="880"/>
        <v>150983.85741600004</v>
      </c>
      <c r="V1772" s="1475">
        <f t="shared" ca="1" si="877"/>
        <v>793729.09957599989</v>
      </c>
    </row>
    <row r="1773" spans="1:22" s="39" customFormat="1" ht="24" customHeight="1">
      <c r="A1773" s="1860">
        <v>2</v>
      </c>
      <c r="B1773" s="1860"/>
      <c r="C1773" s="1860"/>
      <c r="D1773" s="1860"/>
      <c r="E1773" s="1839"/>
      <c r="F1773" s="1844"/>
      <c r="G1773" s="1780"/>
      <c r="H1773" s="1629"/>
      <c r="I1773" s="1558"/>
      <c r="J1773" s="40" t="s">
        <v>429</v>
      </c>
      <c r="K1773" s="91"/>
      <c r="L1773" s="364">
        <v>0</v>
      </c>
      <c r="M1773" s="364">
        <v>0</v>
      </c>
      <c r="N1773" s="364">
        <v>0</v>
      </c>
      <c r="O1773" s="820">
        <f ca="1">O1771</f>
        <v>0.14963005466656462</v>
      </c>
      <c r="P1773" s="820">
        <f ca="1">P1771</f>
        <v>0.19022089211124257</v>
      </c>
      <c r="Q1773" s="1475">
        <f ca="1">L1773*$H1776</f>
        <v>0</v>
      </c>
      <c r="R1773" s="1475">
        <f ca="1">M1773*$H1776</f>
        <v>0</v>
      </c>
      <c r="S1773" s="1475">
        <f ca="1">N1773*$H1776</f>
        <v>0</v>
      </c>
      <c r="T1773" s="1475">
        <f ca="1">T1771*0.7</f>
        <v>83136.009992000007</v>
      </c>
      <c r="U1773" s="1475">
        <f ca="1">U1771*0.7</f>
        <v>105688.70019120003</v>
      </c>
      <c r="V1773" s="1475">
        <f t="shared" ca="1" si="877"/>
        <v>188824.71018320002</v>
      </c>
    </row>
    <row r="1774" spans="1:22" s="39" customFormat="1" ht="24" customHeight="1">
      <c r="A1774" s="1860">
        <v>2</v>
      </c>
      <c r="B1774" s="1860"/>
      <c r="C1774" s="1860"/>
      <c r="D1774" s="1860"/>
      <c r="E1774" s="1839"/>
      <c r="F1774" s="1844"/>
      <c r="G1774" s="1780"/>
      <c r="H1774" s="1629"/>
      <c r="I1774" s="1558"/>
      <c r="J1774" s="40" t="s">
        <v>133</v>
      </c>
      <c r="K1774" s="91"/>
      <c r="L1774" s="364">
        <v>0</v>
      </c>
      <c r="M1774" s="364">
        <v>0</v>
      </c>
      <c r="N1774" s="364">
        <v>0</v>
      </c>
      <c r="O1774" s="364">
        <v>0</v>
      </c>
      <c r="P1774" s="364">
        <v>0</v>
      </c>
      <c r="Q1774" s="1475">
        <f ca="1">L1774*$H1776</f>
        <v>0</v>
      </c>
      <c r="R1774" s="1475">
        <f ca="1">M1774*$H1776</f>
        <v>0</v>
      </c>
      <c r="S1774" s="1475">
        <f ca="1">N1774*$H1776</f>
        <v>0</v>
      </c>
      <c r="T1774" s="1475">
        <f ca="1">T1771*0.3</f>
        <v>35629.718568000004</v>
      </c>
      <c r="U1774" s="1475">
        <f ca="1">U1771*0.3</f>
        <v>45295.157224800008</v>
      </c>
      <c r="V1774" s="1475">
        <f t="shared" ca="1" si="877"/>
        <v>80924.875792800012</v>
      </c>
    </row>
    <row r="1775" spans="1:22" s="39" customFormat="1" ht="24" customHeight="1">
      <c r="A1775" s="1860">
        <v>2</v>
      </c>
      <c r="B1775" s="1860"/>
      <c r="C1775" s="1860"/>
      <c r="D1775" s="1860"/>
      <c r="E1775" s="1839"/>
      <c r="F1775" s="1844"/>
      <c r="G1775" s="1780"/>
      <c r="H1775" s="1629"/>
      <c r="I1775" s="1558"/>
      <c r="J1775" s="40" t="s">
        <v>81</v>
      </c>
      <c r="K1775" s="91"/>
      <c r="L1775" s="364">
        <v>0</v>
      </c>
      <c r="M1775" s="364">
        <v>0</v>
      </c>
      <c r="N1775" s="364">
        <v>0</v>
      </c>
      <c r="O1775" s="364">
        <v>0</v>
      </c>
      <c r="P1775" s="364">
        <v>0</v>
      </c>
      <c r="Q1775" s="1475">
        <f ca="1">L1775*$H1776</f>
        <v>0</v>
      </c>
      <c r="R1775" s="1475">
        <f ca="1">M1775*$H1776</f>
        <v>0</v>
      </c>
      <c r="S1775" s="1475">
        <f ca="1">N1775*$H1776</f>
        <v>0</v>
      </c>
      <c r="T1775" s="1475">
        <f ca="1">O1775*$H1776</f>
        <v>0</v>
      </c>
      <c r="U1775" s="1475">
        <f ca="1">P1775*$H1776</f>
        <v>0</v>
      </c>
      <c r="V1775" s="1475">
        <f t="shared" ca="1" si="877"/>
        <v>0</v>
      </c>
    </row>
    <row r="1776" spans="1:22" s="39" customFormat="1" ht="24" customHeight="1">
      <c r="A1776" s="1860">
        <v>2</v>
      </c>
      <c r="B1776" s="1860"/>
      <c r="C1776" s="1860"/>
      <c r="D1776" s="1860"/>
      <c r="E1776" s="1839"/>
      <c r="F1776" s="1844"/>
      <c r="G1776" s="1780"/>
      <c r="H1776" s="1602">
        <f ca="1">'Budget Assumption_Lab Comp2'!P476</f>
        <v>793729.09957600012</v>
      </c>
      <c r="I1776" s="1558"/>
      <c r="J1776" s="40" t="s">
        <v>134</v>
      </c>
      <c r="K1776" s="91"/>
      <c r="L1776" s="364">
        <v>0</v>
      </c>
      <c r="M1776" s="364">
        <v>0</v>
      </c>
      <c r="N1776" s="364">
        <v>0</v>
      </c>
      <c r="O1776" s="364">
        <v>0</v>
      </c>
      <c r="P1776" s="364">
        <v>0</v>
      </c>
      <c r="Q1776" s="1475">
        <f ca="1">L1776*$H1776</f>
        <v>0</v>
      </c>
      <c r="R1776" s="1475">
        <f ca="1">M1776*$H1776</f>
        <v>0</v>
      </c>
      <c r="S1776" s="1475">
        <f ca="1">N1776*$H1776</f>
        <v>0</v>
      </c>
      <c r="T1776" s="1475">
        <f ca="1">O1776*$H1776</f>
        <v>0</v>
      </c>
      <c r="U1776" s="1475">
        <f ca="1">P1776*$H1776</f>
        <v>0</v>
      </c>
      <c r="V1776" s="1475">
        <f t="shared" ca="1" si="877"/>
        <v>0</v>
      </c>
    </row>
    <row r="1777" spans="1:22" s="39" customFormat="1" ht="24" customHeight="1">
      <c r="A1777" s="1860">
        <v>2</v>
      </c>
      <c r="B1777" s="1860"/>
      <c r="C1777" s="1860"/>
      <c r="D1777" s="1860"/>
      <c r="E1777" s="1839"/>
      <c r="F1777" s="1844"/>
      <c r="G1777" s="1780"/>
      <c r="H1777" s="1603"/>
      <c r="I1777" s="1558"/>
      <c r="J1777" s="40" t="s">
        <v>82</v>
      </c>
      <c r="K1777" s="91"/>
      <c r="L1777" s="820">
        <f ca="1">L1771</f>
        <v>0.3171699665975205</v>
      </c>
      <c r="M1777" s="820">
        <f t="shared" ref="M1777:N1777" ca="1" si="881">M1771</f>
        <v>0.14508544043744423</v>
      </c>
      <c r="N1777" s="820">
        <f t="shared" ca="1" si="881"/>
        <v>0.19789364618722796</v>
      </c>
      <c r="O1777" s="364">
        <v>0</v>
      </c>
      <c r="P1777" s="364">
        <v>0</v>
      </c>
      <c r="Q1777" s="1475">
        <f ca="1">Q1771</f>
        <v>251747.03199999998</v>
      </c>
      <c r="R1777" s="1475">
        <f t="shared" ref="R1777:S1777" ca="1" si="882">R1771</f>
        <v>115158.53600000001</v>
      </c>
      <c r="S1777" s="1475">
        <f t="shared" ca="1" si="882"/>
        <v>157073.94560000001</v>
      </c>
      <c r="T1777" s="1475">
        <f ca="1">O1777*$H1776</f>
        <v>0</v>
      </c>
      <c r="U1777" s="1475">
        <f ca="1">P1777*$H1776</f>
        <v>0</v>
      </c>
      <c r="V1777" s="1475">
        <f t="shared" ca="1" si="877"/>
        <v>523979.51359999995</v>
      </c>
    </row>
    <row r="1778" spans="1:22" s="39" customFormat="1" ht="24" customHeight="1">
      <c r="A1778" s="1860">
        <v>2</v>
      </c>
      <c r="B1778" s="1860"/>
      <c r="C1778" s="1860"/>
      <c r="D1778" s="1860"/>
      <c r="E1778" s="1839"/>
      <c r="F1778" s="1844"/>
      <c r="G1778" s="1780"/>
      <c r="H1778" s="1603"/>
      <c r="I1778" s="1558"/>
      <c r="J1778" s="40" t="s">
        <v>90</v>
      </c>
      <c r="K1778" s="91"/>
      <c r="L1778" s="820">
        <v>0</v>
      </c>
      <c r="M1778" s="820">
        <v>0</v>
      </c>
      <c r="N1778" s="820">
        <v>0</v>
      </c>
      <c r="O1778" s="364">
        <v>0</v>
      </c>
      <c r="P1778" s="364">
        <v>0</v>
      </c>
      <c r="Q1778" s="1475">
        <f ca="1">Q1771*L1778</f>
        <v>0</v>
      </c>
      <c r="R1778" s="1475">
        <f t="shared" ref="R1778:S1778" ca="1" si="883">R1771*M1778</f>
        <v>0</v>
      </c>
      <c r="S1778" s="1475">
        <f t="shared" ca="1" si="883"/>
        <v>0</v>
      </c>
      <c r="T1778" s="1475">
        <f ca="1">O1778*$H1776</f>
        <v>0</v>
      </c>
      <c r="U1778" s="1475">
        <f ca="1">P1778*$H1776</f>
        <v>0</v>
      </c>
      <c r="V1778" s="1475">
        <f t="shared" ca="1" si="877"/>
        <v>0</v>
      </c>
    </row>
    <row r="1779" spans="1:22" s="39" customFormat="1" ht="24" customHeight="1">
      <c r="A1779" s="1860">
        <v>2</v>
      </c>
      <c r="B1779" s="1860"/>
      <c r="C1779" s="1860"/>
      <c r="D1779" s="1860"/>
      <c r="E1779" s="1839"/>
      <c r="F1779" s="1844"/>
      <c r="G1779" s="1780"/>
      <c r="H1779" s="1603"/>
      <c r="I1779" s="1558"/>
      <c r="J1779" s="40" t="s">
        <v>83</v>
      </c>
      <c r="K1779" s="91"/>
      <c r="L1779" s="364">
        <v>0</v>
      </c>
      <c r="M1779" s="364">
        <v>0</v>
      </c>
      <c r="N1779" s="364">
        <v>0</v>
      </c>
      <c r="O1779" s="364">
        <v>0</v>
      </c>
      <c r="P1779" s="364">
        <v>0</v>
      </c>
      <c r="Q1779" s="1475">
        <f ca="1">L1779*$H1776</f>
        <v>0</v>
      </c>
      <c r="R1779" s="1475">
        <f ca="1">M1779*$H1776</f>
        <v>0</v>
      </c>
      <c r="S1779" s="1475">
        <f ca="1">N1779*$H1776</f>
        <v>0</v>
      </c>
      <c r="T1779" s="1475">
        <f ca="1">O1779*$H1776</f>
        <v>0</v>
      </c>
      <c r="U1779" s="1475">
        <f ca="1">P1779*$H1776</f>
        <v>0</v>
      </c>
      <c r="V1779" s="1475">
        <f t="shared" ca="1" si="877"/>
        <v>0</v>
      </c>
    </row>
    <row r="1780" spans="1:22" s="39" customFormat="1" ht="24" customHeight="1" thickBot="1">
      <c r="A1780" s="1860">
        <v>2</v>
      </c>
      <c r="B1780" s="1860"/>
      <c r="C1780" s="1860"/>
      <c r="D1780" s="1860"/>
      <c r="E1780" s="1839"/>
      <c r="F1780" s="1890"/>
      <c r="G1780" s="1780"/>
      <c r="H1780" s="1603"/>
      <c r="I1780" s="1558"/>
      <c r="J1780" s="40" t="s">
        <v>84</v>
      </c>
      <c r="K1780" s="91"/>
      <c r="L1780" s="820">
        <f ca="1">L1771-L1772</f>
        <v>0</v>
      </c>
      <c r="M1780" s="820">
        <f t="shared" ref="M1780:U1780" ca="1" si="884">M1771-M1772</f>
        <v>0</v>
      </c>
      <c r="N1780" s="820">
        <f t="shared" ca="1" si="884"/>
        <v>0</v>
      </c>
      <c r="O1780" s="820">
        <f t="shared" ca="1" si="884"/>
        <v>0</v>
      </c>
      <c r="P1780" s="820">
        <f t="shared" ca="1" si="884"/>
        <v>0</v>
      </c>
      <c r="Q1780" s="1475">
        <f ca="1">Q1771-Q1772</f>
        <v>0</v>
      </c>
      <c r="R1780" s="1475">
        <f t="shared" ca="1" si="884"/>
        <v>0</v>
      </c>
      <c r="S1780" s="1475">
        <f t="shared" ca="1" si="884"/>
        <v>0</v>
      </c>
      <c r="T1780" s="1475">
        <f t="shared" ca="1" si="884"/>
        <v>0</v>
      </c>
      <c r="U1780" s="1475">
        <f t="shared" ca="1" si="884"/>
        <v>0</v>
      </c>
      <c r="V1780" s="1475">
        <f t="shared" ca="1" si="877"/>
        <v>0</v>
      </c>
    </row>
    <row r="1781" spans="1:22" s="45" customFormat="1" ht="24" customHeight="1">
      <c r="A1781" s="1958">
        <v>3</v>
      </c>
      <c r="B1781" s="1873">
        <v>2</v>
      </c>
      <c r="C1781" s="1873">
        <v>4</v>
      </c>
      <c r="D1781" s="1873">
        <v>12</v>
      </c>
      <c r="E1781" s="1861" t="s">
        <v>49</v>
      </c>
      <c r="F1781" s="1846" t="str">
        <f>CONCATENATE(A1781,".",B1781,".",C1781,".",D1781,)</f>
        <v>3.2.4.12</v>
      </c>
      <c r="G1781" s="1779" t="s">
        <v>1425</v>
      </c>
      <c r="H1781" s="1884" t="s">
        <v>147</v>
      </c>
      <c r="I1781" s="1810" t="s">
        <v>786</v>
      </c>
      <c r="J1781" s="981" t="s">
        <v>79</v>
      </c>
      <c r="K1781" s="908"/>
      <c r="L1781" s="914">
        <v>0</v>
      </c>
      <c r="M1781" s="914">
        <v>0</v>
      </c>
      <c r="N1781" s="914">
        <v>1</v>
      </c>
      <c r="O1781" s="914">
        <v>0</v>
      </c>
      <c r="P1781" s="914">
        <v>0</v>
      </c>
      <c r="Q1781" s="1484">
        <f>L1781*H1786</f>
        <v>0</v>
      </c>
      <c r="R1781" s="1484">
        <f>M1781*H1786</f>
        <v>0</v>
      </c>
      <c r="S1781" s="1484">
        <f>N1781*H1786</f>
        <v>388667</v>
      </c>
      <c r="T1781" s="1484">
        <f>O1781*H1786</f>
        <v>0</v>
      </c>
      <c r="U1781" s="1484">
        <f>P1781*H1786</f>
        <v>0</v>
      </c>
      <c r="V1781" s="1526">
        <f t="shared" si="877"/>
        <v>388667</v>
      </c>
    </row>
    <row r="1782" spans="1:22" s="39" customFormat="1" ht="24" customHeight="1">
      <c r="A1782" s="1959">
        <v>2</v>
      </c>
      <c r="B1782" s="1860"/>
      <c r="C1782" s="1860"/>
      <c r="D1782" s="1860"/>
      <c r="E1782" s="1839"/>
      <c r="F1782" s="1844"/>
      <c r="G1782" s="1780"/>
      <c r="H1782" s="1629"/>
      <c r="I1782" s="1558"/>
      <c r="J1782" s="846" t="s">
        <v>80</v>
      </c>
      <c r="K1782" s="91"/>
      <c r="L1782" s="364">
        <f t="shared" ref="L1782" si="885">SUM(L1783:L1789)</f>
        <v>0</v>
      </c>
      <c r="M1782" s="364">
        <f t="shared" ref="M1782:U1782" si="886">SUM(M1783:M1789)</f>
        <v>0</v>
      </c>
      <c r="N1782" s="364">
        <f t="shared" si="886"/>
        <v>1</v>
      </c>
      <c r="O1782" s="364">
        <f t="shared" si="886"/>
        <v>0</v>
      </c>
      <c r="P1782" s="364">
        <f t="shared" si="886"/>
        <v>0</v>
      </c>
      <c r="Q1782" s="1475">
        <f t="shared" si="886"/>
        <v>0</v>
      </c>
      <c r="R1782" s="1475">
        <f t="shared" si="886"/>
        <v>0</v>
      </c>
      <c r="S1782" s="1475">
        <f t="shared" si="886"/>
        <v>388667</v>
      </c>
      <c r="T1782" s="1475">
        <f t="shared" si="886"/>
        <v>0</v>
      </c>
      <c r="U1782" s="1475">
        <f t="shared" si="886"/>
        <v>0</v>
      </c>
      <c r="V1782" s="1527">
        <f t="shared" si="877"/>
        <v>388667</v>
      </c>
    </row>
    <row r="1783" spans="1:22" s="39" customFormat="1" ht="24" customHeight="1">
      <c r="A1783" s="1959">
        <v>2</v>
      </c>
      <c r="B1783" s="1860"/>
      <c r="C1783" s="1860"/>
      <c r="D1783" s="1860"/>
      <c r="E1783" s="1839"/>
      <c r="F1783" s="1844"/>
      <c r="G1783" s="1780"/>
      <c r="H1783" s="1629"/>
      <c r="I1783" s="1558"/>
      <c r="J1783" s="846" t="s">
        <v>429</v>
      </c>
      <c r="K1783" s="91"/>
      <c r="L1783" s="364">
        <v>0</v>
      </c>
      <c r="M1783" s="364">
        <v>0</v>
      </c>
      <c r="N1783" s="364">
        <v>0</v>
      </c>
      <c r="O1783" s="364">
        <v>0</v>
      </c>
      <c r="P1783" s="364">
        <v>0</v>
      </c>
      <c r="Q1783" s="1475">
        <f>L1783*$H1786</f>
        <v>0</v>
      </c>
      <c r="R1783" s="1475">
        <f>M1783*$H1786</f>
        <v>0</v>
      </c>
      <c r="S1783" s="1475">
        <f>N1783*$H1786</f>
        <v>0</v>
      </c>
      <c r="T1783" s="1475">
        <f>O1783*$H1786</f>
        <v>0</v>
      </c>
      <c r="U1783" s="1475">
        <f>P1783*$H1786</f>
        <v>0</v>
      </c>
      <c r="V1783" s="1527">
        <f t="shared" si="877"/>
        <v>0</v>
      </c>
    </row>
    <row r="1784" spans="1:22" s="39" customFormat="1" ht="24" customHeight="1">
      <c r="A1784" s="1959">
        <v>2</v>
      </c>
      <c r="B1784" s="1860"/>
      <c r="C1784" s="1860"/>
      <c r="D1784" s="1860"/>
      <c r="E1784" s="1839"/>
      <c r="F1784" s="1844"/>
      <c r="G1784" s="1780"/>
      <c r="H1784" s="1629"/>
      <c r="I1784" s="1558"/>
      <c r="J1784" s="846" t="s">
        <v>133</v>
      </c>
      <c r="K1784" s="91"/>
      <c r="L1784" s="364">
        <v>0</v>
      </c>
      <c r="M1784" s="364">
        <v>0</v>
      </c>
      <c r="N1784" s="364">
        <v>0</v>
      </c>
      <c r="O1784" s="364">
        <v>0</v>
      </c>
      <c r="P1784" s="364">
        <v>0</v>
      </c>
      <c r="Q1784" s="1475">
        <f>L1784*$H1786</f>
        <v>0</v>
      </c>
      <c r="R1784" s="1475">
        <f>M1784*$H1786</f>
        <v>0</v>
      </c>
      <c r="S1784" s="1475">
        <f>N1784*$H1786</f>
        <v>0</v>
      </c>
      <c r="T1784" s="1475">
        <f>O1784*$H1786</f>
        <v>0</v>
      </c>
      <c r="U1784" s="1475">
        <f>P1784*$H1786</f>
        <v>0</v>
      </c>
      <c r="V1784" s="1527">
        <f t="shared" si="877"/>
        <v>0</v>
      </c>
    </row>
    <row r="1785" spans="1:22" s="39" customFormat="1" ht="24" customHeight="1">
      <c r="A1785" s="1959">
        <v>2</v>
      </c>
      <c r="B1785" s="1860"/>
      <c r="C1785" s="1860"/>
      <c r="D1785" s="1860"/>
      <c r="E1785" s="1839"/>
      <c r="F1785" s="1844"/>
      <c r="G1785" s="1780"/>
      <c r="H1785" s="1629"/>
      <c r="I1785" s="1558"/>
      <c r="J1785" s="846" t="s">
        <v>81</v>
      </c>
      <c r="K1785" s="91"/>
      <c r="L1785" s="364">
        <v>0</v>
      </c>
      <c r="M1785" s="364">
        <v>0</v>
      </c>
      <c r="N1785" s="364">
        <v>0</v>
      </c>
      <c r="O1785" s="364">
        <v>0</v>
      </c>
      <c r="P1785" s="364">
        <v>0</v>
      </c>
      <c r="Q1785" s="1475">
        <f>L1785*$H1786</f>
        <v>0</v>
      </c>
      <c r="R1785" s="1475">
        <f>M1785*$H1786</f>
        <v>0</v>
      </c>
      <c r="S1785" s="1475">
        <f>N1785*$H1786</f>
        <v>0</v>
      </c>
      <c r="T1785" s="1475">
        <f>O1785*$H1786</f>
        <v>0</v>
      </c>
      <c r="U1785" s="1475">
        <f>P1785*$H1786</f>
        <v>0</v>
      </c>
      <c r="V1785" s="1527">
        <f t="shared" si="877"/>
        <v>0</v>
      </c>
    </row>
    <row r="1786" spans="1:22" s="39" customFormat="1" ht="24" customHeight="1">
      <c r="A1786" s="1959">
        <v>2</v>
      </c>
      <c r="B1786" s="1860"/>
      <c r="C1786" s="1860"/>
      <c r="D1786" s="1860"/>
      <c r="E1786" s="1839"/>
      <c r="F1786" s="1844"/>
      <c r="G1786" s="1780"/>
      <c r="H1786" s="1602">
        <v>388667</v>
      </c>
      <c r="I1786" s="1558"/>
      <c r="J1786" s="846" t="s">
        <v>134</v>
      </c>
      <c r="K1786" s="91"/>
      <c r="L1786" s="364">
        <v>0</v>
      </c>
      <c r="M1786" s="364">
        <v>0</v>
      </c>
      <c r="N1786" s="364">
        <v>0</v>
      </c>
      <c r="O1786" s="364">
        <v>0</v>
      </c>
      <c r="P1786" s="364">
        <v>0</v>
      </c>
      <c r="Q1786" s="1475">
        <f>L1786*$H1786</f>
        <v>0</v>
      </c>
      <c r="R1786" s="1475">
        <f>M1786*$H1786</f>
        <v>0</v>
      </c>
      <c r="S1786" s="1475">
        <f>N1786*$H1786</f>
        <v>0</v>
      </c>
      <c r="T1786" s="1475">
        <f>O1786*$H1786</f>
        <v>0</v>
      </c>
      <c r="U1786" s="1475">
        <f>P1786*$H1786</f>
        <v>0</v>
      </c>
      <c r="V1786" s="1527">
        <f t="shared" si="877"/>
        <v>0</v>
      </c>
    </row>
    <row r="1787" spans="1:22" s="39" customFormat="1" ht="24" customHeight="1">
      <c r="A1787" s="1959">
        <v>2</v>
      </c>
      <c r="B1787" s="1860"/>
      <c r="C1787" s="1860"/>
      <c r="D1787" s="1860"/>
      <c r="E1787" s="1839"/>
      <c r="F1787" s="1844"/>
      <c r="G1787" s="1780"/>
      <c r="H1787" s="1603"/>
      <c r="I1787" s="1558"/>
      <c r="J1787" s="846" t="s">
        <v>82</v>
      </c>
      <c r="K1787" s="91"/>
      <c r="L1787" s="364">
        <v>0</v>
      </c>
      <c r="M1787" s="364">
        <v>0</v>
      </c>
      <c r="N1787" s="364">
        <v>1</v>
      </c>
      <c r="O1787" s="364">
        <v>0</v>
      </c>
      <c r="P1787" s="364">
        <v>0</v>
      </c>
      <c r="Q1787" s="1475">
        <f>L1787*$H1786</f>
        <v>0</v>
      </c>
      <c r="R1787" s="1475">
        <f>M1787*$H1786</f>
        <v>0</v>
      </c>
      <c r="S1787" s="1475">
        <f>N1787*$H1786</f>
        <v>388667</v>
      </c>
      <c r="T1787" s="1475">
        <f>O1787*$H1786</f>
        <v>0</v>
      </c>
      <c r="U1787" s="1475">
        <f>P1787*$H1786</f>
        <v>0</v>
      </c>
      <c r="V1787" s="1527">
        <f t="shared" si="877"/>
        <v>388667</v>
      </c>
    </row>
    <row r="1788" spans="1:22" s="39" customFormat="1" ht="24" customHeight="1">
      <c r="A1788" s="1959">
        <v>2</v>
      </c>
      <c r="B1788" s="1860"/>
      <c r="C1788" s="1860"/>
      <c r="D1788" s="1860"/>
      <c r="E1788" s="1839"/>
      <c r="F1788" s="1844"/>
      <c r="G1788" s="1780"/>
      <c r="H1788" s="1603"/>
      <c r="I1788" s="1558"/>
      <c r="J1788" s="846" t="s">
        <v>90</v>
      </c>
      <c r="K1788" s="91"/>
      <c r="L1788" s="364">
        <v>0</v>
      </c>
      <c r="M1788" s="364">
        <v>0</v>
      </c>
      <c r="N1788" s="364">
        <v>0</v>
      </c>
      <c r="O1788" s="364">
        <v>0</v>
      </c>
      <c r="P1788" s="364">
        <v>0</v>
      </c>
      <c r="Q1788" s="1475">
        <f>L1788*$H1786</f>
        <v>0</v>
      </c>
      <c r="R1788" s="1475">
        <f>M1788*$H1786</f>
        <v>0</v>
      </c>
      <c r="S1788" s="1475">
        <f>N1788*$H1786</f>
        <v>0</v>
      </c>
      <c r="T1788" s="1475">
        <f>O1788*$H1786</f>
        <v>0</v>
      </c>
      <c r="U1788" s="1475">
        <f>P1788*$H1786</f>
        <v>0</v>
      </c>
      <c r="V1788" s="1527">
        <f t="shared" si="877"/>
        <v>0</v>
      </c>
    </row>
    <row r="1789" spans="1:22" s="39" customFormat="1" ht="24" customHeight="1">
      <c r="A1789" s="1959">
        <v>2</v>
      </c>
      <c r="B1789" s="1860"/>
      <c r="C1789" s="1860"/>
      <c r="D1789" s="1860"/>
      <c r="E1789" s="1839"/>
      <c r="F1789" s="1844"/>
      <c r="G1789" s="1780"/>
      <c r="H1789" s="1603"/>
      <c r="I1789" s="1558"/>
      <c r="J1789" s="846" t="s">
        <v>83</v>
      </c>
      <c r="K1789" s="91"/>
      <c r="L1789" s="364">
        <v>0</v>
      </c>
      <c r="M1789" s="364">
        <v>0</v>
      </c>
      <c r="N1789" s="364">
        <v>0</v>
      </c>
      <c r="O1789" s="364">
        <v>0</v>
      </c>
      <c r="P1789" s="364">
        <v>0</v>
      </c>
      <c r="Q1789" s="1475">
        <f>L1789*$H1786</f>
        <v>0</v>
      </c>
      <c r="R1789" s="1475">
        <f>M1789*$H1786</f>
        <v>0</v>
      </c>
      <c r="S1789" s="1475">
        <f>N1789*$H1786</f>
        <v>0</v>
      </c>
      <c r="T1789" s="1475">
        <f>O1789*$H1786</f>
        <v>0</v>
      </c>
      <c r="U1789" s="1475">
        <f>P1789*$H1786</f>
        <v>0</v>
      </c>
      <c r="V1789" s="1527">
        <f t="shared" si="877"/>
        <v>0</v>
      </c>
    </row>
    <row r="1790" spans="1:22" s="39" customFormat="1" ht="24" customHeight="1" thickBot="1">
      <c r="A1790" s="1960">
        <v>2</v>
      </c>
      <c r="B1790" s="1874"/>
      <c r="C1790" s="1874"/>
      <c r="D1790" s="1874"/>
      <c r="E1790" s="1862"/>
      <c r="F1790" s="1845"/>
      <c r="G1790" s="1781"/>
      <c r="H1790" s="1870"/>
      <c r="I1790" s="1885"/>
      <c r="J1790" s="982" t="s">
        <v>84</v>
      </c>
      <c r="K1790" s="824"/>
      <c r="L1790" s="371">
        <f>L1781-L1782</f>
        <v>0</v>
      </c>
      <c r="M1790" s="371">
        <f t="shared" ref="M1790:U1790" si="887">M1781-M1782</f>
        <v>0</v>
      </c>
      <c r="N1790" s="371">
        <f t="shared" si="887"/>
        <v>0</v>
      </c>
      <c r="O1790" s="371">
        <f t="shared" si="887"/>
        <v>0</v>
      </c>
      <c r="P1790" s="371">
        <f t="shared" si="887"/>
        <v>0</v>
      </c>
      <c r="Q1790" s="1487">
        <f t="shared" si="887"/>
        <v>0</v>
      </c>
      <c r="R1790" s="1487">
        <f t="shared" si="887"/>
        <v>0</v>
      </c>
      <c r="S1790" s="1487">
        <f t="shared" si="887"/>
        <v>0</v>
      </c>
      <c r="T1790" s="1487">
        <f t="shared" si="887"/>
        <v>0</v>
      </c>
      <c r="U1790" s="1487">
        <f t="shared" si="887"/>
        <v>0</v>
      </c>
      <c r="V1790" s="1528">
        <f t="shared" si="877"/>
        <v>0</v>
      </c>
    </row>
    <row r="1791" spans="1:22" s="45" customFormat="1" ht="24" customHeight="1">
      <c r="A1791" s="1860">
        <v>3</v>
      </c>
      <c r="B1791" s="1860">
        <v>2</v>
      </c>
      <c r="C1791" s="1860">
        <v>4</v>
      </c>
      <c r="D1791" s="1860">
        <v>13</v>
      </c>
      <c r="E1791" s="1839" t="s">
        <v>49</v>
      </c>
      <c r="F1791" s="1841" t="str">
        <f>CONCATENATE(A1791,".",B1791,".",C1791,".",D1791,)</f>
        <v>3.2.4.13</v>
      </c>
      <c r="G1791" s="1664" t="s">
        <v>787</v>
      </c>
      <c r="H1791" s="1601" t="s">
        <v>195</v>
      </c>
      <c r="I1791" s="1614" t="s">
        <v>1054</v>
      </c>
      <c r="J1791" s="36" t="s">
        <v>79</v>
      </c>
      <c r="K1791" s="896"/>
      <c r="L1791" s="383">
        <v>0</v>
      </c>
      <c r="M1791" s="383">
        <v>0</v>
      </c>
      <c r="N1791" s="383">
        <v>30</v>
      </c>
      <c r="O1791" s="383">
        <v>0</v>
      </c>
      <c r="P1791" s="383">
        <v>0</v>
      </c>
      <c r="Q1791" s="1475">
        <f>L1791*H1796</f>
        <v>0</v>
      </c>
      <c r="R1791" s="1475">
        <f>M1791*H1796</f>
        <v>0</v>
      </c>
      <c r="S1791" s="1475">
        <f>N1791*H1796</f>
        <v>60000</v>
      </c>
      <c r="T1791" s="1475">
        <f>O1791*H1796</f>
        <v>0</v>
      </c>
      <c r="U1791" s="1475">
        <f>P1791*H1796</f>
        <v>0</v>
      </c>
      <c r="V1791" s="1475">
        <f t="shared" si="877"/>
        <v>60000</v>
      </c>
    </row>
    <row r="1792" spans="1:22" s="39" customFormat="1" ht="24" customHeight="1">
      <c r="A1792" s="1860">
        <v>2</v>
      </c>
      <c r="B1792" s="1860"/>
      <c r="C1792" s="1860"/>
      <c r="D1792" s="1860"/>
      <c r="E1792" s="1839"/>
      <c r="F1792" s="1841"/>
      <c r="G1792" s="1665"/>
      <c r="H1792" s="1601"/>
      <c r="I1792" s="1615"/>
      <c r="J1792" s="40" t="s">
        <v>80</v>
      </c>
      <c r="K1792" s="91"/>
      <c r="L1792" s="364">
        <f t="shared" ref="L1792" si="888">SUM(L1793:L1799)</f>
        <v>0</v>
      </c>
      <c r="M1792" s="364">
        <f t="shared" ref="M1792:U1792" si="889">SUM(M1793:M1799)</f>
        <v>0</v>
      </c>
      <c r="N1792" s="364">
        <f t="shared" si="889"/>
        <v>30</v>
      </c>
      <c r="O1792" s="364">
        <f t="shared" si="889"/>
        <v>0</v>
      </c>
      <c r="P1792" s="364">
        <f t="shared" si="889"/>
        <v>0</v>
      </c>
      <c r="Q1792" s="1475">
        <f t="shared" si="889"/>
        <v>0</v>
      </c>
      <c r="R1792" s="1475">
        <f t="shared" si="889"/>
        <v>0</v>
      </c>
      <c r="S1792" s="1475">
        <f t="shared" si="889"/>
        <v>60000</v>
      </c>
      <c r="T1792" s="1475">
        <f t="shared" si="889"/>
        <v>0</v>
      </c>
      <c r="U1792" s="1475">
        <f t="shared" si="889"/>
        <v>0</v>
      </c>
      <c r="V1792" s="1475">
        <f t="shared" si="877"/>
        <v>60000</v>
      </c>
    </row>
    <row r="1793" spans="1:22" s="39" customFormat="1" ht="24" customHeight="1">
      <c r="A1793" s="1860">
        <v>2</v>
      </c>
      <c r="B1793" s="1860"/>
      <c r="C1793" s="1860"/>
      <c r="D1793" s="1860"/>
      <c r="E1793" s="1839"/>
      <c r="F1793" s="1841"/>
      <c r="G1793" s="1665"/>
      <c r="H1793" s="1601"/>
      <c r="I1793" s="1615"/>
      <c r="J1793" s="40" t="s">
        <v>429</v>
      </c>
      <c r="K1793" s="91"/>
      <c r="L1793" s="364">
        <v>0</v>
      </c>
      <c r="M1793" s="364">
        <v>0</v>
      </c>
      <c r="N1793" s="364">
        <v>0</v>
      </c>
      <c r="O1793" s="364">
        <v>0</v>
      </c>
      <c r="P1793" s="364">
        <v>0</v>
      </c>
      <c r="Q1793" s="1475">
        <f>L1793*$H1796</f>
        <v>0</v>
      </c>
      <c r="R1793" s="1475">
        <f>M1793*$H1796</f>
        <v>0</v>
      </c>
      <c r="S1793" s="1475">
        <f>N1793*$H1796</f>
        <v>0</v>
      </c>
      <c r="T1793" s="1475">
        <f>O1793*$H1796</f>
        <v>0</v>
      </c>
      <c r="U1793" s="1475">
        <f>P1793*$H1796</f>
        <v>0</v>
      </c>
      <c r="V1793" s="1475">
        <f t="shared" si="877"/>
        <v>0</v>
      </c>
    </row>
    <row r="1794" spans="1:22" s="39" customFormat="1" ht="24" customHeight="1">
      <c r="A1794" s="1860">
        <v>2</v>
      </c>
      <c r="B1794" s="1860"/>
      <c r="C1794" s="1860"/>
      <c r="D1794" s="1860"/>
      <c r="E1794" s="1839"/>
      <c r="F1794" s="1841"/>
      <c r="G1794" s="1665"/>
      <c r="H1794" s="1601"/>
      <c r="I1794" s="1615"/>
      <c r="J1794" s="40" t="s">
        <v>133</v>
      </c>
      <c r="K1794" s="91"/>
      <c r="L1794" s="364">
        <v>0</v>
      </c>
      <c r="M1794" s="364">
        <v>0</v>
      </c>
      <c r="N1794" s="364">
        <v>0</v>
      </c>
      <c r="O1794" s="364">
        <v>0</v>
      </c>
      <c r="P1794" s="364">
        <v>0</v>
      </c>
      <c r="Q1794" s="1475">
        <f>L1794*$H1796</f>
        <v>0</v>
      </c>
      <c r="R1794" s="1475">
        <f>M1794*$H1796</f>
        <v>0</v>
      </c>
      <c r="S1794" s="1475">
        <f>N1794*$H1796</f>
        <v>0</v>
      </c>
      <c r="T1794" s="1475">
        <f>O1794*$H1796</f>
        <v>0</v>
      </c>
      <c r="U1794" s="1475">
        <f>P1794*$H1796</f>
        <v>0</v>
      </c>
      <c r="V1794" s="1475">
        <f t="shared" si="877"/>
        <v>0</v>
      </c>
    </row>
    <row r="1795" spans="1:22" s="39" customFormat="1" ht="24" customHeight="1">
      <c r="A1795" s="1860">
        <v>2</v>
      </c>
      <c r="B1795" s="1860"/>
      <c r="C1795" s="1860"/>
      <c r="D1795" s="1860"/>
      <c r="E1795" s="1839"/>
      <c r="F1795" s="1841"/>
      <c r="G1795" s="1665"/>
      <c r="H1795" s="1601"/>
      <c r="I1795" s="1615"/>
      <c r="J1795" s="40" t="s">
        <v>81</v>
      </c>
      <c r="K1795" s="91"/>
      <c r="L1795" s="364">
        <v>0</v>
      </c>
      <c r="M1795" s="364">
        <v>0</v>
      </c>
      <c r="N1795" s="364">
        <v>0</v>
      </c>
      <c r="O1795" s="364">
        <v>0</v>
      </c>
      <c r="P1795" s="364">
        <v>0</v>
      </c>
      <c r="Q1795" s="1475">
        <f>L1795*$H1796</f>
        <v>0</v>
      </c>
      <c r="R1795" s="1475">
        <f>M1795*$H1796</f>
        <v>0</v>
      </c>
      <c r="S1795" s="1475">
        <f>N1795*$H1796</f>
        <v>0</v>
      </c>
      <c r="T1795" s="1475">
        <f>O1795*$H1796</f>
        <v>0</v>
      </c>
      <c r="U1795" s="1475">
        <f>P1795*$H1796</f>
        <v>0</v>
      </c>
      <c r="V1795" s="1475">
        <f t="shared" si="877"/>
        <v>0</v>
      </c>
    </row>
    <row r="1796" spans="1:22" s="39" customFormat="1" ht="24" customHeight="1">
      <c r="A1796" s="1860">
        <v>2</v>
      </c>
      <c r="B1796" s="1860"/>
      <c r="C1796" s="1860"/>
      <c r="D1796" s="1860"/>
      <c r="E1796" s="1839"/>
      <c r="F1796" s="1841"/>
      <c r="G1796" s="1665"/>
      <c r="H1796" s="1595">
        <f>'Budget assumption'!C4</f>
        <v>2000</v>
      </c>
      <c r="I1796" s="1615"/>
      <c r="J1796" s="40" t="s">
        <v>134</v>
      </c>
      <c r="K1796" s="91"/>
      <c r="L1796" s="364">
        <v>0</v>
      </c>
      <c r="M1796" s="364">
        <v>0</v>
      </c>
      <c r="N1796" s="364">
        <v>0</v>
      </c>
      <c r="O1796" s="364">
        <v>0</v>
      </c>
      <c r="P1796" s="364">
        <v>0</v>
      </c>
      <c r="Q1796" s="1475">
        <f>L1796*$H1796</f>
        <v>0</v>
      </c>
      <c r="R1796" s="1475">
        <f>M1796*$H1796</f>
        <v>0</v>
      </c>
      <c r="S1796" s="1475">
        <f>N1796*$H1796</f>
        <v>0</v>
      </c>
      <c r="T1796" s="1475">
        <f>O1796*$H1796</f>
        <v>0</v>
      </c>
      <c r="U1796" s="1475">
        <f>P1796*$H1796</f>
        <v>0</v>
      </c>
      <c r="V1796" s="1475">
        <f t="shared" si="877"/>
        <v>0</v>
      </c>
    </row>
    <row r="1797" spans="1:22" s="39" customFormat="1" ht="24" customHeight="1">
      <c r="A1797" s="1860">
        <v>2</v>
      </c>
      <c r="B1797" s="1860"/>
      <c r="C1797" s="1860"/>
      <c r="D1797" s="1860"/>
      <c r="E1797" s="1839"/>
      <c r="F1797" s="1841"/>
      <c r="G1797" s="1665"/>
      <c r="H1797" s="1596"/>
      <c r="I1797" s="1615"/>
      <c r="J1797" s="40" t="s">
        <v>82</v>
      </c>
      <c r="K1797" s="91"/>
      <c r="L1797" s="364">
        <v>0</v>
      </c>
      <c r="M1797" s="364">
        <v>0</v>
      </c>
      <c r="N1797" s="364">
        <v>30</v>
      </c>
      <c r="O1797" s="364">
        <v>0</v>
      </c>
      <c r="P1797" s="364">
        <v>0</v>
      </c>
      <c r="Q1797" s="1475">
        <f>L1797*$H1796</f>
        <v>0</v>
      </c>
      <c r="R1797" s="1475">
        <f>M1797*$H1796</f>
        <v>0</v>
      </c>
      <c r="S1797" s="1475">
        <f>N1797*$H1796</f>
        <v>60000</v>
      </c>
      <c r="T1797" s="1475">
        <f>O1797*$H1796</f>
        <v>0</v>
      </c>
      <c r="U1797" s="1475">
        <f>P1797*$H1796</f>
        <v>0</v>
      </c>
      <c r="V1797" s="1475">
        <f t="shared" si="877"/>
        <v>60000</v>
      </c>
    </row>
    <row r="1798" spans="1:22" s="39" customFormat="1" ht="24" customHeight="1">
      <c r="A1798" s="1860">
        <v>2</v>
      </c>
      <c r="B1798" s="1860"/>
      <c r="C1798" s="1860"/>
      <c r="D1798" s="1860"/>
      <c r="E1798" s="1839"/>
      <c r="F1798" s="1841"/>
      <c r="G1798" s="1665"/>
      <c r="H1798" s="1596"/>
      <c r="I1798" s="1615"/>
      <c r="J1798" s="40" t="s">
        <v>90</v>
      </c>
      <c r="K1798" s="91"/>
      <c r="L1798" s="364">
        <v>0</v>
      </c>
      <c r="M1798" s="364">
        <v>0</v>
      </c>
      <c r="N1798" s="364">
        <v>0</v>
      </c>
      <c r="O1798" s="364">
        <v>0</v>
      </c>
      <c r="P1798" s="364">
        <v>0</v>
      </c>
      <c r="Q1798" s="1475">
        <f>L1798*$H1796</f>
        <v>0</v>
      </c>
      <c r="R1798" s="1475">
        <f>M1798*$H1796</f>
        <v>0</v>
      </c>
      <c r="S1798" s="1475">
        <f>N1798*$H1796</f>
        <v>0</v>
      </c>
      <c r="T1798" s="1475">
        <f>O1798*$H1796</f>
        <v>0</v>
      </c>
      <c r="U1798" s="1475">
        <f>P1798*$H1796</f>
        <v>0</v>
      </c>
      <c r="V1798" s="1475">
        <f t="shared" si="877"/>
        <v>0</v>
      </c>
    </row>
    <row r="1799" spans="1:22" s="39" customFormat="1" ht="24" customHeight="1">
      <c r="A1799" s="1860">
        <v>2</v>
      </c>
      <c r="B1799" s="1860"/>
      <c r="C1799" s="1860"/>
      <c r="D1799" s="1860"/>
      <c r="E1799" s="1839"/>
      <c r="F1799" s="1841"/>
      <c r="G1799" s="1665"/>
      <c r="H1799" s="1596"/>
      <c r="I1799" s="1615"/>
      <c r="J1799" s="40" t="s">
        <v>83</v>
      </c>
      <c r="K1799" s="91"/>
      <c r="L1799" s="364">
        <v>0</v>
      </c>
      <c r="M1799" s="364">
        <v>0</v>
      </c>
      <c r="N1799" s="364">
        <v>0</v>
      </c>
      <c r="O1799" s="364">
        <v>0</v>
      </c>
      <c r="P1799" s="364">
        <v>0</v>
      </c>
      <c r="Q1799" s="1475">
        <f>L1799*$H1796</f>
        <v>0</v>
      </c>
      <c r="R1799" s="1475">
        <f>M1799*$H1796</f>
        <v>0</v>
      </c>
      <c r="S1799" s="1475">
        <f>N1799*$H1796</f>
        <v>0</v>
      </c>
      <c r="T1799" s="1475">
        <f>O1799*$H1796</f>
        <v>0</v>
      </c>
      <c r="U1799" s="1475">
        <f>P1799*$H1796</f>
        <v>0</v>
      </c>
      <c r="V1799" s="1475">
        <f t="shared" si="877"/>
        <v>0</v>
      </c>
    </row>
    <row r="1800" spans="1:22" s="39" customFormat="1" ht="24" customHeight="1">
      <c r="A1800" s="1860">
        <v>2</v>
      </c>
      <c r="B1800" s="1860"/>
      <c r="C1800" s="1860"/>
      <c r="D1800" s="1860"/>
      <c r="E1800" s="1839"/>
      <c r="F1800" s="1841"/>
      <c r="G1800" s="1666"/>
      <c r="H1800" s="1618"/>
      <c r="I1800" s="1617"/>
      <c r="J1800" s="40" t="s">
        <v>84</v>
      </c>
      <c r="K1800" s="91"/>
      <c r="L1800" s="364">
        <f>L1791-L1792</f>
        <v>0</v>
      </c>
      <c r="M1800" s="364">
        <f t="shared" ref="M1800:U1800" si="890">M1791-M1792</f>
        <v>0</v>
      </c>
      <c r="N1800" s="364">
        <f t="shared" si="890"/>
        <v>0</v>
      </c>
      <c r="O1800" s="364">
        <f t="shared" si="890"/>
        <v>0</v>
      </c>
      <c r="P1800" s="364">
        <f t="shared" si="890"/>
        <v>0</v>
      </c>
      <c r="Q1800" s="1475">
        <f t="shared" si="890"/>
        <v>0</v>
      </c>
      <c r="R1800" s="1475">
        <f t="shared" si="890"/>
        <v>0</v>
      </c>
      <c r="S1800" s="1475">
        <f t="shared" si="890"/>
        <v>0</v>
      </c>
      <c r="T1800" s="1475">
        <f t="shared" si="890"/>
        <v>0</v>
      </c>
      <c r="U1800" s="1475">
        <f t="shared" si="890"/>
        <v>0</v>
      </c>
      <c r="V1800" s="1475">
        <f t="shared" si="877"/>
        <v>0</v>
      </c>
    </row>
    <row r="1801" spans="1:22" s="45" customFormat="1" ht="24" customHeight="1">
      <c r="A1801" s="1860">
        <v>3</v>
      </c>
      <c r="B1801" s="1860">
        <v>2</v>
      </c>
      <c r="C1801" s="1860">
        <v>4</v>
      </c>
      <c r="D1801" s="1860">
        <v>14</v>
      </c>
      <c r="E1801" s="1839" t="s">
        <v>49</v>
      </c>
      <c r="F1801" s="1841" t="str">
        <f>CONCATENATE(A1801,".",B1801,".",C1801,".",D1801,)</f>
        <v>3.2.4.14</v>
      </c>
      <c r="G1801" s="1785" t="s">
        <v>788</v>
      </c>
      <c r="H1801" s="1601" t="s">
        <v>195</v>
      </c>
      <c r="I1801" s="1614" t="s">
        <v>1055</v>
      </c>
      <c r="J1801" s="36" t="s">
        <v>79</v>
      </c>
      <c r="K1801" s="896"/>
      <c r="L1801" s="383">
        <v>0</v>
      </c>
      <c r="M1801" s="383">
        <v>0</v>
      </c>
      <c r="N1801" s="383">
        <v>50</v>
      </c>
      <c r="O1801" s="383">
        <v>0</v>
      </c>
      <c r="P1801" s="383">
        <v>0</v>
      </c>
      <c r="Q1801" s="1475">
        <f>L1801*H1806</f>
        <v>0</v>
      </c>
      <c r="R1801" s="1475">
        <f>M1801*H1806</f>
        <v>0</v>
      </c>
      <c r="S1801" s="1475">
        <f>N1801*H1806</f>
        <v>100000</v>
      </c>
      <c r="T1801" s="1475">
        <f>O1801*H1806</f>
        <v>0</v>
      </c>
      <c r="U1801" s="1475">
        <f>P1801*H1806</f>
        <v>0</v>
      </c>
      <c r="V1801" s="1475">
        <f t="shared" si="877"/>
        <v>100000</v>
      </c>
    </row>
    <row r="1802" spans="1:22" s="39" customFormat="1" ht="24" customHeight="1">
      <c r="A1802" s="1860">
        <v>2</v>
      </c>
      <c r="B1802" s="1860"/>
      <c r="C1802" s="1860"/>
      <c r="D1802" s="1860"/>
      <c r="E1802" s="1839"/>
      <c r="F1802" s="1841"/>
      <c r="G1802" s="1786"/>
      <c r="H1802" s="1601"/>
      <c r="I1802" s="1615"/>
      <c r="J1802" s="40" t="s">
        <v>80</v>
      </c>
      <c r="K1802" s="91"/>
      <c r="L1802" s="364">
        <f t="shared" ref="L1802" si="891">SUM(L1803:L1809)</f>
        <v>0</v>
      </c>
      <c r="M1802" s="364">
        <f t="shared" ref="M1802:U1802" si="892">SUM(M1803:M1809)</f>
        <v>0</v>
      </c>
      <c r="N1802" s="364">
        <f t="shared" si="892"/>
        <v>0</v>
      </c>
      <c r="O1802" s="364">
        <f t="shared" si="892"/>
        <v>0</v>
      </c>
      <c r="P1802" s="364">
        <f t="shared" si="892"/>
        <v>0</v>
      </c>
      <c r="Q1802" s="1475">
        <f t="shared" si="892"/>
        <v>0</v>
      </c>
      <c r="R1802" s="1475">
        <f t="shared" si="892"/>
        <v>0</v>
      </c>
      <c r="S1802" s="1475">
        <f t="shared" si="892"/>
        <v>0</v>
      </c>
      <c r="T1802" s="1475">
        <f t="shared" si="892"/>
        <v>0</v>
      </c>
      <c r="U1802" s="1475">
        <f t="shared" si="892"/>
        <v>0</v>
      </c>
      <c r="V1802" s="1475">
        <f t="shared" si="877"/>
        <v>0</v>
      </c>
    </row>
    <row r="1803" spans="1:22" s="39" customFormat="1" ht="24" customHeight="1">
      <c r="A1803" s="1860">
        <v>2</v>
      </c>
      <c r="B1803" s="1860"/>
      <c r="C1803" s="1860"/>
      <c r="D1803" s="1860"/>
      <c r="E1803" s="1839"/>
      <c r="F1803" s="1841"/>
      <c r="G1803" s="1786"/>
      <c r="H1803" s="1601"/>
      <c r="I1803" s="1615"/>
      <c r="J1803" s="40" t="s">
        <v>429</v>
      </c>
      <c r="K1803" s="91"/>
      <c r="L1803" s="364">
        <v>0</v>
      </c>
      <c r="M1803" s="364">
        <v>0</v>
      </c>
      <c r="N1803" s="364">
        <v>0</v>
      </c>
      <c r="O1803" s="364">
        <v>0</v>
      </c>
      <c r="P1803" s="364">
        <v>0</v>
      </c>
      <c r="Q1803" s="1475">
        <f>L1803*$H1806</f>
        <v>0</v>
      </c>
      <c r="R1803" s="1475">
        <f>M1803*$H1806</f>
        <v>0</v>
      </c>
      <c r="S1803" s="1475">
        <f>N1803*$H1806</f>
        <v>0</v>
      </c>
      <c r="T1803" s="1475">
        <f>O1803*$H1806</f>
        <v>0</v>
      </c>
      <c r="U1803" s="1475">
        <f>P1803*$H1806</f>
        <v>0</v>
      </c>
      <c r="V1803" s="1475">
        <f t="shared" si="877"/>
        <v>0</v>
      </c>
    </row>
    <row r="1804" spans="1:22" s="39" customFormat="1" ht="24" customHeight="1">
      <c r="A1804" s="1860">
        <v>2</v>
      </c>
      <c r="B1804" s="1860"/>
      <c r="C1804" s="1860"/>
      <c r="D1804" s="1860"/>
      <c r="E1804" s="1839"/>
      <c r="F1804" s="1841"/>
      <c r="G1804" s="1786"/>
      <c r="H1804" s="1601"/>
      <c r="I1804" s="1615"/>
      <c r="J1804" s="40" t="s">
        <v>133</v>
      </c>
      <c r="K1804" s="91"/>
      <c r="L1804" s="364">
        <v>0</v>
      </c>
      <c r="M1804" s="364">
        <v>0</v>
      </c>
      <c r="N1804" s="364">
        <v>0</v>
      </c>
      <c r="O1804" s="364">
        <v>0</v>
      </c>
      <c r="P1804" s="364">
        <v>0</v>
      </c>
      <c r="Q1804" s="1475">
        <f>L1804*$H1806</f>
        <v>0</v>
      </c>
      <c r="R1804" s="1475">
        <f>M1804*$H1806</f>
        <v>0</v>
      </c>
      <c r="S1804" s="1475">
        <f>N1804*$H1806</f>
        <v>0</v>
      </c>
      <c r="T1804" s="1475">
        <f>O1804*$H1806</f>
        <v>0</v>
      </c>
      <c r="U1804" s="1475">
        <f>P1804*$H1806</f>
        <v>0</v>
      </c>
      <c r="V1804" s="1475">
        <f t="shared" si="877"/>
        <v>0</v>
      </c>
    </row>
    <row r="1805" spans="1:22" s="39" customFormat="1" ht="24" customHeight="1">
      <c r="A1805" s="1860">
        <v>2</v>
      </c>
      <c r="B1805" s="1860"/>
      <c r="C1805" s="1860"/>
      <c r="D1805" s="1860"/>
      <c r="E1805" s="1839"/>
      <c r="F1805" s="1841"/>
      <c r="G1805" s="1786"/>
      <c r="H1805" s="1601"/>
      <c r="I1805" s="1615"/>
      <c r="J1805" s="40" t="s">
        <v>81</v>
      </c>
      <c r="K1805" s="91"/>
      <c r="L1805" s="364">
        <v>0</v>
      </c>
      <c r="M1805" s="364">
        <v>0</v>
      </c>
      <c r="N1805" s="364">
        <v>0</v>
      </c>
      <c r="O1805" s="364">
        <v>0</v>
      </c>
      <c r="P1805" s="364">
        <v>0</v>
      </c>
      <c r="Q1805" s="1475">
        <f>L1805*$H1806</f>
        <v>0</v>
      </c>
      <c r="R1805" s="1475">
        <f>M1805*$H1806</f>
        <v>0</v>
      </c>
      <c r="S1805" s="1475">
        <f>N1805*$H1806</f>
        <v>0</v>
      </c>
      <c r="T1805" s="1475">
        <f>O1805*$H1806</f>
        <v>0</v>
      </c>
      <c r="U1805" s="1475">
        <f>P1805*$H1806</f>
        <v>0</v>
      </c>
      <c r="V1805" s="1475">
        <f t="shared" si="877"/>
        <v>0</v>
      </c>
    </row>
    <row r="1806" spans="1:22" s="39" customFormat="1" ht="24" customHeight="1">
      <c r="A1806" s="1860">
        <v>2</v>
      </c>
      <c r="B1806" s="1860"/>
      <c r="C1806" s="1860"/>
      <c r="D1806" s="1860"/>
      <c r="E1806" s="1839"/>
      <c r="F1806" s="1841"/>
      <c r="G1806" s="1786"/>
      <c r="H1806" s="1595">
        <f>'Budget assumption'!C4</f>
        <v>2000</v>
      </c>
      <c r="I1806" s="1615"/>
      <c r="J1806" s="40" t="s">
        <v>134</v>
      </c>
      <c r="K1806" s="91"/>
      <c r="L1806" s="364">
        <v>0</v>
      </c>
      <c r="M1806" s="364">
        <v>0</v>
      </c>
      <c r="N1806" s="364">
        <v>0</v>
      </c>
      <c r="O1806" s="364">
        <v>0</v>
      </c>
      <c r="P1806" s="364">
        <v>0</v>
      </c>
      <c r="Q1806" s="1475">
        <f>L1806*$H1806</f>
        <v>0</v>
      </c>
      <c r="R1806" s="1475">
        <f>M1806*$H1806</f>
        <v>0</v>
      </c>
      <c r="S1806" s="1475">
        <f>N1806*$H1806</f>
        <v>0</v>
      </c>
      <c r="T1806" s="1475">
        <f>O1806*$H1806</f>
        <v>0</v>
      </c>
      <c r="U1806" s="1475">
        <f>P1806*$H1806</f>
        <v>0</v>
      </c>
      <c r="V1806" s="1475">
        <f t="shared" si="877"/>
        <v>0</v>
      </c>
    </row>
    <row r="1807" spans="1:22" s="39" customFormat="1" ht="24" customHeight="1">
      <c r="A1807" s="1860">
        <v>2</v>
      </c>
      <c r="B1807" s="1860"/>
      <c r="C1807" s="1860"/>
      <c r="D1807" s="1860"/>
      <c r="E1807" s="1839"/>
      <c r="F1807" s="1841"/>
      <c r="G1807" s="1786"/>
      <c r="H1807" s="1596"/>
      <c r="I1807" s="1615"/>
      <c r="J1807" s="40" t="s">
        <v>82</v>
      </c>
      <c r="K1807" s="91"/>
      <c r="L1807" s="364">
        <v>0</v>
      </c>
      <c r="M1807" s="364">
        <v>0</v>
      </c>
      <c r="N1807" s="364">
        <v>0</v>
      </c>
      <c r="O1807" s="364">
        <v>0</v>
      </c>
      <c r="P1807" s="364">
        <v>0</v>
      </c>
      <c r="Q1807" s="1475">
        <f>L1807*$H1806</f>
        <v>0</v>
      </c>
      <c r="R1807" s="1475">
        <f>M1807*$H1806</f>
        <v>0</v>
      </c>
      <c r="S1807" s="1475">
        <f>N1807*$H1806</f>
        <v>0</v>
      </c>
      <c r="T1807" s="1475">
        <f>O1807*$H1806</f>
        <v>0</v>
      </c>
      <c r="U1807" s="1475">
        <f>P1807*$H1806</f>
        <v>0</v>
      </c>
      <c r="V1807" s="1475">
        <f t="shared" si="877"/>
        <v>0</v>
      </c>
    </row>
    <row r="1808" spans="1:22" s="39" customFormat="1" ht="24" customHeight="1">
      <c r="A1808" s="1860">
        <v>2</v>
      </c>
      <c r="B1808" s="1860"/>
      <c r="C1808" s="1860"/>
      <c r="D1808" s="1860"/>
      <c r="E1808" s="1839"/>
      <c r="F1808" s="1841"/>
      <c r="G1808" s="1786"/>
      <c r="H1808" s="1596"/>
      <c r="I1808" s="1615"/>
      <c r="J1808" s="40" t="s">
        <v>90</v>
      </c>
      <c r="K1808" s="91"/>
      <c r="L1808" s="364">
        <v>0</v>
      </c>
      <c r="M1808" s="364">
        <v>0</v>
      </c>
      <c r="N1808" s="364">
        <v>0</v>
      </c>
      <c r="O1808" s="364">
        <v>0</v>
      </c>
      <c r="P1808" s="364">
        <v>0</v>
      </c>
      <c r="Q1808" s="1475">
        <f>L1808*$H1806</f>
        <v>0</v>
      </c>
      <c r="R1808" s="1475">
        <f>M1808*$H1806</f>
        <v>0</v>
      </c>
      <c r="S1808" s="1475">
        <f>N1808*$H1806</f>
        <v>0</v>
      </c>
      <c r="T1808" s="1475">
        <f>O1808*$H1806</f>
        <v>0</v>
      </c>
      <c r="U1808" s="1475">
        <f>P1808*$H1806</f>
        <v>0</v>
      </c>
      <c r="V1808" s="1475">
        <f t="shared" si="877"/>
        <v>0</v>
      </c>
    </row>
    <row r="1809" spans="1:22" s="39" customFormat="1" ht="24" customHeight="1">
      <c r="A1809" s="1860">
        <v>2</v>
      </c>
      <c r="B1809" s="1860"/>
      <c r="C1809" s="1860"/>
      <c r="D1809" s="1860"/>
      <c r="E1809" s="1839"/>
      <c r="F1809" s="1841"/>
      <c r="G1809" s="1786"/>
      <c r="H1809" s="1596"/>
      <c r="I1809" s="1615"/>
      <c r="J1809" s="40" t="s">
        <v>83</v>
      </c>
      <c r="K1809" s="91"/>
      <c r="L1809" s="364">
        <v>0</v>
      </c>
      <c r="M1809" s="364">
        <v>0</v>
      </c>
      <c r="N1809" s="364">
        <v>0</v>
      </c>
      <c r="O1809" s="364">
        <v>0</v>
      </c>
      <c r="P1809" s="364">
        <v>0</v>
      </c>
      <c r="Q1809" s="1475">
        <f>L1809*$H1806</f>
        <v>0</v>
      </c>
      <c r="R1809" s="1475">
        <f>M1809*$H1806</f>
        <v>0</v>
      </c>
      <c r="S1809" s="1475">
        <f>N1809*$H1806</f>
        <v>0</v>
      </c>
      <c r="T1809" s="1475">
        <f>O1809*$H1806</f>
        <v>0</v>
      </c>
      <c r="U1809" s="1475">
        <f>P1809*$H1806</f>
        <v>0</v>
      </c>
      <c r="V1809" s="1475">
        <f t="shared" si="877"/>
        <v>0</v>
      </c>
    </row>
    <row r="1810" spans="1:22" s="39" customFormat="1" ht="24" customHeight="1">
      <c r="A1810" s="1860">
        <v>2</v>
      </c>
      <c r="B1810" s="1860"/>
      <c r="C1810" s="1860"/>
      <c r="D1810" s="1860"/>
      <c r="E1810" s="1839"/>
      <c r="F1810" s="1841"/>
      <c r="G1810" s="1787"/>
      <c r="H1810" s="1618"/>
      <c r="I1810" s="1617"/>
      <c r="J1810" s="40" t="s">
        <v>84</v>
      </c>
      <c r="K1810" s="91"/>
      <c r="L1810" s="364">
        <f>L1801-L1802</f>
        <v>0</v>
      </c>
      <c r="M1810" s="364">
        <f t="shared" ref="M1810:U1810" si="893">M1801-M1802</f>
        <v>0</v>
      </c>
      <c r="N1810" s="364">
        <v>50</v>
      </c>
      <c r="O1810" s="364">
        <f t="shared" si="893"/>
        <v>0</v>
      </c>
      <c r="P1810" s="364">
        <f t="shared" si="893"/>
        <v>0</v>
      </c>
      <c r="Q1810" s="1475">
        <f t="shared" si="893"/>
        <v>0</v>
      </c>
      <c r="R1810" s="1475">
        <f t="shared" si="893"/>
        <v>0</v>
      </c>
      <c r="S1810" s="1475">
        <f t="shared" si="893"/>
        <v>100000</v>
      </c>
      <c r="T1810" s="1475">
        <f t="shared" si="893"/>
        <v>0</v>
      </c>
      <c r="U1810" s="1475">
        <f t="shared" si="893"/>
        <v>0</v>
      </c>
      <c r="V1810" s="1475">
        <f t="shared" si="877"/>
        <v>100000</v>
      </c>
    </row>
    <row r="1811" spans="1:22" s="45" customFormat="1" ht="24" customHeight="1">
      <c r="A1811" s="1860">
        <v>3</v>
      </c>
      <c r="B1811" s="1860">
        <v>2</v>
      </c>
      <c r="C1811" s="1860">
        <v>4</v>
      </c>
      <c r="D1811" s="1860">
        <v>15</v>
      </c>
      <c r="E1811" s="1839" t="s">
        <v>49</v>
      </c>
      <c r="F1811" s="1841" t="str">
        <f>CONCATENATE(A1811,".",B1811,".",C1811,".",D1811,)</f>
        <v>3.2.4.15</v>
      </c>
      <c r="G1811" s="1664" t="s">
        <v>789</v>
      </c>
      <c r="H1811" s="1601" t="s">
        <v>195</v>
      </c>
      <c r="I1811" s="1614" t="s">
        <v>1056</v>
      </c>
      <c r="J1811" s="36" t="s">
        <v>79</v>
      </c>
      <c r="K1811" s="896"/>
      <c r="L1811" s="383">
        <v>0</v>
      </c>
      <c r="M1811" s="383">
        <v>0</v>
      </c>
      <c r="N1811" s="383">
        <v>0</v>
      </c>
      <c r="O1811" s="383">
        <v>0</v>
      </c>
      <c r="P1811" s="383">
        <v>50</v>
      </c>
      <c r="Q1811" s="1475">
        <f>L1811*H1816</f>
        <v>0</v>
      </c>
      <c r="R1811" s="1475">
        <f>M1811*H1816</f>
        <v>0</v>
      </c>
      <c r="S1811" s="1475">
        <f>N1811*H1816</f>
        <v>0</v>
      </c>
      <c r="T1811" s="1475">
        <f>O1811*H1816</f>
        <v>0</v>
      </c>
      <c r="U1811" s="1475">
        <f>P1811*H1816</f>
        <v>100000</v>
      </c>
      <c r="V1811" s="1475">
        <f t="shared" si="877"/>
        <v>100000</v>
      </c>
    </row>
    <row r="1812" spans="1:22" s="39" customFormat="1" ht="24" customHeight="1">
      <c r="A1812" s="1860">
        <v>2</v>
      </c>
      <c r="B1812" s="1860"/>
      <c r="C1812" s="1860"/>
      <c r="D1812" s="1860"/>
      <c r="E1812" s="1839"/>
      <c r="F1812" s="1841"/>
      <c r="G1812" s="1665"/>
      <c r="H1812" s="1601"/>
      <c r="I1812" s="1615"/>
      <c r="J1812" s="40" t="s">
        <v>80</v>
      </c>
      <c r="K1812" s="91"/>
      <c r="L1812" s="364">
        <f t="shared" ref="L1812" si="894">SUM(L1813:L1819)</f>
        <v>0</v>
      </c>
      <c r="M1812" s="364">
        <f t="shared" ref="M1812:U1812" si="895">SUM(M1813:M1819)</f>
        <v>0</v>
      </c>
      <c r="N1812" s="364">
        <f t="shared" si="895"/>
        <v>0</v>
      </c>
      <c r="O1812" s="364">
        <f t="shared" si="895"/>
        <v>0</v>
      </c>
      <c r="P1812" s="364">
        <f t="shared" si="895"/>
        <v>0</v>
      </c>
      <c r="Q1812" s="1475">
        <f t="shared" si="895"/>
        <v>0</v>
      </c>
      <c r="R1812" s="1475">
        <f t="shared" si="895"/>
        <v>0</v>
      </c>
      <c r="S1812" s="1475">
        <f t="shared" si="895"/>
        <v>0</v>
      </c>
      <c r="T1812" s="1475">
        <f t="shared" si="895"/>
        <v>0</v>
      </c>
      <c r="U1812" s="1475">
        <f t="shared" si="895"/>
        <v>0</v>
      </c>
      <c r="V1812" s="1475">
        <f t="shared" si="877"/>
        <v>0</v>
      </c>
    </row>
    <row r="1813" spans="1:22" s="39" customFormat="1" ht="24" customHeight="1">
      <c r="A1813" s="1860">
        <v>2</v>
      </c>
      <c r="B1813" s="1860"/>
      <c r="C1813" s="1860"/>
      <c r="D1813" s="1860"/>
      <c r="E1813" s="1839"/>
      <c r="F1813" s="1841"/>
      <c r="G1813" s="1665"/>
      <c r="H1813" s="1601"/>
      <c r="I1813" s="1615"/>
      <c r="J1813" s="40" t="s">
        <v>429</v>
      </c>
      <c r="K1813" s="91"/>
      <c r="L1813" s="364">
        <v>0</v>
      </c>
      <c r="M1813" s="364">
        <v>0</v>
      </c>
      <c r="N1813" s="364">
        <v>0</v>
      </c>
      <c r="O1813" s="364">
        <v>0</v>
      </c>
      <c r="P1813" s="364">
        <v>0</v>
      </c>
      <c r="Q1813" s="1475">
        <f>L1813*$H1816</f>
        <v>0</v>
      </c>
      <c r="R1813" s="1475">
        <f>M1813*$H1816</f>
        <v>0</v>
      </c>
      <c r="S1813" s="1475">
        <f>N1813*$H1816</f>
        <v>0</v>
      </c>
      <c r="T1813" s="1475">
        <f>O1813*$H1816</f>
        <v>0</v>
      </c>
      <c r="U1813" s="1475">
        <f>P1813*$H1816</f>
        <v>0</v>
      </c>
      <c r="V1813" s="1475">
        <f t="shared" si="877"/>
        <v>0</v>
      </c>
    </row>
    <row r="1814" spans="1:22" s="39" customFormat="1" ht="24" customHeight="1">
      <c r="A1814" s="1860">
        <v>2</v>
      </c>
      <c r="B1814" s="1860"/>
      <c r="C1814" s="1860"/>
      <c r="D1814" s="1860"/>
      <c r="E1814" s="1839"/>
      <c r="F1814" s="1841"/>
      <c r="G1814" s="1665"/>
      <c r="H1814" s="1601"/>
      <c r="I1814" s="1615"/>
      <c r="J1814" s="40" t="s">
        <v>133</v>
      </c>
      <c r="K1814" s="91"/>
      <c r="L1814" s="364">
        <v>0</v>
      </c>
      <c r="M1814" s="364">
        <v>0</v>
      </c>
      <c r="N1814" s="364">
        <v>0</v>
      </c>
      <c r="O1814" s="364">
        <v>0</v>
      </c>
      <c r="P1814" s="364">
        <v>0</v>
      </c>
      <c r="Q1814" s="1475">
        <f>L1814*$H1816</f>
        <v>0</v>
      </c>
      <c r="R1814" s="1475">
        <f>M1814*$H1816</f>
        <v>0</v>
      </c>
      <c r="S1814" s="1475">
        <f>N1814*$H1816</f>
        <v>0</v>
      </c>
      <c r="T1814" s="1475">
        <f>O1814*$H1816</f>
        <v>0</v>
      </c>
      <c r="U1814" s="1475">
        <f>P1814*$H1816</f>
        <v>0</v>
      </c>
      <c r="V1814" s="1475">
        <f t="shared" si="877"/>
        <v>0</v>
      </c>
    </row>
    <row r="1815" spans="1:22" s="39" customFormat="1" ht="24" customHeight="1">
      <c r="A1815" s="1860">
        <v>2</v>
      </c>
      <c r="B1815" s="1860"/>
      <c r="C1815" s="1860"/>
      <c r="D1815" s="1860"/>
      <c r="E1815" s="1839"/>
      <c r="F1815" s="1841"/>
      <c r="G1815" s="1665"/>
      <c r="H1815" s="1601"/>
      <c r="I1815" s="1615"/>
      <c r="J1815" s="40" t="s">
        <v>81</v>
      </c>
      <c r="K1815" s="91"/>
      <c r="L1815" s="364">
        <v>0</v>
      </c>
      <c r="M1815" s="364">
        <v>0</v>
      </c>
      <c r="N1815" s="364">
        <v>0</v>
      </c>
      <c r="O1815" s="364">
        <v>0</v>
      </c>
      <c r="P1815" s="364">
        <v>0</v>
      </c>
      <c r="Q1815" s="1475">
        <f>L1815*$H1816</f>
        <v>0</v>
      </c>
      <c r="R1815" s="1475">
        <f>M1815*$H1816</f>
        <v>0</v>
      </c>
      <c r="S1815" s="1475">
        <f>N1815*$H1816</f>
        <v>0</v>
      </c>
      <c r="T1815" s="1475">
        <f>O1815*$H1816</f>
        <v>0</v>
      </c>
      <c r="U1815" s="1475">
        <f>P1815*$H1816</f>
        <v>0</v>
      </c>
      <c r="V1815" s="1475">
        <f t="shared" si="877"/>
        <v>0</v>
      </c>
    </row>
    <row r="1816" spans="1:22" s="39" customFormat="1" ht="24" customHeight="1">
      <c r="A1816" s="1860">
        <v>2</v>
      </c>
      <c r="B1816" s="1860"/>
      <c r="C1816" s="1860"/>
      <c r="D1816" s="1860"/>
      <c r="E1816" s="1839"/>
      <c r="F1816" s="1841"/>
      <c r="G1816" s="1665"/>
      <c r="H1816" s="1595">
        <f>'Budget assumption'!C4</f>
        <v>2000</v>
      </c>
      <c r="I1816" s="1615"/>
      <c r="J1816" s="40" t="s">
        <v>134</v>
      </c>
      <c r="K1816" s="91"/>
      <c r="L1816" s="364">
        <v>0</v>
      </c>
      <c r="M1816" s="364">
        <v>0</v>
      </c>
      <c r="N1816" s="364">
        <v>0</v>
      </c>
      <c r="O1816" s="364">
        <v>0</v>
      </c>
      <c r="P1816" s="364">
        <v>0</v>
      </c>
      <c r="Q1816" s="1475">
        <f>L1816*$H1816</f>
        <v>0</v>
      </c>
      <c r="R1816" s="1475">
        <f>M1816*$H1816</f>
        <v>0</v>
      </c>
      <c r="S1816" s="1475">
        <f>N1816*$H1816</f>
        <v>0</v>
      </c>
      <c r="T1816" s="1475">
        <f>O1816*$H1816</f>
        <v>0</v>
      </c>
      <c r="U1816" s="1475">
        <f>P1816*$H1816</f>
        <v>0</v>
      </c>
      <c r="V1816" s="1475">
        <f t="shared" si="877"/>
        <v>0</v>
      </c>
    </row>
    <row r="1817" spans="1:22" s="39" customFormat="1" ht="24" customHeight="1">
      <c r="A1817" s="1860">
        <v>2</v>
      </c>
      <c r="B1817" s="1860"/>
      <c r="C1817" s="1860"/>
      <c r="D1817" s="1860"/>
      <c r="E1817" s="1839"/>
      <c r="F1817" s="1841"/>
      <c r="G1817" s="1665"/>
      <c r="H1817" s="1596"/>
      <c r="I1817" s="1615"/>
      <c r="J1817" s="40" t="s">
        <v>82</v>
      </c>
      <c r="K1817" s="91"/>
      <c r="L1817" s="364">
        <v>0</v>
      </c>
      <c r="M1817" s="364">
        <v>0</v>
      </c>
      <c r="N1817" s="364">
        <v>0</v>
      </c>
      <c r="O1817" s="364">
        <v>0</v>
      </c>
      <c r="P1817" s="364">
        <v>0</v>
      </c>
      <c r="Q1817" s="1475">
        <f>L1817*$H1816</f>
        <v>0</v>
      </c>
      <c r="R1817" s="1475">
        <f>M1817*$H1816</f>
        <v>0</v>
      </c>
      <c r="S1817" s="1475">
        <f>N1817*$H1816</f>
        <v>0</v>
      </c>
      <c r="T1817" s="1475">
        <f>O1817*$H1816</f>
        <v>0</v>
      </c>
      <c r="U1817" s="1475">
        <f>P1817*$H1816</f>
        <v>0</v>
      </c>
      <c r="V1817" s="1475">
        <f t="shared" si="877"/>
        <v>0</v>
      </c>
    </row>
    <row r="1818" spans="1:22" s="39" customFormat="1" ht="24" customHeight="1">
      <c r="A1818" s="1860">
        <v>2</v>
      </c>
      <c r="B1818" s="1860"/>
      <c r="C1818" s="1860"/>
      <c r="D1818" s="1860"/>
      <c r="E1818" s="1839"/>
      <c r="F1818" s="1841"/>
      <c r="G1818" s="1665"/>
      <c r="H1818" s="1596"/>
      <c r="I1818" s="1615"/>
      <c r="J1818" s="40" t="s">
        <v>90</v>
      </c>
      <c r="K1818" s="91"/>
      <c r="L1818" s="364">
        <v>0</v>
      </c>
      <c r="M1818" s="364">
        <v>0</v>
      </c>
      <c r="N1818" s="364">
        <v>0</v>
      </c>
      <c r="O1818" s="364">
        <v>0</v>
      </c>
      <c r="P1818" s="364">
        <v>0</v>
      </c>
      <c r="Q1818" s="1475">
        <f>L1818*$H1816</f>
        <v>0</v>
      </c>
      <c r="R1818" s="1475">
        <f>M1818*$H1816</f>
        <v>0</v>
      </c>
      <c r="S1818" s="1475">
        <f>N1818*$H1816</f>
        <v>0</v>
      </c>
      <c r="T1818" s="1475">
        <f>O1818*$H1816</f>
        <v>0</v>
      </c>
      <c r="U1818" s="1475">
        <f>P1818*$H1816</f>
        <v>0</v>
      </c>
      <c r="V1818" s="1475">
        <f t="shared" si="877"/>
        <v>0</v>
      </c>
    </row>
    <row r="1819" spans="1:22" s="39" customFormat="1" ht="24" customHeight="1">
      <c r="A1819" s="1860">
        <v>2</v>
      </c>
      <c r="B1819" s="1860"/>
      <c r="C1819" s="1860"/>
      <c r="D1819" s="1860"/>
      <c r="E1819" s="1839"/>
      <c r="F1819" s="1841"/>
      <c r="G1819" s="1665"/>
      <c r="H1819" s="1596"/>
      <c r="I1819" s="1615"/>
      <c r="J1819" s="40" t="s">
        <v>83</v>
      </c>
      <c r="K1819" s="91"/>
      <c r="L1819" s="364">
        <v>0</v>
      </c>
      <c r="M1819" s="364">
        <v>0</v>
      </c>
      <c r="N1819" s="364">
        <v>0</v>
      </c>
      <c r="O1819" s="364">
        <v>0</v>
      </c>
      <c r="P1819" s="364">
        <v>0</v>
      </c>
      <c r="Q1819" s="1475">
        <f>L1819*$H1816</f>
        <v>0</v>
      </c>
      <c r="R1819" s="1475">
        <f>M1819*$H1816</f>
        <v>0</v>
      </c>
      <c r="S1819" s="1475">
        <f>N1819*$H1816</f>
        <v>0</v>
      </c>
      <c r="T1819" s="1475">
        <f>O1819*$H1816</f>
        <v>0</v>
      </c>
      <c r="U1819" s="1475">
        <f>P1819*$H1816</f>
        <v>0</v>
      </c>
      <c r="V1819" s="1475">
        <f t="shared" si="877"/>
        <v>0</v>
      </c>
    </row>
    <row r="1820" spans="1:22" s="39" customFormat="1" ht="24" customHeight="1">
      <c r="A1820" s="1860">
        <v>2</v>
      </c>
      <c r="B1820" s="1860"/>
      <c r="C1820" s="1860"/>
      <c r="D1820" s="1860"/>
      <c r="E1820" s="1839"/>
      <c r="F1820" s="1841"/>
      <c r="G1820" s="1666"/>
      <c r="H1820" s="1618"/>
      <c r="I1820" s="1617"/>
      <c r="J1820" s="40" t="s">
        <v>84</v>
      </c>
      <c r="K1820" s="91"/>
      <c r="L1820" s="364">
        <f>L1811-L1812</f>
        <v>0</v>
      </c>
      <c r="M1820" s="364">
        <f t="shared" ref="M1820:U1820" si="896">M1811-M1812</f>
        <v>0</v>
      </c>
      <c r="N1820" s="364">
        <f t="shared" si="896"/>
        <v>0</v>
      </c>
      <c r="O1820" s="364">
        <f t="shared" si="896"/>
        <v>0</v>
      </c>
      <c r="P1820" s="364">
        <f t="shared" si="896"/>
        <v>50</v>
      </c>
      <c r="Q1820" s="1475">
        <f t="shared" si="896"/>
        <v>0</v>
      </c>
      <c r="R1820" s="1475">
        <f t="shared" si="896"/>
        <v>0</v>
      </c>
      <c r="S1820" s="1475">
        <f t="shared" si="896"/>
        <v>0</v>
      </c>
      <c r="T1820" s="1475">
        <f t="shared" si="896"/>
        <v>0</v>
      </c>
      <c r="U1820" s="1475">
        <f t="shared" si="896"/>
        <v>100000</v>
      </c>
      <c r="V1820" s="1475">
        <f t="shared" si="877"/>
        <v>100000</v>
      </c>
    </row>
    <row r="1821" spans="1:22" s="67" customFormat="1" ht="37.35" customHeight="1">
      <c r="A1821" s="75">
        <v>3</v>
      </c>
      <c r="B1821" s="75">
        <v>2</v>
      </c>
      <c r="C1821" s="75">
        <v>5</v>
      </c>
      <c r="D1821" s="75"/>
      <c r="E1821" s="74" t="s">
        <v>13</v>
      </c>
      <c r="F1821" s="71" t="str">
        <f>CONCATENATE(A1821,".",B1821,".",C1821,)</f>
        <v>3.2.5</v>
      </c>
      <c r="G1821" s="1630" t="s">
        <v>332</v>
      </c>
      <c r="H1821" s="1631"/>
      <c r="I1821" s="1631"/>
      <c r="J1821" s="1632"/>
      <c r="K1821" s="66"/>
      <c r="L1821" s="382"/>
      <c r="M1821" s="382"/>
      <c r="N1821" s="382"/>
      <c r="O1821" s="382"/>
      <c r="P1821" s="382"/>
      <c r="Q1821" s="1521">
        <f>Q1823+Q1833</f>
        <v>0</v>
      </c>
      <c r="R1821" s="1521">
        <f t="shared" ref="R1821:U1821" si="897">R1823+R1833</f>
        <v>0</v>
      </c>
      <c r="S1821" s="1521">
        <f t="shared" si="897"/>
        <v>0</v>
      </c>
      <c r="T1821" s="1521">
        <f t="shared" si="897"/>
        <v>0</v>
      </c>
      <c r="U1821" s="1521">
        <f t="shared" si="897"/>
        <v>0</v>
      </c>
      <c r="V1821" s="1521">
        <f t="shared" ref="V1821:V1841" si="898">SUM(Q1821:U1821)</f>
        <v>0</v>
      </c>
    </row>
    <row r="1822" spans="1:22" s="45" customFormat="1" ht="24" customHeight="1">
      <c r="A1822" s="1860">
        <v>3</v>
      </c>
      <c r="B1822" s="1860">
        <v>2</v>
      </c>
      <c r="C1822" s="1860">
        <v>5</v>
      </c>
      <c r="D1822" s="1860">
        <v>1</v>
      </c>
      <c r="E1822" s="1839" t="s">
        <v>49</v>
      </c>
      <c r="F1822" s="1841" t="str">
        <f>CONCATENATE(A1822,".",B1822,".",C1822,".",D1822,)</f>
        <v>3.2.5.1</v>
      </c>
      <c r="G1822" s="1785" t="s">
        <v>224</v>
      </c>
      <c r="H1822" s="1817" t="s">
        <v>195</v>
      </c>
      <c r="I1822" s="1614" t="s">
        <v>1057</v>
      </c>
      <c r="J1822" s="36" t="s">
        <v>79</v>
      </c>
      <c r="K1822" s="896"/>
      <c r="L1822" s="383">
        <v>20</v>
      </c>
      <c r="M1822" s="383">
        <v>20</v>
      </c>
      <c r="N1822" s="383">
        <v>20</v>
      </c>
      <c r="O1822" s="383">
        <v>20</v>
      </c>
      <c r="P1822" s="383">
        <v>20</v>
      </c>
      <c r="Q1822" s="1475">
        <f>L1822*H1827</f>
        <v>40000</v>
      </c>
      <c r="R1822" s="1475">
        <f>M1822*H1827</f>
        <v>40000</v>
      </c>
      <c r="S1822" s="1475">
        <f>N1822*H1827</f>
        <v>40000</v>
      </c>
      <c r="T1822" s="1475">
        <f>O1822*H1827</f>
        <v>40000</v>
      </c>
      <c r="U1822" s="1475">
        <f>P1822*H1827</f>
        <v>40000</v>
      </c>
      <c r="V1822" s="1475">
        <f t="shared" si="898"/>
        <v>200000</v>
      </c>
    </row>
    <row r="1823" spans="1:22" s="39" customFormat="1" ht="24" customHeight="1">
      <c r="A1823" s="1860">
        <v>2</v>
      </c>
      <c r="B1823" s="1860"/>
      <c r="C1823" s="1860"/>
      <c r="D1823" s="1860"/>
      <c r="E1823" s="1839"/>
      <c r="F1823" s="1841"/>
      <c r="G1823" s="1786"/>
      <c r="H1823" s="1817"/>
      <c r="I1823" s="1615"/>
      <c r="J1823" s="40" t="s">
        <v>80</v>
      </c>
      <c r="K1823" s="91"/>
      <c r="L1823" s="364">
        <f t="shared" ref="L1823" si="899">SUM(L1824:L1830)</f>
        <v>0</v>
      </c>
      <c r="M1823" s="364">
        <f t="shared" ref="M1823" si="900">SUM(M1824:M1830)</f>
        <v>0</v>
      </c>
      <c r="N1823" s="364">
        <f t="shared" ref="N1823" si="901">SUM(N1824:N1830)</f>
        <v>0</v>
      </c>
      <c r="O1823" s="364">
        <f t="shared" ref="O1823" si="902">SUM(O1824:O1830)</f>
        <v>0</v>
      </c>
      <c r="P1823" s="364">
        <f t="shared" ref="P1823" si="903">SUM(P1824:P1830)</f>
        <v>0</v>
      </c>
      <c r="Q1823" s="1475">
        <f t="shared" ref="Q1823" si="904">SUM(Q1824:Q1830)</f>
        <v>0</v>
      </c>
      <c r="R1823" s="1475">
        <f t="shared" ref="R1823" si="905">SUM(R1824:R1830)</f>
        <v>0</v>
      </c>
      <c r="S1823" s="1475">
        <f t="shared" ref="S1823" si="906">SUM(S1824:S1830)</f>
        <v>0</v>
      </c>
      <c r="T1823" s="1475">
        <f t="shared" ref="T1823" si="907">SUM(T1824:T1830)</f>
        <v>0</v>
      </c>
      <c r="U1823" s="1475">
        <f t="shared" ref="U1823" si="908">SUM(U1824:U1830)</f>
        <v>0</v>
      </c>
      <c r="V1823" s="1475">
        <f t="shared" si="898"/>
        <v>0</v>
      </c>
    </row>
    <row r="1824" spans="1:22" s="39" customFormat="1" ht="24" customHeight="1">
      <c r="A1824" s="1860">
        <v>2</v>
      </c>
      <c r="B1824" s="1860"/>
      <c r="C1824" s="1860"/>
      <c r="D1824" s="1860"/>
      <c r="E1824" s="1839"/>
      <c r="F1824" s="1841"/>
      <c r="G1824" s="1786"/>
      <c r="H1824" s="1817"/>
      <c r="I1824" s="1615"/>
      <c r="J1824" s="40" t="s">
        <v>429</v>
      </c>
      <c r="K1824" s="91"/>
      <c r="L1824" s="364">
        <v>0</v>
      </c>
      <c r="M1824" s="364">
        <v>0</v>
      </c>
      <c r="N1824" s="364">
        <v>0</v>
      </c>
      <c r="O1824" s="364">
        <v>0</v>
      </c>
      <c r="P1824" s="364">
        <v>0</v>
      </c>
      <c r="Q1824" s="1475">
        <f>L1824*$H1827</f>
        <v>0</v>
      </c>
      <c r="R1824" s="1475">
        <f>M1824*$H1827</f>
        <v>0</v>
      </c>
      <c r="S1824" s="1475">
        <f>N1824*$H1827</f>
        <v>0</v>
      </c>
      <c r="T1824" s="1475">
        <f>O1824*$H1827</f>
        <v>0</v>
      </c>
      <c r="U1824" s="1475">
        <f>P1824*$H1827</f>
        <v>0</v>
      </c>
      <c r="V1824" s="1475">
        <f t="shared" si="898"/>
        <v>0</v>
      </c>
    </row>
    <row r="1825" spans="1:22" s="39" customFormat="1" ht="24" customHeight="1">
      <c r="A1825" s="1860">
        <v>2</v>
      </c>
      <c r="B1825" s="1860"/>
      <c r="C1825" s="1860"/>
      <c r="D1825" s="1860"/>
      <c r="E1825" s="1839"/>
      <c r="F1825" s="1841"/>
      <c r="G1825" s="1786"/>
      <c r="H1825" s="1817"/>
      <c r="I1825" s="1615"/>
      <c r="J1825" s="40" t="s">
        <v>133</v>
      </c>
      <c r="K1825" s="91"/>
      <c r="L1825" s="364">
        <v>0</v>
      </c>
      <c r="M1825" s="364">
        <v>0</v>
      </c>
      <c r="N1825" s="364">
        <v>0</v>
      </c>
      <c r="O1825" s="364">
        <v>0</v>
      </c>
      <c r="P1825" s="364">
        <v>0</v>
      </c>
      <c r="Q1825" s="1475">
        <f>L1825*$H1827</f>
        <v>0</v>
      </c>
      <c r="R1825" s="1475">
        <f>M1825*$H1827</f>
        <v>0</v>
      </c>
      <c r="S1825" s="1475">
        <f>N1825*$H1827</f>
        <v>0</v>
      </c>
      <c r="T1825" s="1475">
        <f>O1825*$H1827</f>
        <v>0</v>
      </c>
      <c r="U1825" s="1475">
        <f>P1825*$H1827</f>
        <v>0</v>
      </c>
      <c r="V1825" s="1475">
        <f t="shared" si="898"/>
        <v>0</v>
      </c>
    </row>
    <row r="1826" spans="1:22" s="39" customFormat="1" ht="24" customHeight="1">
      <c r="A1826" s="1860">
        <v>2</v>
      </c>
      <c r="B1826" s="1860"/>
      <c r="C1826" s="1860"/>
      <c r="D1826" s="1860"/>
      <c r="E1826" s="1839"/>
      <c r="F1826" s="1841"/>
      <c r="G1826" s="1786"/>
      <c r="H1826" s="1817"/>
      <c r="I1826" s="1615"/>
      <c r="J1826" s="40" t="s">
        <v>81</v>
      </c>
      <c r="K1826" s="91"/>
      <c r="L1826" s="364">
        <v>0</v>
      </c>
      <c r="M1826" s="364">
        <v>0</v>
      </c>
      <c r="N1826" s="364">
        <v>0</v>
      </c>
      <c r="O1826" s="364">
        <v>0</v>
      </c>
      <c r="P1826" s="364">
        <v>0</v>
      </c>
      <c r="Q1826" s="1475">
        <f>L1826*$H1827</f>
        <v>0</v>
      </c>
      <c r="R1826" s="1475">
        <f>M1826*$H1827</f>
        <v>0</v>
      </c>
      <c r="S1826" s="1475">
        <f>N1826*$H1827</f>
        <v>0</v>
      </c>
      <c r="T1826" s="1475">
        <f>O1826*$H1827</f>
        <v>0</v>
      </c>
      <c r="U1826" s="1475">
        <f>P1826*$H1827</f>
        <v>0</v>
      </c>
      <c r="V1826" s="1475">
        <f t="shared" si="898"/>
        <v>0</v>
      </c>
    </row>
    <row r="1827" spans="1:22" s="39" customFormat="1" ht="24" customHeight="1">
      <c r="A1827" s="1860">
        <v>2</v>
      </c>
      <c r="B1827" s="1860"/>
      <c r="C1827" s="1860"/>
      <c r="D1827" s="1860"/>
      <c r="E1827" s="1839"/>
      <c r="F1827" s="1841"/>
      <c r="G1827" s="1786"/>
      <c r="H1827" s="1595">
        <f>'Budget assumption'!$C$4</f>
        <v>2000</v>
      </c>
      <c r="I1827" s="1615"/>
      <c r="J1827" s="40" t="s">
        <v>134</v>
      </c>
      <c r="K1827" s="91"/>
      <c r="L1827" s="364">
        <v>0</v>
      </c>
      <c r="M1827" s="364">
        <v>0</v>
      </c>
      <c r="N1827" s="364">
        <v>0</v>
      </c>
      <c r="O1827" s="364">
        <v>0</v>
      </c>
      <c r="P1827" s="364">
        <v>0</v>
      </c>
      <c r="Q1827" s="1475">
        <f>L1827*$H1827</f>
        <v>0</v>
      </c>
      <c r="R1827" s="1475">
        <f>M1827*$H1827</f>
        <v>0</v>
      </c>
      <c r="S1827" s="1475">
        <f>N1827*$H1827</f>
        <v>0</v>
      </c>
      <c r="T1827" s="1475">
        <f>O1827*$H1827</f>
        <v>0</v>
      </c>
      <c r="U1827" s="1475">
        <f>P1827*$H1827</f>
        <v>0</v>
      </c>
      <c r="V1827" s="1475">
        <f t="shared" si="898"/>
        <v>0</v>
      </c>
    </row>
    <row r="1828" spans="1:22" s="39" customFormat="1" ht="24" customHeight="1">
      <c r="A1828" s="1860">
        <v>2</v>
      </c>
      <c r="B1828" s="1860"/>
      <c r="C1828" s="1860"/>
      <c r="D1828" s="1860"/>
      <c r="E1828" s="1839"/>
      <c r="F1828" s="1841"/>
      <c r="G1828" s="1786"/>
      <c r="H1828" s="1596"/>
      <c r="I1828" s="1615"/>
      <c r="J1828" s="40" t="s">
        <v>82</v>
      </c>
      <c r="K1828" s="91"/>
      <c r="L1828" s="364">
        <v>0</v>
      </c>
      <c r="M1828" s="364">
        <v>0</v>
      </c>
      <c r="N1828" s="364">
        <v>0</v>
      </c>
      <c r="O1828" s="364">
        <v>0</v>
      </c>
      <c r="P1828" s="364">
        <v>0</v>
      </c>
      <c r="Q1828" s="1475">
        <f>L1828*$H1827</f>
        <v>0</v>
      </c>
      <c r="R1828" s="1475">
        <f>M1828*$H1827</f>
        <v>0</v>
      </c>
      <c r="S1828" s="1475">
        <f>N1828*$H1827</f>
        <v>0</v>
      </c>
      <c r="T1828" s="1475">
        <f>O1828*$H1827</f>
        <v>0</v>
      </c>
      <c r="U1828" s="1475">
        <f>P1828*$H1827</f>
        <v>0</v>
      </c>
      <c r="V1828" s="1475">
        <f t="shared" si="898"/>
        <v>0</v>
      </c>
    </row>
    <row r="1829" spans="1:22" s="39" customFormat="1" ht="24" customHeight="1">
      <c r="A1829" s="1860">
        <v>2</v>
      </c>
      <c r="B1829" s="1860"/>
      <c r="C1829" s="1860"/>
      <c r="D1829" s="1860"/>
      <c r="E1829" s="1839"/>
      <c r="F1829" s="1841"/>
      <c r="G1829" s="1786"/>
      <c r="H1829" s="1596"/>
      <c r="I1829" s="1615"/>
      <c r="J1829" s="40" t="s">
        <v>90</v>
      </c>
      <c r="K1829" s="91"/>
      <c r="L1829" s="364">
        <v>0</v>
      </c>
      <c r="M1829" s="364">
        <v>0</v>
      </c>
      <c r="N1829" s="364">
        <v>0</v>
      </c>
      <c r="O1829" s="364">
        <v>0</v>
      </c>
      <c r="P1829" s="364">
        <v>0</v>
      </c>
      <c r="Q1829" s="1475">
        <f>L1829*$H1827</f>
        <v>0</v>
      </c>
      <c r="R1829" s="1475">
        <f>M1829*$H1827</f>
        <v>0</v>
      </c>
      <c r="S1829" s="1475">
        <f>N1829*$H1827</f>
        <v>0</v>
      </c>
      <c r="T1829" s="1475">
        <f>O1829*$H1827</f>
        <v>0</v>
      </c>
      <c r="U1829" s="1475">
        <f>P1829*$H1827</f>
        <v>0</v>
      </c>
      <c r="V1829" s="1475">
        <f t="shared" si="898"/>
        <v>0</v>
      </c>
    </row>
    <row r="1830" spans="1:22" s="39" customFormat="1" ht="24" customHeight="1">
      <c r="A1830" s="1860">
        <v>2</v>
      </c>
      <c r="B1830" s="1860"/>
      <c r="C1830" s="1860"/>
      <c r="D1830" s="1860"/>
      <c r="E1830" s="1839"/>
      <c r="F1830" s="1841"/>
      <c r="G1830" s="1786"/>
      <c r="H1830" s="1596"/>
      <c r="I1830" s="1615"/>
      <c r="J1830" s="40" t="s">
        <v>83</v>
      </c>
      <c r="K1830" s="91"/>
      <c r="L1830" s="364">
        <v>0</v>
      </c>
      <c r="M1830" s="364">
        <v>0</v>
      </c>
      <c r="N1830" s="364">
        <v>0</v>
      </c>
      <c r="O1830" s="364">
        <v>0</v>
      </c>
      <c r="P1830" s="364">
        <v>0</v>
      </c>
      <c r="Q1830" s="1475">
        <f>L1830*$H1827</f>
        <v>0</v>
      </c>
      <c r="R1830" s="1475">
        <f>M1830*$H1827</f>
        <v>0</v>
      </c>
      <c r="S1830" s="1475">
        <f>N1830*$H1827</f>
        <v>0</v>
      </c>
      <c r="T1830" s="1475">
        <f>O1830*$H1827</f>
        <v>0</v>
      </c>
      <c r="U1830" s="1475">
        <f>P1830*$H1827</f>
        <v>0</v>
      </c>
      <c r="V1830" s="1475">
        <f t="shared" si="898"/>
        <v>0</v>
      </c>
    </row>
    <row r="1831" spans="1:22" s="39" customFormat="1" ht="24" customHeight="1">
      <c r="A1831" s="1860">
        <v>2</v>
      </c>
      <c r="B1831" s="1860"/>
      <c r="C1831" s="1860"/>
      <c r="D1831" s="1860"/>
      <c r="E1831" s="1839"/>
      <c r="F1831" s="1841"/>
      <c r="G1831" s="1787"/>
      <c r="H1831" s="1618"/>
      <c r="I1831" s="1617"/>
      <c r="J1831" s="40" t="s">
        <v>84</v>
      </c>
      <c r="K1831" s="91"/>
      <c r="L1831" s="364">
        <f>L1822-L1823</f>
        <v>20</v>
      </c>
      <c r="M1831" s="364">
        <f t="shared" ref="M1831:U1831" si="909">M1822-M1823</f>
        <v>20</v>
      </c>
      <c r="N1831" s="364">
        <f t="shared" si="909"/>
        <v>20</v>
      </c>
      <c r="O1831" s="364">
        <f t="shared" si="909"/>
        <v>20</v>
      </c>
      <c r="P1831" s="364">
        <f t="shared" si="909"/>
        <v>20</v>
      </c>
      <c r="Q1831" s="1475">
        <f t="shared" si="909"/>
        <v>40000</v>
      </c>
      <c r="R1831" s="1475">
        <f t="shared" si="909"/>
        <v>40000</v>
      </c>
      <c r="S1831" s="1475">
        <f t="shared" si="909"/>
        <v>40000</v>
      </c>
      <c r="T1831" s="1475">
        <f t="shared" si="909"/>
        <v>40000</v>
      </c>
      <c r="U1831" s="1475">
        <f t="shared" si="909"/>
        <v>40000</v>
      </c>
      <c r="V1831" s="1475">
        <f t="shared" si="898"/>
        <v>200000</v>
      </c>
    </row>
    <row r="1832" spans="1:22" s="45" customFormat="1" ht="24" customHeight="1">
      <c r="A1832" s="1860">
        <v>3</v>
      </c>
      <c r="B1832" s="1860">
        <v>2</v>
      </c>
      <c r="C1832" s="1860">
        <v>5</v>
      </c>
      <c r="D1832" s="1860">
        <v>2</v>
      </c>
      <c r="E1832" s="1839" t="s">
        <v>49</v>
      </c>
      <c r="F1832" s="1841" t="str">
        <f>CONCATENATE(A1832,".",B1832,".",C1832,".",D1832,)</f>
        <v>3.2.5.2</v>
      </c>
      <c r="G1832" s="1785" t="s">
        <v>225</v>
      </c>
      <c r="H1832" s="1601" t="s">
        <v>220</v>
      </c>
      <c r="I1832" s="1614" t="s">
        <v>426</v>
      </c>
      <c r="J1832" s="36" t="s">
        <v>79</v>
      </c>
      <c r="K1832" s="896"/>
      <c r="L1832" s="364">
        <v>40</v>
      </c>
      <c r="M1832" s="364">
        <v>40</v>
      </c>
      <c r="N1832" s="364">
        <v>40</v>
      </c>
      <c r="O1832" s="364">
        <v>40</v>
      </c>
      <c r="P1832" s="364">
        <v>40</v>
      </c>
      <c r="Q1832" s="1475">
        <f>L1832*H1837</f>
        <v>80000</v>
      </c>
      <c r="R1832" s="1475">
        <f>M1832*H1837</f>
        <v>80000</v>
      </c>
      <c r="S1832" s="1475">
        <f>N1832*H1837</f>
        <v>80000</v>
      </c>
      <c r="T1832" s="1475">
        <f>O1832*H1837</f>
        <v>80000</v>
      </c>
      <c r="U1832" s="1475">
        <f>P1832*H1837</f>
        <v>80000</v>
      </c>
      <c r="V1832" s="1475">
        <f t="shared" si="898"/>
        <v>400000</v>
      </c>
    </row>
    <row r="1833" spans="1:22" s="39" customFormat="1" ht="24" customHeight="1">
      <c r="A1833" s="1860">
        <v>2</v>
      </c>
      <c r="B1833" s="1860"/>
      <c r="C1833" s="1860"/>
      <c r="D1833" s="1860"/>
      <c r="E1833" s="1839"/>
      <c r="F1833" s="1841"/>
      <c r="G1833" s="1786"/>
      <c r="H1833" s="1601"/>
      <c r="I1833" s="1615"/>
      <c r="J1833" s="40" t="s">
        <v>80</v>
      </c>
      <c r="K1833" s="91"/>
      <c r="L1833" s="364">
        <f t="shared" ref="L1833" si="910">SUM(L1834:L1840)</f>
        <v>0</v>
      </c>
      <c r="M1833" s="364">
        <f t="shared" ref="M1833" si="911">SUM(M1834:M1840)</f>
        <v>0</v>
      </c>
      <c r="N1833" s="364">
        <f t="shared" ref="N1833" si="912">SUM(N1834:N1840)</f>
        <v>0</v>
      </c>
      <c r="O1833" s="364">
        <f t="shared" ref="O1833" si="913">SUM(O1834:O1840)</f>
        <v>0</v>
      </c>
      <c r="P1833" s="364">
        <f t="shared" ref="P1833" si="914">SUM(P1834:P1840)</f>
        <v>0</v>
      </c>
      <c r="Q1833" s="1475">
        <f t="shared" ref="Q1833" si="915">SUM(Q1834:Q1840)</f>
        <v>0</v>
      </c>
      <c r="R1833" s="1475">
        <f t="shared" ref="R1833" si="916">SUM(R1834:R1840)</f>
        <v>0</v>
      </c>
      <c r="S1833" s="1475">
        <f t="shared" ref="S1833" si="917">SUM(S1834:S1840)</f>
        <v>0</v>
      </c>
      <c r="T1833" s="1475">
        <f t="shared" ref="T1833" si="918">SUM(T1834:T1840)</f>
        <v>0</v>
      </c>
      <c r="U1833" s="1475">
        <f t="shared" ref="U1833" si="919">SUM(U1834:U1840)</f>
        <v>0</v>
      </c>
      <c r="V1833" s="1475">
        <f t="shared" si="898"/>
        <v>0</v>
      </c>
    </row>
    <row r="1834" spans="1:22" s="39" customFormat="1" ht="24" customHeight="1">
      <c r="A1834" s="1860">
        <v>2</v>
      </c>
      <c r="B1834" s="1860"/>
      <c r="C1834" s="1860"/>
      <c r="D1834" s="1860"/>
      <c r="E1834" s="1839"/>
      <c r="F1834" s="1841"/>
      <c r="G1834" s="1786"/>
      <c r="H1834" s="1601"/>
      <c r="I1834" s="1615"/>
      <c r="J1834" s="40" t="s">
        <v>429</v>
      </c>
      <c r="K1834" s="91"/>
      <c r="L1834" s="364">
        <v>0</v>
      </c>
      <c r="M1834" s="364">
        <v>0</v>
      </c>
      <c r="N1834" s="364">
        <v>0</v>
      </c>
      <c r="O1834" s="364">
        <v>0</v>
      </c>
      <c r="P1834" s="364">
        <v>0</v>
      </c>
      <c r="Q1834" s="1475">
        <f>L1834*$H1837</f>
        <v>0</v>
      </c>
      <c r="R1834" s="1475">
        <f>M1834*$H1837</f>
        <v>0</v>
      </c>
      <c r="S1834" s="1475">
        <f>N1834*$H1837</f>
        <v>0</v>
      </c>
      <c r="T1834" s="1475">
        <f>O1834*$H1837</f>
        <v>0</v>
      </c>
      <c r="U1834" s="1475">
        <f>P1834*$H1837</f>
        <v>0</v>
      </c>
      <c r="V1834" s="1475">
        <f t="shared" si="898"/>
        <v>0</v>
      </c>
    </row>
    <row r="1835" spans="1:22" s="39" customFormat="1" ht="24" customHeight="1">
      <c r="A1835" s="1860">
        <v>2</v>
      </c>
      <c r="B1835" s="1860"/>
      <c r="C1835" s="1860"/>
      <c r="D1835" s="1860"/>
      <c r="E1835" s="1839"/>
      <c r="F1835" s="1841"/>
      <c r="G1835" s="1786"/>
      <c r="H1835" s="1601"/>
      <c r="I1835" s="1615"/>
      <c r="J1835" s="40" t="s">
        <v>133</v>
      </c>
      <c r="K1835" s="91"/>
      <c r="L1835" s="364">
        <v>0</v>
      </c>
      <c r="M1835" s="364">
        <v>0</v>
      </c>
      <c r="N1835" s="364">
        <v>0</v>
      </c>
      <c r="O1835" s="364">
        <v>0</v>
      </c>
      <c r="P1835" s="364">
        <v>0</v>
      </c>
      <c r="Q1835" s="1475">
        <f>L1835*$H1837</f>
        <v>0</v>
      </c>
      <c r="R1835" s="1475">
        <f>M1835*$H1837</f>
        <v>0</v>
      </c>
      <c r="S1835" s="1475">
        <f>N1835*$H1837</f>
        <v>0</v>
      </c>
      <c r="T1835" s="1475">
        <f>O1835*$H1837</f>
        <v>0</v>
      </c>
      <c r="U1835" s="1475">
        <f>P1835*$H1837</f>
        <v>0</v>
      </c>
      <c r="V1835" s="1475">
        <f t="shared" si="898"/>
        <v>0</v>
      </c>
    </row>
    <row r="1836" spans="1:22" s="39" customFormat="1" ht="24" customHeight="1">
      <c r="A1836" s="1860">
        <v>2</v>
      </c>
      <c r="B1836" s="1860"/>
      <c r="C1836" s="1860"/>
      <c r="D1836" s="1860"/>
      <c r="E1836" s="1839"/>
      <c r="F1836" s="1841"/>
      <c r="G1836" s="1786"/>
      <c r="H1836" s="1601"/>
      <c r="I1836" s="1615"/>
      <c r="J1836" s="40" t="s">
        <v>81</v>
      </c>
      <c r="K1836" s="91"/>
      <c r="L1836" s="364">
        <v>0</v>
      </c>
      <c r="M1836" s="364">
        <v>0</v>
      </c>
      <c r="N1836" s="364">
        <v>0</v>
      </c>
      <c r="O1836" s="364">
        <v>0</v>
      </c>
      <c r="P1836" s="364">
        <v>0</v>
      </c>
      <c r="Q1836" s="1475">
        <f>L1836*$H1837</f>
        <v>0</v>
      </c>
      <c r="R1836" s="1475">
        <f>M1836*$H1837</f>
        <v>0</v>
      </c>
      <c r="S1836" s="1475">
        <f>N1836*$H1837</f>
        <v>0</v>
      </c>
      <c r="T1836" s="1475">
        <f>O1836*$H1837</f>
        <v>0</v>
      </c>
      <c r="U1836" s="1475">
        <f>P1836*$H1837</f>
        <v>0</v>
      </c>
      <c r="V1836" s="1475">
        <f t="shared" si="898"/>
        <v>0</v>
      </c>
    </row>
    <row r="1837" spans="1:22" s="39" customFormat="1" ht="24" customHeight="1">
      <c r="A1837" s="1860">
        <v>2</v>
      </c>
      <c r="B1837" s="1860"/>
      <c r="C1837" s="1860"/>
      <c r="D1837" s="1860"/>
      <c r="E1837" s="1839"/>
      <c r="F1837" s="1841"/>
      <c r="G1837" s="1786"/>
      <c r="H1837" s="1595">
        <f>'Budget assumption'!C4</f>
        <v>2000</v>
      </c>
      <c r="I1837" s="1615"/>
      <c r="J1837" s="40" t="s">
        <v>134</v>
      </c>
      <c r="K1837" s="91"/>
      <c r="L1837" s="364">
        <f>L1828*30%</f>
        <v>0</v>
      </c>
      <c r="M1837" s="364">
        <f>M1828*30%</f>
        <v>0</v>
      </c>
      <c r="N1837" s="364">
        <f>N1828*30%</f>
        <v>0</v>
      </c>
      <c r="O1837" s="364">
        <f>O1828*30%</f>
        <v>0</v>
      </c>
      <c r="P1837" s="364">
        <f>P1828*30%</f>
        <v>0</v>
      </c>
      <c r="Q1837" s="1475">
        <f>L1837*$H1837</f>
        <v>0</v>
      </c>
      <c r="R1837" s="1475">
        <f>M1837*$H1837</f>
        <v>0</v>
      </c>
      <c r="S1837" s="1475">
        <f>N1837*$H1837</f>
        <v>0</v>
      </c>
      <c r="T1837" s="1475">
        <f>O1837*$H1837</f>
        <v>0</v>
      </c>
      <c r="U1837" s="1475">
        <f>P1837*$H1837</f>
        <v>0</v>
      </c>
      <c r="V1837" s="1475">
        <f t="shared" si="898"/>
        <v>0</v>
      </c>
    </row>
    <row r="1838" spans="1:22" s="39" customFormat="1" ht="24" customHeight="1">
      <c r="A1838" s="1860">
        <v>2</v>
      </c>
      <c r="B1838" s="1860"/>
      <c r="C1838" s="1860"/>
      <c r="D1838" s="1860"/>
      <c r="E1838" s="1839"/>
      <c r="F1838" s="1841"/>
      <c r="G1838" s="1786"/>
      <c r="H1838" s="1596"/>
      <c r="I1838" s="1615"/>
      <c r="J1838" s="40" t="s">
        <v>82</v>
      </c>
      <c r="K1838" s="91"/>
      <c r="L1838" s="364">
        <v>0</v>
      </c>
      <c r="M1838" s="364">
        <v>0</v>
      </c>
      <c r="N1838" s="364">
        <v>0</v>
      </c>
      <c r="O1838" s="364">
        <v>0</v>
      </c>
      <c r="P1838" s="364">
        <v>0</v>
      </c>
      <c r="Q1838" s="1475">
        <f>L1838*$H1837</f>
        <v>0</v>
      </c>
      <c r="R1838" s="1475">
        <f>M1838*$H1837</f>
        <v>0</v>
      </c>
      <c r="S1838" s="1475">
        <f>N1838*$H1837</f>
        <v>0</v>
      </c>
      <c r="T1838" s="1475">
        <f>O1838*$H1837</f>
        <v>0</v>
      </c>
      <c r="U1838" s="1475">
        <f>P1838*$H1837</f>
        <v>0</v>
      </c>
      <c r="V1838" s="1475">
        <f t="shared" si="898"/>
        <v>0</v>
      </c>
    </row>
    <row r="1839" spans="1:22" s="39" customFormat="1" ht="24" customHeight="1">
      <c r="A1839" s="1860">
        <v>2</v>
      </c>
      <c r="B1839" s="1860"/>
      <c r="C1839" s="1860"/>
      <c r="D1839" s="1860"/>
      <c r="E1839" s="1839"/>
      <c r="F1839" s="1841"/>
      <c r="G1839" s="1786"/>
      <c r="H1839" s="1596"/>
      <c r="I1839" s="1615"/>
      <c r="J1839" s="40" t="s">
        <v>90</v>
      </c>
      <c r="K1839" s="91"/>
      <c r="L1839" s="364">
        <v>0</v>
      </c>
      <c r="M1839" s="364">
        <v>0</v>
      </c>
      <c r="N1839" s="364">
        <v>0</v>
      </c>
      <c r="O1839" s="364">
        <v>0</v>
      </c>
      <c r="P1839" s="364">
        <v>0</v>
      </c>
      <c r="Q1839" s="1475">
        <f>L1839*$H1837</f>
        <v>0</v>
      </c>
      <c r="R1839" s="1475">
        <f>M1839*$H1837</f>
        <v>0</v>
      </c>
      <c r="S1839" s="1475">
        <f>N1839*$H1837</f>
        <v>0</v>
      </c>
      <c r="T1839" s="1475">
        <f>O1839*$H1837</f>
        <v>0</v>
      </c>
      <c r="U1839" s="1475">
        <f>P1839*$H1837</f>
        <v>0</v>
      </c>
      <c r="V1839" s="1475">
        <f t="shared" si="898"/>
        <v>0</v>
      </c>
    </row>
    <row r="1840" spans="1:22" s="39" customFormat="1" ht="24" customHeight="1">
      <c r="A1840" s="1860">
        <v>2</v>
      </c>
      <c r="B1840" s="1860"/>
      <c r="C1840" s="1860"/>
      <c r="D1840" s="1860"/>
      <c r="E1840" s="1839"/>
      <c r="F1840" s="1841"/>
      <c r="G1840" s="1786"/>
      <c r="H1840" s="1596"/>
      <c r="I1840" s="1615"/>
      <c r="J1840" s="40" t="s">
        <v>83</v>
      </c>
      <c r="K1840" s="91"/>
      <c r="L1840" s="364">
        <v>0</v>
      </c>
      <c r="M1840" s="364">
        <v>0</v>
      </c>
      <c r="N1840" s="364">
        <v>0</v>
      </c>
      <c r="O1840" s="364">
        <v>0</v>
      </c>
      <c r="P1840" s="364">
        <v>0</v>
      </c>
      <c r="Q1840" s="1475">
        <f>L1840*$H1837</f>
        <v>0</v>
      </c>
      <c r="R1840" s="1475">
        <f>M1840*$H1837</f>
        <v>0</v>
      </c>
      <c r="S1840" s="1475">
        <f>N1840*$H1837</f>
        <v>0</v>
      </c>
      <c r="T1840" s="1475">
        <f>O1840*$H1837</f>
        <v>0</v>
      </c>
      <c r="U1840" s="1475">
        <f>P1840*$H1837</f>
        <v>0</v>
      </c>
      <c r="V1840" s="1475">
        <f t="shared" si="898"/>
        <v>0</v>
      </c>
    </row>
    <row r="1841" spans="1:22" s="39" customFormat="1" ht="24" customHeight="1">
      <c r="A1841" s="1860">
        <v>2</v>
      </c>
      <c r="B1841" s="1860"/>
      <c r="C1841" s="1860"/>
      <c r="D1841" s="1860"/>
      <c r="E1841" s="1839"/>
      <c r="F1841" s="1841"/>
      <c r="G1841" s="1787"/>
      <c r="H1841" s="1618"/>
      <c r="I1841" s="1617"/>
      <c r="J1841" s="40" t="s">
        <v>84</v>
      </c>
      <c r="K1841" s="91"/>
      <c r="L1841" s="364">
        <f>L1832-L1833</f>
        <v>40</v>
      </c>
      <c r="M1841" s="364">
        <f t="shared" ref="M1841:U1841" si="920">M1832-M1833</f>
        <v>40</v>
      </c>
      <c r="N1841" s="364">
        <f t="shared" si="920"/>
        <v>40</v>
      </c>
      <c r="O1841" s="364">
        <f t="shared" si="920"/>
        <v>40</v>
      </c>
      <c r="P1841" s="364">
        <f t="shared" si="920"/>
        <v>40</v>
      </c>
      <c r="Q1841" s="1475">
        <f t="shared" si="920"/>
        <v>80000</v>
      </c>
      <c r="R1841" s="1475">
        <f t="shared" si="920"/>
        <v>80000</v>
      </c>
      <c r="S1841" s="1475">
        <f t="shared" si="920"/>
        <v>80000</v>
      </c>
      <c r="T1841" s="1475">
        <f t="shared" si="920"/>
        <v>80000</v>
      </c>
      <c r="U1841" s="1475">
        <f t="shared" si="920"/>
        <v>80000</v>
      </c>
      <c r="V1841" s="1475">
        <f t="shared" si="898"/>
        <v>400000</v>
      </c>
    </row>
    <row r="1842" spans="1:22" s="55" customFormat="1" ht="41.25" customHeight="1">
      <c r="A1842" s="75">
        <v>3</v>
      </c>
      <c r="B1842" s="75">
        <v>3</v>
      </c>
      <c r="C1842" s="75"/>
      <c r="D1842" s="75"/>
      <c r="E1842" s="74" t="s">
        <v>137</v>
      </c>
      <c r="F1842" s="915" t="str">
        <f>CONCATENATE(A1842,".",B1842)</f>
        <v>3.3</v>
      </c>
      <c r="G1842" s="1573" t="s">
        <v>333</v>
      </c>
      <c r="H1842" s="1574"/>
      <c r="I1842" s="1574"/>
      <c r="J1842" s="1575"/>
      <c r="K1842" s="915"/>
      <c r="L1842" s="916"/>
      <c r="M1842" s="916"/>
      <c r="N1842" s="916"/>
      <c r="O1842" s="916"/>
      <c r="P1842" s="916"/>
      <c r="Q1842" s="1514">
        <f ca="1">Q1843+Q1914+Q1955+Q1986</f>
        <v>946650.10999999987</v>
      </c>
      <c r="R1842" s="1514">
        <f ca="1">R1843+R1914+R1955+R1986</f>
        <v>988061.52200000011</v>
      </c>
      <c r="S1842" s="1514">
        <f ca="1">S1843+S1914+S1955+S1986</f>
        <v>2036349.8990000002</v>
      </c>
      <c r="T1842" s="1514">
        <f ca="1">T1843+T1914+T1955+T1986</f>
        <v>393878.82200000004</v>
      </c>
      <c r="U1842" s="1514">
        <f ca="1">U1843+U1914+U1955+U1986</f>
        <v>426529.658</v>
      </c>
      <c r="V1842" s="1514">
        <f t="shared" ref="V1842" ca="1" si="921">SUM(Q1842:U1842)</f>
        <v>4791470.0109999999</v>
      </c>
    </row>
    <row r="1843" spans="1:22" s="63" customFormat="1" ht="33" customHeight="1">
      <c r="A1843" s="75">
        <v>3</v>
      </c>
      <c r="B1843" s="75">
        <v>3</v>
      </c>
      <c r="C1843" s="75">
        <v>1</v>
      </c>
      <c r="D1843" s="75"/>
      <c r="E1843" s="74" t="s">
        <v>135</v>
      </c>
      <c r="F1843" s="71" t="str">
        <f>CONCATENATE(A1843,".",B1843,".",C1843,)</f>
        <v>3.3.1</v>
      </c>
      <c r="G1843" s="1630" t="s">
        <v>334</v>
      </c>
      <c r="H1843" s="1631"/>
      <c r="I1843" s="1631"/>
      <c r="J1843" s="1632"/>
      <c r="K1843" s="66"/>
      <c r="L1843" s="382"/>
      <c r="M1843" s="382"/>
      <c r="N1843" s="382"/>
      <c r="O1843" s="382"/>
      <c r="P1843" s="382"/>
      <c r="Q1843" s="1499">
        <f ca="1">Q1845+Q1855+Q1865+Q1875+Q1885+Q1895+Q1905</f>
        <v>469881.43599999999</v>
      </c>
      <c r="R1843" s="1499">
        <f t="shared" ref="R1843:V1843" ca="1" si="922">R1845+R1855+R1865+R1875+R1885+R1895+R1905</f>
        <v>692865</v>
      </c>
      <c r="S1843" s="1499">
        <f t="shared" ca="1" si="922"/>
        <v>1682981.436</v>
      </c>
      <c r="T1843" s="1499">
        <f t="shared" ca="1" si="922"/>
        <v>290865</v>
      </c>
      <c r="U1843" s="1499">
        <f t="shared" ca="1" si="922"/>
        <v>317181.43599999999</v>
      </c>
      <c r="V1843" s="1499">
        <f t="shared" ca="1" si="922"/>
        <v>3453774.3080000002</v>
      </c>
    </row>
    <row r="1844" spans="1:22" s="45" customFormat="1" ht="24" customHeight="1">
      <c r="A1844" s="1860">
        <v>3</v>
      </c>
      <c r="B1844" s="1860">
        <v>3</v>
      </c>
      <c r="C1844" s="1860">
        <v>1</v>
      </c>
      <c r="D1844" s="1954">
        <v>1</v>
      </c>
      <c r="E1844" s="1962" t="s">
        <v>136</v>
      </c>
      <c r="F1844" s="1890" t="str">
        <f>CONCATENATE(A1844,".",B1844,".",C1844,".",D1844,)</f>
        <v>3.3.1.1</v>
      </c>
      <c r="G1844" s="1903" t="s">
        <v>1188</v>
      </c>
      <c r="H1844" s="1808" t="s">
        <v>1016</v>
      </c>
      <c r="I1844" s="1764" t="s">
        <v>1017</v>
      </c>
      <c r="J1844" s="36" t="s">
        <v>79</v>
      </c>
      <c r="K1844" s="919"/>
      <c r="L1844" s="919">
        <v>1</v>
      </c>
      <c r="M1844" s="919">
        <v>0</v>
      </c>
      <c r="N1844" s="919">
        <v>0</v>
      </c>
      <c r="O1844" s="919">
        <v>0</v>
      </c>
      <c r="P1844" s="919">
        <v>0</v>
      </c>
      <c r="Q1844" s="1475">
        <f>L1844*H1849</f>
        <v>42800</v>
      </c>
      <c r="R1844" s="1475">
        <f>M1844*H1849</f>
        <v>0</v>
      </c>
      <c r="S1844" s="1475">
        <f>N1844*H1849</f>
        <v>0</v>
      </c>
      <c r="T1844" s="1475">
        <f>O1844*H1849</f>
        <v>0</v>
      </c>
      <c r="U1844" s="1475">
        <f>P1844*H1849</f>
        <v>0</v>
      </c>
      <c r="V1844" s="1475">
        <f>SUM(Q1844:U1844)</f>
        <v>42800</v>
      </c>
    </row>
    <row r="1845" spans="1:22" s="39" customFormat="1" ht="24" customHeight="1">
      <c r="A1845" s="1860">
        <v>3</v>
      </c>
      <c r="B1845" s="1860"/>
      <c r="C1845" s="1860"/>
      <c r="D1845" s="1954"/>
      <c r="E1845" s="1962"/>
      <c r="F1845" s="1753"/>
      <c r="G1845" s="1625"/>
      <c r="H1845" s="1627"/>
      <c r="I1845" s="1765"/>
      <c r="J1845" s="40" t="s">
        <v>80</v>
      </c>
      <c r="K1845" s="91"/>
      <c r="L1845" s="41">
        <f t="shared" ref="L1845:U1845" si="923">SUM(L1846:L1852)</f>
        <v>1</v>
      </c>
      <c r="M1845" s="41">
        <f t="shared" si="923"/>
        <v>0</v>
      </c>
      <c r="N1845" s="41">
        <f t="shared" si="923"/>
        <v>0</v>
      </c>
      <c r="O1845" s="41">
        <f t="shared" si="923"/>
        <v>0</v>
      </c>
      <c r="P1845" s="41">
        <f t="shared" si="923"/>
        <v>0</v>
      </c>
      <c r="Q1845" s="1475">
        <f t="shared" si="923"/>
        <v>42800</v>
      </c>
      <c r="R1845" s="1475">
        <f t="shared" si="923"/>
        <v>0</v>
      </c>
      <c r="S1845" s="1475">
        <f t="shared" si="923"/>
        <v>0</v>
      </c>
      <c r="T1845" s="1475">
        <f t="shared" si="923"/>
        <v>0</v>
      </c>
      <c r="U1845" s="1475">
        <f t="shared" si="923"/>
        <v>0</v>
      </c>
      <c r="V1845" s="1475">
        <f t="shared" ref="V1845:V1853" si="924">SUM(Q1845:U1845)</f>
        <v>42800</v>
      </c>
    </row>
    <row r="1846" spans="1:22" s="39" customFormat="1" ht="24" customHeight="1">
      <c r="A1846" s="1860">
        <v>3</v>
      </c>
      <c r="B1846" s="1860"/>
      <c r="C1846" s="1860"/>
      <c r="D1846" s="1954"/>
      <c r="E1846" s="1962"/>
      <c r="F1846" s="1753"/>
      <c r="G1846" s="1625"/>
      <c r="H1846" s="1627"/>
      <c r="I1846" s="1765"/>
      <c r="J1846" s="40" t="s">
        <v>429</v>
      </c>
      <c r="K1846" s="91"/>
      <c r="L1846" s="41">
        <v>0</v>
      </c>
      <c r="M1846" s="41">
        <v>0</v>
      </c>
      <c r="N1846" s="41">
        <v>0</v>
      </c>
      <c r="O1846" s="41">
        <v>0</v>
      </c>
      <c r="P1846" s="41">
        <v>0</v>
      </c>
      <c r="Q1846" s="1475">
        <f>L1846*$H1849</f>
        <v>0</v>
      </c>
      <c r="R1846" s="1475">
        <f>M1846*$H1849</f>
        <v>0</v>
      </c>
      <c r="S1846" s="1475">
        <f>N1846*$H1849</f>
        <v>0</v>
      </c>
      <c r="T1846" s="1475">
        <f>O1846*$H1849</f>
        <v>0</v>
      </c>
      <c r="U1846" s="1475">
        <f>P1846*$H1849</f>
        <v>0</v>
      </c>
      <c r="V1846" s="1475">
        <f t="shared" si="924"/>
        <v>0</v>
      </c>
    </row>
    <row r="1847" spans="1:22" s="39" customFormat="1" ht="24" customHeight="1">
      <c r="A1847" s="1860">
        <v>3</v>
      </c>
      <c r="B1847" s="1860"/>
      <c r="C1847" s="1860"/>
      <c r="D1847" s="1954"/>
      <c r="E1847" s="1962"/>
      <c r="F1847" s="1753"/>
      <c r="G1847" s="1625"/>
      <c r="H1847" s="1627"/>
      <c r="I1847" s="1765"/>
      <c r="J1847" s="40" t="s">
        <v>133</v>
      </c>
      <c r="K1847" s="91"/>
      <c r="L1847" s="41">
        <v>0</v>
      </c>
      <c r="M1847" s="41">
        <v>0</v>
      </c>
      <c r="N1847" s="41">
        <v>0</v>
      </c>
      <c r="O1847" s="41">
        <v>0</v>
      </c>
      <c r="P1847" s="41">
        <v>0</v>
      </c>
      <c r="Q1847" s="1475">
        <f t="shared" ref="Q1847:U1848" si="925">L1847*$H1849</f>
        <v>0</v>
      </c>
      <c r="R1847" s="1475">
        <f t="shared" si="925"/>
        <v>0</v>
      </c>
      <c r="S1847" s="1475">
        <f t="shared" si="925"/>
        <v>0</v>
      </c>
      <c r="T1847" s="1475">
        <f t="shared" si="925"/>
        <v>0</v>
      </c>
      <c r="U1847" s="1475">
        <f t="shared" si="925"/>
        <v>0</v>
      </c>
      <c r="V1847" s="1475">
        <f t="shared" si="924"/>
        <v>0</v>
      </c>
    </row>
    <row r="1848" spans="1:22" s="39" customFormat="1" ht="24" customHeight="1">
      <c r="A1848" s="1860">
        <v>3</v>
      </c>
      <c r="B1848" s="1860"/>
      <c r="C1848" s="1860"/>
      <c r="D1848" s="1954"/>
      <c r="E1848" s="1962"/>
      <c r="F1848" s="1753"/>
      <c r="G1848" s="1625"/>
      <c r="H1848" s="1628"/>
      <c r="I1848" s="1765"/>
      <c r="J1848" s="40" t="s">
        <v>81</v>
      </c>
      <c r="K1848" s="91"/>
      <c r="L1848" s="41">
        <v>0</v>
      </c>
      <c r="M1848" s="41">
        <v>0</v>
      </c>
      <c r="N1848" s="41">
        <v>0</v>
      </c>
      <c r="O1848" s="41">
        <v>0</v>
      </c>
      <c r="P1848" s="41">
        <v>0</v>
      </c>
      <c r="Q1848" s="1475">
        <f t="shared" si="925"/>
        <v>0</v>
      </c>
      <c r="R1848" s="1475">
        <f t="shared" si="925"/>
        <v>0</v>
      </c>
      <c r="S1848" s="1475">
        <f t="shared" si="925"/>
        <v>0</v>
      </c>
      <c r="T1848" s="1475">
        <f t="shared" si="925"/>
        <v>0</v>
      </c>
      <c r="U1848" s="1475">
        <f t="shared" si="925"/>
        <v>0</v>
      </c>
      <c r="V1848" s="1475">
        <f t="shared" si="924"/>
        <v>0</v>
      </c>
    </row>
    <row r="1849" spans="1:22" s="39" customFormat="1" ht="24" customHeight="1">
      <c r="A1849" s="1860">
        <v>3</v>
      </c>
      <c r="B1849" s="1860"/>
      <c r="C1849" s="1860"/>
      <c r="D1849" s="1954"/>
      <c r="E1849" s="1962"/>
      <c r="F1849" s="1753"/>
      <c r="G1849" s="1625"/>
      <c r="H1849" s="1595">
        <f>'Budget Assumption_Lab Comp2'!P488</f>
        <v>42800</v>
      </c>
      <c r="I1849" s="1765"/>
      <c r="J1849" s="40" t="s">
        <v>134</v>
      </c>
      <c r="K1849" s="91"/>
      <c r="L1849" s="41">
        <v>0</v>
      </c>
      <c r="M1849" s="41">
        <v>0</v>
      </c>
      <c r="N1849" s="41">
        <v>0</v>
      </c>
      <c r="O1849" s="41">
        <v>0</v>
      </c>
      <c r="P1849" s="41">
        <v>0</v>
      </c>
      <c r="Q1849" s="1475">
        <f>L1849*$H1849</f>
        <v>0</v>
      </c>
      <c r="R1849" s="1475">
        <f>M1849*$H1849</f>
        <v>0</v>
      </c>
      <c r="S1849" s="1475">
        <f>N1849*$H1849</f>
        <v>0</v>
      </c>
      <c r="T1849" s="1475">
        <f>O1849*$H1849</f>
        <v>0</v>
      </c>
      <c r="U1849" s="1475">
        <f>P1849*$H1849</f>
        <v>0</v>
      </c>
      <c r="V1849" s="1475">
        <f t="shared" si="924"/>
        <v>0</v>
      </c>
    </row>
    <row r="1850" spans="1:22" s="39" customFormat="1" ht="24" customHeight="1">
      <c r="A1850" s="1860">
        <v>3</v>
      </c>
      <c r="B1850" s="1860"/>
      <c r="C1850" s="1860"/>
      <c r="D1850" s="1954"/>
      <c r="E1850" s="1962"/>
      <c r="F1850" s="1753"/>
      <c r="G1850" s="1625"/>
      <c r="H1850" s="1596"/>
      <c r="I1850" s="1765"/>
      <c r="J1850" s="40" t="s">
        <v>82</v>
      </c>
      <c r="K1850" s="91"/>
      <c r="L1850" s="41">
        <v>1</v>
      </c>
      <c r="M1850" s="41">
        <v>0</v>
      </c>
      <c r="N1850" s="41">
        <v>0</v>
      </c>
      <c r="O1850" s="41">
        <v>0</v>
      </c>
      <c r="P1850" s="41">
        <v>0</v>
      </c>
      <c r="Q1850" s="1475">
        <f>Q1844</f>
        <v>42800</v>
      </c>
      <c r="R1850" s="1475">
        <f>M1850*$H1849</f>
        <v>0</v>
      </c>
      <c r="S1850" s="1475">
        <f>N1850*$H1849</f>
        <v>0</v>
      </c>
      <c r="T1850" s="1475">
        <f>O1850*$H1849</f>
        <v>0</v>
      </c>
      <c r="U1850" s="1475">
        <f>P1850*$H1849</f>
        <v>0</v>
      </c>
      <c r="V1850" s="1475">
        <f t="shared" si="924"/>
        <v>42800</v>
      </c>
    </row>
    <row r="1851" spans="1:22" s="39" customFormat="1" ht="24" customHeight="1">
      <c r="A1851" s="1860">
        <v>3</v>
      </c>
      <c r="B1851" s="1860"/>
      <c r="C1851" s="1860"/>
      <c r="D1851" s="1954"/>
      <c r="E1851" s="1962"/>
      <c r="F1851" s="1753"/>
      <c r="G1851" s="1625"/>
      <c r="H1851" s="1596"/>
      <c r="I1851" s="1765"/>
      <c r="J1851" s="40" t="s">
        <v>90</v>
      </c>
      <c r="K1851" s="91"/>
      <c r="L1851" s="41">
        <v>0</v>
      </c>
      <c r="M1851" s="41">
        <v>0</v>
      </c>
      <c r="N1851" s="41">
        <v>0</v>
      </c>
      <c r="O1851" s="41">
        <v>0</v>
      </c>
      <c r="P1851" s="41">
        <v>0</v>
      </c>
      <c r="Q1851" s="1475">
        <f>L1851*$H1849</f>
        <v>0</v>
      </c>
      <c r="R1851" s="1475">
        <f>M1851*$H1849</f>
        <v>0</v>
      </c>
      <c r="S1851" s="1475">
        <f>N1851*$H1849</f>
        <v>0</v>
      </c>
      <c r="T1851" s="1475">
        <f>O1851*$H1849</f>
        <v>0</v>
      </c>
      <c r="U1851" s="1475">
        <f>P1851*$H1849</f>
        <v>0</v>
      </c>
      <c r="V1851" s="1475">
        <f t="shared" si="924"/>
        <v>0</v>
      </c>
    </row>
    <row r="1852" spans="1:22" s="39" customFormat="1" ht="24" customHeight="1">
      <c r="A1852" s="1860">
        <v>3</v>
      </c>
      <c r="B1852" s="1860"/>
      <c r="C1852" s="1860"/>
      <c r="D1852" s="1954"/>
      <c r="E1852" s="1962"/>
      <c r="F1852" s="1753"/>
      <c r="G1852" s="1625"/>
      <c r="H1852" s="1596"/>
      <c r="I1852" s="1765"/>
      <c r="J1852" s="40" t="s">
        <v>83</v>
      </c>
      <c r="K1852" s="91"/>
      <c r="L1852" s="41">
        <v>0</v>
      </c>
      <c r="M1852" s="41">
        <v>0</v>
      </c>
      <c r="N1852" s="41">
        <v>0</v>
      </c>
      <c r="O1852" s="41">
        <v>0</v>
      </c>
      <c r="P1852" s="41">
        <v>0</v>
      </c>
      <c r="Q1852" s="1475">
        <f>L1852*$H1849</f>
        <v>0</v>
      </c>
      <c r="R1852" s="1475">
        <f>M1852*$H1849</f>
        <v>0</v>
      </c>
      <c r="S1852" s="1475">
        <f>N1852*$H1849</f>
        <v>0</v>
      </c>
      <c r="T1852" s="1475">
        <f>O1852*$H1849</f>
        <v>0</v>
      </c>
      <c r="U1852" s="1475">
        <f>P1852*$H1849</f>
        <v>0</v>
      </c>
      <c r="V1852" s="1475">
        <f t="shared" si="924"/>
        <v>0</v>
      </c>
    </row>
    <row r="1853" spans="1:22" s="39" customFormat="1" ht="24" customHeight="1" thickBot="1">
      <c r="A1853" s="1860">
        <v>3</v>
      </c>
      <c r="B1853" s="1860"/>
      <c r="C1853" s="1860"/>
      <c r="D1853" s="1954"/>
      <c r="E1853" s="1964"/>
      <c r="F1853" s="1754"/>
      <c r="G1853" s="1626"/>
      <c r="H1853" s="1597"/>
      <c r="I1853" s="1766"/>
      <c r="J1853" s="80" t="s">
        <v>84</v>
      </c>
      <c r="K1853" s="824"/>
      <c r="L1853" s="814">
        <f>L1844-L1845</f>
        <v>0</v>
      </c>
      <c r="M1853" s="814">
        <f t="shared" ref="M1853:U1853" si="926">M1844-M1845</f>
        <v>0</v>
      </c>
      <c r="N1853" s="814">
        <f t="shared" si="926"/>
        <v>0</v>
      </c>
      <c r="O1853" s="814">
        <f t="shared" si="926"/>
        <v>0</v>
      </c>
      <c r="P1853" s="814">
        <f t="shared" si="926"/>
        <v>0</v>
      </c>
      <c r="Q1853" s="1487">
        <f t="shared" si="926"/>
        <v>0</v>
      </c>
      <c r="R1853" s="1487">
        <f t="shared" si="926"/>
        <v>0</v>
      </c>
      <c r="S1853" s="1487">
        <f t="shared" si="926"/>
        <v>0</v>
      </c>
      <c r="T1853" s="1487">
        <f t="shared" si="926"/>
        <v>0</v>
      </c>
      <c r="U1853" s="1487">
        <f t="shared" si="926"/>
        <v>0</v>
      </c>
      <c r="V1853" s="1487">
        <f t="shared" si="924"/>
        <v>0</v>
      </c>
    </row>
    <row r="1854" spans="1:22" s="45" customFormat="1" ht="24" customHeight="1">
      <c r="A1854" s="1860">
        <v>3</v>
      </c>
      <c r="B1854" s="1860">
        <v>3</v>
      </c>
      <c r="C1854" s="1860">
        <v>1</v>
      </c>
      <c r="D1854" s="1954">
        <v>2</v>
      </c>
      <c r="E1854" s="1963" t="s">
        <v>136</v>
      </c>
      <c r="F1854" s="1752" t="str">
        <f>CONCATENATE(A1854,".",B1854,".",C1854,".",D1854,)</f>
        <v>3.3.1.2</v>
      </c>
      <c r="G1854" s="1872" t="s">
        <v>1187</v>
      </c>
      <c r="H1854" s="1808" t="s">
        <v>1016</v>
      </c>
      <c r="I1854" s="1764" t="s">
        <v>1017</v>
      </c>
      <c r="J1854" s="262" t="s">
        <v>79</v>
      </c>
      <c r="K1854" s="908"/>
      <c r="L1854" s="936">
        <f>'Budget Assumption_Lab Comp2'!G497</f>
        <v>0.25</v>
      </c>
      <c r="M1854" s="936">
        <f>'Budget Assumption_Lab Comp2'!I497</f>
        <v>0.25</v>
      </c>
      <c r="N1854" s="936">
        <f>'Budget Assumption_Lab Comp2'!K497</f>
        <v>0.25</v>
      </c>
      <c r="O1854" s="936">
        <f>'Budget Assumption_Lab Comp2'!M497</f>
        <v>0.14285714285714285</v>
      </c>
      <c r="P1854" s="936">
        <f>'Budget Assumption_Lab Comp2'!O497</f>
        <v>0.10714285714285714</v>
      </c>
      <c r="Q1854" s="1484">
        <f>L1854*H1859</f>
        <v>74900</v>
      </c>
      <c r="R1854" s="1484">
        <f>M1854*H1859</f>
        <v>74900</v>
      </c>
      <c r="S1854" s="1484">
        <f>N1854*H1859</f>
        <v>74900</v>
      </c>
      <c r="T1854" s="1484">
        <f>O1854*H1859</f>
        <v>42800</v>
      </c>
      <c r="U1854" s="1484">
        <f>P1854*H1859</f>
        <v>32100</v>
      </c>
      <c r="V1854" s="1475">
        <f>SUM(Q1854:U1854)</f>
        <v>299600</v>
      </c>
    </row>
    <row r="1855" spans="1:22" s="39" customFormat="1" ht="24" customHeight="1">
      <c r="A1855" s="1860">
        <v>3</v>
      </c>
      <c r="B1855" s="1860"/>
      <c r="C1855" s="1860"/>
      <c r="D1855" s="1954"/>
      <c r="E1855" s="1962"/>
      <c r="F1855" s="1753"/>
      <c r="G1855" s="1625"/>
      <c r="H1855" s="1627"/>
      <c r="I1855" s="1765"/>
      <c r="J1855" s="40" t="s">
        <v>80</v>
      </c>
      <c r="K1855" s="91"/>
      <c r="L1855" s="820">
        <f>SUM(L1856:L1862)</f>
        <v>0.25</v>
      </c>
      <c r="M1855" s="820">
        <f t="shared" ref="M1855:U1855" si="927">SUM(M1856:M1862)</f>
        <v>0.25</v>
      </c>
      <c r="N1855" s="820">
        <f t="shared" si="927"/>
        <v>0.25</v>
      </c>
      <c r="O1855" s="820">
        <f t="shared" si="927"/>
        <v>0.14285714285714285</v>
      </c>
      <c r="P1855" s="820">
        <f t="shared" si="927"/>
        <v>0.10714285714285714</v>
      </c>
      <c r="Q1855" s="1475">
        <f t="shared" si="927"/>
        <v>74900</v>
      </c>
      <c r="R1855" s="1475">
        <f t="shared" si="927"/>
        <v>74900</v>
      </c>
      <c r="S1855" s="1475">
        <f t="shared" si="927"/>
        <v>74900</v>
      </c>
      <c r="T1855" s="1475">
        <f t="shared" si="927"/>
        <v>42800</v>
      </c>
      <c r="U1855" s="1475">
        <f t="shared" si="927"/>
        <v>32100</v>
      </c>
      <c r="V1855" s="1475">
        <f>SUM(Q1855:U1855)</f>
        <v>299600</v>
      </c>
    </row>
    <row r="1856" spans="1:22" s="39" customFormat="1" ht="24" customHeight="1">
      <c r="A1856" s="1860">
        <v>3</v>
      </c>
      <c r="B1856" s="1860"/>
      <c r="C1856" s="1860"/>
      <c r="D1856" s="1954"/>
      <c r="E1856" s="1962"/>
      <c r="F1856" s="1753"/>
      <c r="G1856" s="1625"/>
      <c r="H1856" s="1627"/>
      <c r="I1856" s="1765"/>
      <c r="J1856" s="40" t="s">
        <v>429</v>
      </c>
      <c r="K1856" s="42"/>
      <c r="L1856" s="820">
        <v>0</v>
      </c>
      <c r="M1856" s="820">
        <v>0</v>
      </c>
      <c r="N1856" s="820">
        <v>0</v>
      </c>
      <c r="O1856" s="820">
        <f>O1854</f>
        <v>0.14285714285714285</v>
      </c>
      <c r="P1856" s="820">
        <f>P1854</f>
        <v>0.10714285714285714</v>
      </c>
      <c r="Q1856" s="1475">
        <f>L1856*$H1859</f>
        <v>0</v>
      </c>
      <c r="R1856" s="1475">
        <f>M1856*$H1859</f>
        <v>0</v>
      </c>
      <c r="S1856" s="1475">
        <f>N1856*$H1859</f>
        <v>0</v>
      </c>
      <c r="T1856" s="1475">
        <f>T1854</f>
        <v>42800</v>
      </c>
      <c r="U1856" s="1475">
        <f>U1854</f>
        <v>32100</v>
      </c>
      <c r="V1856" s="1475">
        <f t="shared" ref="V1856:V1883" si="928">SUM(Q1856:U1856)</f>
        <v>74900</v>
      </c>
    </row>
    <row r="1857" spans="1:22" s="39" customFormat="1" ht="24" customHeight="1">
      <c r="A1857" s="1860">
        <v>3</v>
      </c>
      <c r="B1857" s="1860"/>
      <c r="C1857" s="1860"/>
      <c r="D1857" s="1954"/>
      <c r="E1857" s="1962"/>
      <c r="F1857" s="1753"/>
      <c r="G1857" s="1625"/>
      <c r="H1857" s="1627"/>
      <c r="I1857" s="1765"/>
      <c r="J1857" s="40" t="s">
        <v>133</v>
      </c>
      <c r="K1857" s="42"/>
      <c r="L1857" s="820">
        <v>0</v>
      </c>
      <c r="M1857" s="820">
        <v>0</v>
      </c>
      <c r="N1857" s="820">
        <v>0</v>
      </c>
      <c r="O1857" s="820">
        <v>0</v>
      </c>
      <c r="P1857" s="820">
        <v>0</v>
      </c>
      <c r="Q1857" s="1475">
        <f t="shared" ref="Q1857:U1859" si="929">L1857*$H1859</f>
        <v>0</v>
      </c>
      <c r="R1857" s="1475">
        <f t="shared" si="929"/>
        <v>0</v>
      </c>
      <c r="S1857" s="1475">
        <f t="shared" si="929"/>
        <v>0</v>
      </c>
      <c r="T1857" s="1475">
        <f t="shared" si="929"/>
        <v>0</v>
      </c>
      <c r="U1857" s="1475">
        <f t="shared" si="929"/>
        <v>0</v>
      </c>
      <c r="V1857" s="1475">
        <f t="shared" si="928"/>
        <v>0</v>
      </c>
    </row>
    <row r="1858" spans="1:22" s="39" customFormat="1" ht="24" customHeight="1">
      <c r="A1858" s="1860">
        <v>3</v>
      </c>
      <c r="B1858" s="1860"/>
      <c r="C1858" s="1860"/>
      <c r="D1858" s="1954"/>
      <c r="E1858" s="1962"/>
      <c r="F1858" s="1753"/>
      <c r="G1858" s="1625"/>
      <c r="H1858" s="1628"/>
      <c r="I1858" s="1765"/>
      <c r="J1858" s="40" t="s">
        <v>81</v>
      </c>
      <c r="K1858" s="42"/>
      <c r="L1858" s="820">
        <v>0</v>
      </c>
      <c r="M1858" s="820">
        <v>0</v>
      </c>
      <c r="N1858" s="820">
        <v>0</v>
      </c>
      <c r="O1858" s="820">
        <v>0</v>
      </c>
      <c r="P1858" s="820">
        <v>0</v>
      </c>
      <c r="Q1858" s="1475">
        <f t="shared" si="929"/>
        <v>0</v>
      </c>
      <c r="R1858" s="1475">
        <f t="shared" si="929"/>
        <v>0</v>
      </c>
      <c r="S1858" s="1475">
        <f t="shared" si="929"/>
        <v>0</v>
      </c>
      <c r="T1858" s="1475">
        <f t="shared" si="929"/>
        <v>0</v>
      </c>
      <c r="U1858" s="1475">
        <f t="shared" si="929"/>
        <v>0</v>
      </c>
      <c r="V1858" s="1475">
        <f t="shared" si="928"/>
        <v>0</v>
      </c>
    </row>
    <row r="1859" spans="1:22" s="39" customFormat="1" ht="24" customHeight="1">
      <c r="A1859" s="1860">
        <v>3</v>
      </c>
      <c r="B1859" s="1860"/>
      <c r="C1859" s="1860"/>
      <c r="D1859" s="1954"/>
      <c r="E1859" s="1962"/>
      <c r="F1859" s="1753"/>
      <c r="G1859" s="1625"/>
      <c r="H1859" s="1595">
        <f>'Budget Assumption_Lab Comp2'!P496</f>
        <v>299600</v>
      </c>
      <c r="I1859" s="1765"/>
      <c r="J1859" s="40" t="s">
        <v>134</v>
      </c>
      <c r="K1859" s="42"/>
      <c r="L1859" s="820">
        <v>0</v>
      </c>
      <c r="M1859" s="820">
        <v>0</v>
      </c>
      <c r="N1859" s="820">
        <v>0</v>
      </c>
      <c r="O1859" s="820">
        <v>0</v>
      </c>
      <c r="P1859" s="820">
        <v>0</v>
      </c>
      <c r="Q1859" s="1475">
        <f t="shared" si="929"/>
        <v>0</v>
      </c>
      <c r="R1859" s="1475">
        <f t="shared" si="929"/>
        <v>0</v>
      </c>
      <c r="S1859" s="1475">
        <f t="shared" si="929"/>
        <v>0</v>
      </c>
      <c r="T1859" s="1475">
        <f t="shared" si="929"/>
        <v>0</v>
      </c>
      <c r="U1859" s="1475">
        <f t="shared" si="929"/>
        <v>0</v>
      </c>
      <c r="V1859" s="1475">
        <f t="shared" si="928"/>
        <v>0</v>
      </c>
    </row>
    <row r="1860" spans="1:22" s="39" customFormat="1" ht="24" customHeight="1">
      <c r="A1860" s="1860">
        <v>3</v>
      </c>
      <c r="B1860" s="1860"/>
      <c r="C1860" s="1860"/>
      <c r="D1860" s="1954"/>
      <c r="E1860" s="1962"/>
      <c r="F1860" s="1753"/>
      <c r="G1860" s="1625"/>
      <c r="H1860" s="1596"/>
      <c r="I1860" s="1765"/>
      <c r="J1860" s="40" t="s">
        <v>82</v>
      </c>
      <c r="K1860" s="42"/>
      <c r="L1860" s="820">
        <f>L1854</f>
        <v>0.25</v>
      </c>
      <c r="M1860" s="820">
        <f t="shared" ref="M1860:N1860" si="930">M1854</f>
        <v>0.25</v>
      </c>
      <c r="N1860" s="820">
        <f t="shared" si="930"/>
        <v>0.25</v>
      </c>
      <c r="O1860" s="820">
        <v>0</v>
      </c>
      <c r="P1860" s="820">
        <v>0</v>
      </c>
      <c r="Q1860" s="1475">
        <f>Q1854</f>
        <v>74900</v>
      </c>
      <c r="R1860" s="1475">
        <f>R1854</f>
        <v>74900</v>
      </c>
      <c r="S1860" s="1475">
        <f>S1854</f>
        <v>74900</v>
      </c>
      <c r="T1860" s="1475">
        <f>O1860*$H1859</f>
        <v>0</v>
      </c>
      <c r="U1860" s="1475">
        <f>P1860*$H1859</f>
        <v>0</v>
      </c>
      <c r="V1860" s="1475">
        <f t="shared" si="928"/>
        <v>224700</v>
      </c>
    </row>
    <row r="1861" spans="1:22" s="39" customFormat="1" ht="24" customHeight="1">
      <c r="A1861" s="1860">
        <v>3</v>
      </c>
      <c r="B1861" s="1860"/>
      <c r="C1861" s="1860"/>
      <c r="D1861" s="1954"/>
      <c r="E1861" s="1962"/>
      <c r="F1861" s="1753"/>
      <c r="G1861" s="1625"/>
      <c r="H1861" s="1596"/>
      <c r="I1861" s="1765"/>
      <c r="J1861" s="40" t="s">
        <v>90</v>
      </c>
      <c r="K1861" s="42"/>
      <c r="L1861" s="820">
        <v>0</v>
      </c>
      <c r="M1861" s="820">
        <v>0</v>
      </c>
      <c r="N1861" s="820">
        <v>0</v>
      </c>
      <c r="O1861" s="820">
        <v>0</v>
      </c>
      <c r="P1861" s="820">
        <v>0</v>
      </c>
      <c r="Q1861" s="1475">
        <f>L1861*$H1859</f>
        <v>0</v>
      </c>
      <c r="R1861" s="1475">
        <f>M1861*$H1859</f>
        <v>0</v>
      </c>
      <c r="S1861" s="1475">
        <f>N1861*$H1859</f>
        <v>0</v>
      </c>
      <c r="T1861" s="1475">
        <f>O1861*$H1859</f>
        <v>0</v>
      </c>
      <c r="U1861" s="1475">
        <f>P1861*$H1859</f>
        <v>0</v>
      </c>
      <c r="V1861" s="1475">
        <f t="shared" si="928"/>
        <v>0</v>
      </c>
    </row>
    <row r="1862" spans="1:22" s="39" customFormat="1" ht="24" customHeight="1">
      <c r="A1862" s="1860">
        <v>3</v>
      </c>
      <c r="B1862" s="1860"/>
      <c r="C1862" s="1860"/>
      <c r="D1862" s="1954"/>
      <c r="E1862" s="1962"/>
      <c r="F1862" s="1753"/>
      <c r="G1862" s="1625"/>
      <c r="H1862" s="1596"/>
      <c r="I1862" s="1765"/>
      <c r="J1862" s="40" t="s">
        <v>83</v>
      </c>
      <c r="K1862" s="42"/>
      <c r="L1862" s="820">
        <v>0</v>
      </c>
      <c r="M1862" s="820">
        <v>0</v>
      </c>
      <c r="N1862" s="820">
        <v>0</v>
      </c>
      <c r="O1862" s="820">
        <v>0</v>
      </c>
      <c r="P1862" s="820">
        <v>0</v>
      </c>
      <c r="Q1862" s="1475">
        <f>L1862*$H1859</f>
        <v>0</v>
      </c>
      <c r="R1862" s="1475">
        <f>M1862*$H1859</f>
        <v>0</v>
      </c>
      <c r="S1862" s="1475">
        <f>N1862*$H1859</f>
        <v>0</v>
      </c>
      <c r="T1862" s="1475">
        <f>O1862*$H1859</f>
        <v>0</v>
      </c>
      <c r="U1862" s="1475">
        <f>P1862*$H1859</f>
        <v>0</v>
      </c>
      <c r="V1862" s="1475">
        <f t="shared" si="928"/>
        <v>0</v>
      </c>
    </row>
    <row r="1863" spans="1:22" s="39" customFormat="1" ht="24" customHeight="1" thickBot="1">
      <c r="A1863" s="1860">
        <v>3</v>
      </c>
      <c r="B1863" s="1860"/>
      <c r="C1863" s="1860"/>
      <c r="D1863" s="1954"/>
      <c r="E1863" s="1964"/>
      <c r="F1863" s="1754"/>
      <c r="G1863" s="1626"/>
      <c r="H1863" s="1597"/>
      <c r="I1863" s="1766"/>
      <c r="J1863" s="80" t="s">
        <v>84</v>
      </c>
      <c r="K1863" s="81"/>
      <c r="L1863" s="821">
        <f>L1854-L1855</f>
        <v>0</v>
      </c>
      <c r="M1863" s="821">
        <f t="shared" ref="M1863:U1863" si="931">M1854-M1855</f>
        <v>0</v>
      </c>
      <c r="N1863" s="821">
        <f t="shared" si="931"/>
        <v>0</v>
      </c>
      <c r="O1863" s="821">
        <f t="shared" si="931"/>
        <v>0</v>
      </c>
      <c r="P1863" s="821">
        <f t="shared" si="931"/>
        <v>0</v>
      </c>
      <c r="Q1863" s="1487">
        <f t="shared" si="931"/>
        <v>0</v>
      </c>
      <c r="R1863" s="1487">
        <f t="shared" si="931"/>
        <v>0</v>
      </c>
      <c r="S1863" s="1487">
        <f t="shared" si="931"/>
        <v>0</v>
      </c>
      <c r="T1863" s="1487">
        <f t="shared" si="931"/>
        <v>0</v>
      </c>
      <c r="U1863" s="1487">
        <f t="shared" si="931"/>
        <v>0</v>
      </c>
      <c r="V1863" s="1487">
        <f>SUM(Q1863:U1863)</f>
        <v>0</v>
      </c>
    </row>
    <row r="1864" spans="1:22" s="45" customFormat="1" ht="24" customHeight="1">
      <c r="A1864" s="1860">
        <v>3</v>
      </c>
      <c r="B1864" s="1860">
        <v>3</v>
      </c>
      <c r="C1864" s="1860">
        <v>1</v>
      </c>
      <c r="D1864" s="1860">
        <v>3</v>
      </c>
      <c r="E1864" s="1861" t="s">
        <v>136</v>
      </c>
      <c r="F1864" s="1752" t="str">
        <f>CONCATENATE(A1864,".",B1864,".",C1864,".",D1864,)</f>
        <v>3.3.1.3</v>
      </c>
      <c r="G1864" s="1900" t="s">
        <v>1186</v>
      </c>
      <c r="H1864" s="1650" t="s">
        <v>1016</v>
      </c>
      <c r="I1864" s="1789" t="s">
        <v>1017</v>
      </c>
      <c r="J1864" s="262" t="s">
        <v>79</v>
      </c>
      <c r="K1864" s="935"/>
      <c r="L1864" s="937">
        <f ca="1">'Budget Assumption_Lab Comp2'!G512</f>
        <v>0.30340885030700826</v>
      </c>
      <c r="M1864" s="937">
        <f ca="1">'Budget Assumption_Lab Comp2'!I512</f>
        <v>0.69659114969299174</v>
      </c>
      <c r="N1864" s="937">
        <f ca="1">'Budget Assumption_Lab Comp2'!K512</f>
        <v>0</v>
      </c>
      <c r="O1864" s="937">
        <f ca="1">'Budget Assumption_Lab Comp2'!M512</f>
        <v>0</v>
      </c>
      <c r="P1864" s="937">
        <f ca="1">'Budget Assumption_Lab Comp2'!O512</f>
        <v>0</v>
      </c>
      <c r="Q1864" s="1484">
        <f ca="1">L1864*H1869</f>
        <v>3066620</v>
      </c>
      <c r="R1864" s="1484">
        <f ca="1">M1864*H1869</f>
        <v>7040600</v>
      </c>
      <c r="S1864" s="1484">
        <f ca="1">N1864*H1869</f>
        <v>0</v>
      </c>
      <c r="T1864" s="1484">
        <f ca="1">O1864*H1869</f>
        <v>0</v>
      </c>
      <c r="U1864" s="1484">
        <f ca="1">P1864*H1869</f>
        <v>0</v>
      </c>
      <c r="V1864" s="1484">
        <f t="shared" ca="1" si="928"/>
        <v>10107220</v>
      </c>
    </row>
    <row r="1865" spans="1:22" s="39" customFormat="1" ht="24" customHeight="1">
      <c r="A1865" s="1860">
        <v>3</v>
      </c>
      <c r="B1865" s="1860"/>
      <c r="C1865" s="1860"/>
      <c r="D1865" s="1860"/>
      <c r="E1865" s="1839"/>
      <c r="F1865" s="1753"/>
      <c r="G1865" s="1901"/>
      <c r="H1865" s="1627"/>
      <c r="I1865" s="1765"/>
      <c r="J1865" s="40" t="s">
        <v>80</v>
      </c>
      <c r="K1865" s="91"/>
      <c r="L1865" s="41">
        <f>SUM(L1866:L1872)</f>
        <v>0</v>
      </c>
      <c r="M1865" s="41">
        <f>SUM(M1866:M1872)</f>
        <v>0</v>
      </c>
      <c r="N1865" s="41">
        <f t="shared" ref="N1865" si="932">SUM(N1866:N1872)</f>
        <v>0</v>
      </c>
      <c r="O1865" s="41">
        <f t="shared" ref="O1865:R1865" si="933">SUM(O1866:O1872)</f>
        <v>0</v>
      </c>
      <c r="P1865" s="41">
        <f t="shared" si="933"/>
        <v>0</v>
      </c>
      <c r="Q1865" s="1475">
        <f ca="1">SUM(Q1866:Q1872)</f>
        <v>0</v>
      </c>
      <c r="R1865" s="1475">
        <f t="shared" ca="1" si="933"/>
        <v>0</v>
      </c>
      <c r="S1865" s="1475">
        <f ca="1">SUM(S1866:S1872)</f>
        <v>0</v>
      </c>
      <c r="T1865" s="1475">
        <f ca="1">SUM(T1866:T1872)</f>
        <v>0</v>
      </c>
      <c r="U1865" s="1475">
        <f ca="1">SUM(U1866:U1872)</f>
        <v>0</v>
      </c>
      <c r="V1865" s="1475">
        <f t="shared" ca="1" si="928"/>
        <v>0</v>
      </c>
    </row>
    <row r="1866" spans="1:22" s="39" customFormat="1" ht="24" customHeight="1">
      <c r="A1866" s="1860">
        <v>3</v>
      </c>
      <c r="B1866" s="1860"/>
      <c r="C1866" s="1860"/>
      <c r="D1866" s="1860"/>
      <c r="E1866" s="1839"/>
      <c r="F1866" s="1753"/>
      <c r="G1866" s="1901"/>
      <c r="H1866" s="1627"/>
      <c r="I1866" s="1765"/>
      <c r="J1866" s="40" t="s">
        <v>429</v>
      </c>
      <c r="K1866" s="91"/>
      <c r="L1866" s="41">
        <v>0</v>
      </c>
      <c r="M1866" s="41">
        <v>0</v>
      </c>
      <c r="N1866" s="41">
        <v>0</v>
      </c>
      <c r="O1866" s="41">
        <v>0</v>
      </c>
      <c r="P1866" s="41">
        <v>0</v>
      </c>
      <c r="Q1866" s="1475">
        <f ca="1">L1866*$H1869</f>
        <v>0</v>
      </c>
      <c r="R1866" s="1475">
        <f ca="1">M1866*$H1869</f>
        <v>0</v>
      </c>
      <c r="S1866" s="1475">
        <f ca="1">N1866*$H1869</f>
        <v>0</v>
      </c>
      <c r="T1866" s="1475">
        <f ca="1">O1866*$H1869</f>
        <v>0</v>
      </c>
      <c r="U1866" s="1475">
        <f ca="1">P1866*$H1869</f>
        <v>0</v>
      </c>
      <c r="V1866" s="1475">
        <f t="shared" ca="1" si="928"/>
        <v>0</v>
      </c>
    </row>
    <row r="1867" spans="1:22" s="39" customFormat="1" ht="24" customHeight="1">
      <c r="A1867" s="1860">
        <v>3</v>
      </c>
      <c r="B1867" s="1860"/>
      <c r="C1867" s="1860"/>
      <c r="D1867" s="1860"/>
      <c r="E1867" s="1839"/>
      <c r="F1867" s="1753"/>
      <c r="G1867" s="1901"/>
      <c r="H1867" s="1627"/>
      <c r="I1867" s="1765"/>
      <c r="J1867" s="40" t="s">
        <v>133</v>
      </c>
      <c r="K1867" s="91"/>
      <c r="L1867" s="41">
        <v>0</v>
      </c>
      <c r="M1867" s="41">
        <v>0</v>
      </c>
      <c r="N1867" s="41">
        <v>0</v>
      </c>
      <c r="O1867" s="41">
        <v>0</v>
      </c>
      <c r="P1867" s="41">
        <v>0</v>
      </c>
      <c r="Q1867" s="1475">
        <f t="shared" ref="Q1867:U1869" ca="1" si="934">L1867*$H1869</f>
        <v>0</v>
      </c>
      <c r="R1867" s="1475">
        <f t="shared" ca="1" si="934"/>
        <v>0</v>
      </c>
      <c r="S1867" s="1475">
        <f t="shared" ca="1" si="934"/>
        <v>0</v>
      </c>
      <c r="T1867" s="1475">
        <f t="shared" ca="1" si="934"/>
        <v>0</v>
      </c>
      <c r="U1867" s="1475">
        <f t="shared" ca="1" si="934"/>
        <v>0</v>
      </c>
      <c r="V1867" s="1475">
        <f t="shared" ca="1" si="928"/>
        <v>0</v>
      </c>
    </row>
    <row r="1868" spans="1:22" s="39" customFormat="1" ht="24" customHeight="1">
      <c r="A1868" s="1860">
        <v>3</v>
      </c>
      <c r="B1868" s="1860"/>
      <c r="C1868" s="1860"/>
      <c r="D1868" s="1860"/>
      <c r="E1868" s="1839"/>
      <c r="F1868" s="1753"/>
      <c r="G1868" s="1901"/>
      <c r="H1868" s="1628"/>
      <c r="I1868" s="1765"/>
      <c r="J1868" s="40" t="s">
        <v>81</v>
      </c>
      <c r="K1868" s="91"/>
      <c r="L1868" s="41">
        <v>0</v>
      </c>
      <c r="M1868" s="41">
        <v>0</v>
      </c>
      <c r="N1868" s="41">
        <v>0</v>
      </c>
      <c r="O1868" s="41">
        <v>0</v>
      </c>
      <c r="P1868" s="41">
        <v>0</v>
      </c>
      <c r="Q1868" s="1475">
        <f t="shared" si="934"/>
        <v>0</v>
      </c>
      <c r="R1868" s="1475">
        <f t="shared" si="934"/>
        <v>0</v>
      </c>
      <c r="S1868" s="1475">
        <f t="shared" si="934"/>
        <v>0</v>
      </c>
      <c r="T1868" s="1475">
        <f t="shared" si="934"/>
        <v>0</v>
      </c>
      <c r="U1868" s="1475">
        <f t="shared" si="934"/>
        <v>0</v>
      </c>
      <c r="V1868" s="1475">
        <f t="shared" si="928"/>
        <v>0</v>
      </c>
    </row>
    <row r="1869" spans="1:22" s="39" customFormat="1" ht="24" customHeight="1">
      <c r="A1869" s="1860">
        <v>3</v>
      </c>
      <c r="B1869" s="1860"/>
      <c r="C1869" s="1860"/>
      <c r="D1869" s="1860"/>
      <c r="E1869" s="1839"/>
      <c r="F1869" s="1753"/>
      <c r="G1869" s="1901"/>
      <c r="H1869" s="1595">
        <f ca="1">'Budget Assumption_Lab Comp2'!P511</f>
        <v>10107220</v>
      </c>
      <c r="I1869" s="1765"/>
      <c r="J1869" s="40" t="s">
        <v>134</v>
      </c>
      <c r="K1869" s="91"/>
      <c r="L1869" s="41">
        <v>0</v>
      </c>
      <c r="M1869" s="41">
        <v>0</v>
      </c>
      <c r="N1869" s="41">
        <v>0</v>
      </c>
      <c r="O1869" s="41">
        <v>0</v>
      </c>
      <c r="P1869" s="41">
        <v>0</v>
      </c>
      <c r="Q1869" s="1475">
        <f>L1869*$H1871</f>
        <v>0</v>
      </c>
      <c r="R1869" s="1475">
        <f t="shared" si="934"/>
        <v>0</v>
      </c>
      <c r="S1869" s="1475">
        <f t="shared" si="934"/>
        <v>0</v>
      </c>
      <c r="T1869" s="1475">
        <f t="shared" si="934"/>
        <v>0</v>
      </c>
      <c r="U1869" s="1475">
        <f t="shared" si="934"/>
        <v>0</v>
      </c>
      <c r="V1869" s="1475">
        <f t="shared" si="928"/>
        <v>0</v>
      </c>
    </row>
    <row r="1870" spans="1:22" s="39" customFormat="1" ht="24" customHeight="1">
      <c r="A1870" s="1860">
        <v>3</v>
      </c>
      <c r="B1870" s="1860"/>
      <c r="C1870" s="1860"/>
      <c r="D1870" s="1860"/>
      <c r="E1870" s="1839"/>
      <c r="F1870" s="1753"/>
      <c r="G1870" s="1901"/>
      <c r="H1870" s="1596"/>
      <c r="I1870" s="1765"/>
      <c r="J1870" s="40" t="s">
        <v>82</v>
      </c>
      <c r="K1870" s="91"/>
      <c r="L1870" s="41">
        <v>0</v>
      </c>
      <c r="M1870" s="41">
        <v>0</v>
      </c>
      <c r="N1870" s="41">
        <v>0</v>
      </c>
      <c r="O1870" s="41">
        <v>0</v>
      </c>
      <c r="P1870" s="41">
        <v>0</v>
      </c>
      <c r="Q1870" s="1475">
        <f>L1870*$H1872</f>
        <v>0</v>
      </c>
      <c r="R1870" s="1475">
        <f t="shared" ref="R1870" si="935">M1870*$H1872</f>
        <v>0</v>
      </c>
      <c r="S1870" s="1475">
        <f t="shared" ref="S1870" si="936">N1870*$H1872</f>
        <v>0</v>
      </c>
      <c r="T1870" s="1475">
        <f ca="1">O1870*$H1869</f>
        <v>0</v>
      </c>
      <c r="U1870" s="1475">
        <f ca="1">P1870*$H1869</f>
        <v>0</v>
      </c>
      <c r="V1870" s="1475">
        <f t="shared" ca="1" si="928"/>
        <v>0</v>
      </c>
    </row>
    <row r="1871" spans="1:22" s="39" customFormat="1" ht="24" customHeight="1">
      <c r="A1871" s="1860">
        <v>3</v>
      </c>
      <c r="B1871" s="1860"/>
      <c r="C1871" s="1860"/>
      <c r="D1871" s="1860"/>
      <c r="E1871" s="1839"/>
      <c r="F1871" s="1753"/>
      <c r="G1871" s="1901"/>
      <c r="H1871" s="1596"/>
      <c r="I1871" s="1765"/>
      <c r="J1871" s="40" t="s">
        <v>90</v>
      </c>
      <c r="K1871" s="91"/>
      <c r="L1871" s="41">
        <v>0</v>
      </c>
      <c r="M1871" s="41">
        <v>0</v>
      </c>
      <c r="N1871" s="41">
        <v>0</v>
      </c>
      <c r="O1871" s="41">
        <v>0</v>
      </c>
      <c r="P1871" s="41">
        <v>0</v>
      </c>
      <c r="Q1871" s="1475">
        <f ca="1">L1871*$H1869</f>
        <v>0</v>
      </c>
      <c r="R1871" s="1475">
        <f ca="1">M1871*$H1869</f>
        <v>0</v>
      </c>
      <c r="S1871" s="1475">
        <f ca="1">N1871*$H1869</f>
        <v>0</v>
      </c>
      <c r="T1871" s="1475">
        <f ca="1">O1871*$H1869</f>
        <v>0</v>
      </c>
      <c r="U1871" s="1475">
        <f ca="1">P1871*$H1869</f>
        <v>0</v>
      </c>
      <c r="V1871" s="1475">
        <f t="shared" ca="1" si="928"/>
        <v>0</v>
      </c>
    </row>
    <row r="1872" spans="1:22" s="39" customFormat="1" ht="24" customHeight="1">
      <c r="A1872" s="1860">
        <v>3</v>
      </c>
      <c r="B1872" s="1860"/>
      <c r="C1872" s="1860"/>
      <c r="D1872" s="1860"/>
      <c r="E1872" s="1839"/>
      <c r="F1872" s="1753"/>
      <c r="G1872" s="1901"/>
      <c r="H1872" s="1596"/>
      <c r="I1872" s="1765"/>
      <c r="J1872" s="40" t="s">
        <v>83</v>
      </c>
      <c r="K1872" s="91"/>
      <c r="L1872" s="41">
        <v>0</v>
      </c>
      <c r="M1872" s="41">
        <v>0</v>
      </c>
      <c r="N1872" s="41">
        <v>0</v>
      </c>
      <c r="O1872" s="41">
        <v>0</v>
      </c>
      <c r="P1872" s="41">
        <v>0</v>
      </c>
      <c r="Q1872" s="1475">
        <v>0</v>
      </c>
      <c r="R1872" s="1475">
        <v>0</v>
      </c>
      <c r="S1872" s="1475">
        <v>0</v>
      </c>
      <c r="T1872" s="1475">
        <f ca="1">O1872*$H1869</f>
        <v>0</v>
      </c>
      <c r="U1872" s="1475">
        <f ca="1">P1872*$H1869</f>
        <v>0</v>
      </c>
      <c r="V1872" s="1475">
        <f t="shared" ca="1" si="928"/>
        <v>0</v>
      </c>
    </row>
    <row r="1873" spans="1:22" s="39" customFormat="1" ht="24" customHeight="1" thickBot="1">
      <c r="A1873" s="1860">
        <v>3</v>
      </c>
      <c r="B1873" s="1860"/>
      <c r="C1873" s="1860"/>
      <c r="D1873" s="1860"/>
      <c r="E1873" s="1862"/>
      <c r="F1873" s="1754"/>
      <c r="G1873" s="1902"/>
      <c r="H1873" s="1597"/>
      <c r="I1873" s="1766"/>
      <c r="J1873" s="80" t="s">
        <v>84</v>
      </c>
      <c r="K1873" s="824"/>
      <c r="L1873" s="83">
        <f ca="1">L1864-L1865</f>
        <v>0.30340885030700826</v>
      </c>
      <c r="M1873" s="83">
        <f ca="1">M1864-M1865</f>
        <v>0.69659114969299174</v>
      </c>
      <c r="N1873" s="83">
        <f t="shared" ref="N1873:U1873" ca="1" si="937">N1864-N1865</f>
        <v>0</v>
      </c>
      <c r="O1873" s="83">
        <f t="shared" ca="1" si="937"/>
        <v>0</v>
      </c>
      <c r="P1873" s="83">
        <f t="shared" ca="1" si="937"/>
        <v>0</v>
      </c>
      <c r="Q1873" s="1487">
        <f t="shared" ca="1" si="937"/>
        <v>3066620</v>
      </c>
      <c r="R1873" s="1487">
        <f ca="1">R1864-R1865</f>
        <v>7040600</v>
      </c>
      <c r="S1873" s="1487">
        <f t="shared" ca="1" si="937"/>
        <v>0</v>
      </c>
      <c r="T1873" s="1487">
        <f t="shared" ca="1" si="937"/>
        <v>0</v>
      </c>
      <c r="U1873" s="1487">
        <f t="shared" ca="1" si="937"/>
        <v>0</v>
      </c>
      <c r="V1873" s="1487">
        <f t="shared" ca="1" si="928"/>
        <v>10107220</v>
      </c>
    </row>
    <row r="1874" spans="1:22" s="45" customFormat="1" ht="24" customHeight="1">
      <c r="A1874" s="1860">
        <v>3</v>
      </c>
      <c r="B1874" s="1860">
        <v>3</v>
      </c>
      <c r="C1874" s="1860">
        <v>1</v>
      </c>
      <c r="D1874" s="1860">
        <v>4</v>
      </c>
      <c r="E1874" s="1861" t="s">
        <v>136</v>
      </c>
      <c r="F1874" s="1846" t="str">
        <f>CONCATENATE(A1874,".",B1874,".",C1874,".",D1874,)</f>
        <v>3.3.1.4</v>
      </c>
      <c r="G1874" s="1592" t="s">
        <v>1078</v>
      </c>
      <c r="H1874" s="1650" t="s">
        <v>1016</v>
      </c>
      <c r="I1874" s="1789" t="s">
        <v>1017</v>
      </c>
      <c r="J1874" s="262" t="s">
        <v>79</v>
      </c>
      <c r="K1874" s="908"/>
      <c r="L1874" s="937">
        <f ca="1">'Budget Assumption_Lab Comp2'!G519</f>
        <v>0.14062614419893549</v>
      </c>
      <c r="M1874" s="937">
        <f ca="1">'Budget Assumption_Lab Comp2'!I519</f>
        <v>0.19270718913439785</v>
      </c>
      <c r="N1874" s="937">
        <f ca="1">'Budget Assumption_Lab Comp2'!K519</f>
        <v>0.33333333333333337</v>
      </c>
      <c r="O1874" s="937">
        <f ca="1">'Budget Assumption_Lab Comp2'!M519</f>
        <v>0</v>
      </c>
      <c r="P1874" s="937">
        <f ca="1">'Budget Assumption_Lab Comp2'!O519</f>
        <v>0.33333333333333337</v>
      </c>
      <c r="Q1874" s="1484">
        <f ca="1">L1874*H1879</f>
        <v>15616.436</v>
      </c>
      <c r="R1874" s="1484">
        <f ca="1">M1874*H1879</f>
        <v>21400</v>
      </c>
      <c r="S1874" s="1484">
        <f ca="1">N1874*H1879</f>
        <v>37016.436000000002</v>
      </c>
      <c r="T1874" s="1484">
        <f ca="1">O1874*H1879</f>
        <v>0</v>
      </c>
      <c r="U1874" s="1484">
        <f ca="1">P1874*H1879</f>
        <v>37016.436000000002</v>
      </c>
      <c r="V1874" s="1484">
        <f t="shared" ca="1" si="928"/>
        <v>111049.308</v>
      </c>
    </row>
    <row r="1875" spans="1:22" s="39" customFormat="1" ht="24" customHeight="1">
      <c r="A1875" s="1860">
        <v>3</v>
      </c>
      <c r="B1875" s="1860"/>
      <c r="C1875" s="1860"/>
      <c r="D1875" s="1860"/>
      <c r="E1875" s="1839"/>
      <c r="F1875" s="1844"/>
      <c r="G1875" s="1593"/>
      <c r="H1875" s="1627"/>
      <c r="I1875" s="1765"/>
      <c r="J1875" s="40" t="s">
        <v>80</v>
      </c>
      <c r="K1875" s="91"/>
      <c r="L1875" s="41">
        <f t="shared" ref="L1875:U1875" ca="1" si="938">SUM(L1876:L1882)</f>
        <v>0.14062614419893549</v>
      </c>
      <c r="M1875" s="41">
        <f t="shared" ca="1" si="938"/>
        <v>0.19270718913439785</v>
      </c>
      <c r="N1875" s="41">
        <f t="shared" ca="1" si="938"/>
        <v>0.33333333333333337</v>
      </c>
      <c r="O1875" s="41">
        <f t="shared" ca="1" si="938"/>
        <v>0</v>
      </c>
      <c r="P1875" s="41">
        <f t="shared" ca="1" si="938"/>
        <v>0.33333333333333337</v>
      </c>
      <c r="Q1875" s="1475">
        <f t="shared" ca="1" si="938"/>
        <v>15616.436</v>
      </c>
      <c r="R1875" s="1475">
        <f t="shared" ca="1" si="938"/>
        <v>21400</v>
      </c>
      <c r="S1875" s="1475">
        <f t="shared" ca="1" si="938"/>
        <v>37016.436000000002</v>
      </c>
      <c r="T1875" s="1475">
        <f t="shared" ca="1" si="938"/>
        <v>0</v>
      </c>
      <c r="U1875" s="1475">
        <f t="shared" ca="1" si="938"/>
        <v>37016.436000000002</v>
      </c>
      <c r="V1875" s="1475">
        <f t="shared" ca="1" si="928"/>
        <v>111049.308</v>
      </c>
    </row>
    <row r="1876" spans="1:22" s="39" customFormat="1" ht="24" customHeight="1">
      <c r="A1876" s="1860">
        <v>3</v>
      </c>
      <c r="B1876" s="1860"/>
      <c r="C1876" s="1860"/>
      <c r="D1876" s="1860"/>
      <c r="E1876" s="1839"/>
      <c r="F1876" s="1844"/>
      <c r="G1876" s="1593"/>
      <c r="H1876" s="1627"/>
      <c r="I1876" s="1765"/>
      <c r="J1876" s="40" t="s">
        <v>429</v>
      </c>
      <c r="K1876" s="91"/>
      <c r="L1876" s="41">
        <v>0</v>
      </c>
      <c r="M1876" s="41">
        <v>0</v>
      </c>
      <c r="N1876" s="41">
        <v>0</v>
      </c>
      <c r="O1876" s="38">
        <f ca="1">O1874</f>
        <v>0</v>
      </c>
      <c r="P1876" s="38">
        <f ca="1">P1874</f>
        <v>0.33333333333333337</v>
      </c>
      <c r="Q1876" s="1475">
        <f ca="1">L1876*$H1879</f>
        <v>0</v>
      </c>
      <c r="R1876" s="1475">
        <f ca="1">M1876*$H1879</f>
        <v>0</v>
      </c>
      <c r="S1876" s="1475">
        <f ca="1">N1876*$H1879</f>
        <v>0</v>
      </c>
      <c r="T1876" s="1475">
        <f ca="1">O1876*H1879</f>
        <v>0</v>
      </c>
      <c r="U1876" s="1475">
        <f ca="1">P1876*H1879</f>
        <v>37016.436000000002</v>
      </c>
      <c r="V1876" s="1475">
        <f t="shared" ca="1" si="928"/>
        <v>37016.436000000002</v>
      </c>
    </row>
    <row r="1877" spans="1:22" s="39" customFormat="1" ht="24" customHeight="1">
      <c r="A1877" s="1860">
        <v>3</v>
      </c>
      <c r="B1877" s="1860"/>
      <c r="C1877" s="1860"/>
      <c r="D1877" s="1860"/>
      <c r="E1877" s="1839"/>
      <c r="F1877" s="1844"/>
      <c r="G1877" s="1593"/>
      <c r="H1877" s="1627"/>
      <c r="I1877" s="1765"/>
      <c r="J1877" s="40" t="s">
        <v>133</v>
      </c>
      <c r="K1877" s="42"/>
      <c r="L1877" s="41">
        <v>0</v>
      </c>
      <c r="M1877" s="41">
        <v>0</v>
      </c>
      <c r="N1877" s="41">
        <v>0</v>
      </c>
      <c r="O1877" s="41">
        <v>0</v>
      </c>
      <c r="P1877" s="41">
        <v>0</v>
      </c>
      <c r="Q1877" s="1475">
        <f t="shared" ref="Q1877:U1879" ca="1" si="939">L1877*$H1879</f>
        <v>0</v>
      </c>
      <c r="R1877" s="1475">
        <f t="shared" ca="1" si="939"/>
        <v>0</v>
      </c>
      <c r="S1877" s="1475">
        <f t="shared" ca="1" si="939"/>
        <v>0</v>
      </c>
      <c r="T1877" s="1475">
        <f t="shared" ca="1" si="939"/>
        <v>0</v>
      </c>
      <c r="U1877" s="1475">
        <f t="shared" ca="1" si="939"/>
        <v>0</v>
      </c>
      <c r="V1877" s="1475">
        <f t="shared" ca="1" si="928"/>
        <v>0</v>
      </c>
    </row>
    <row r="1878" spans="1:22" s="39" customFormat="1" ht="24" customHeight="1">
      <c r="A1878" s="1860">
        <v>3</v>
      </c>
      <c r="B1878" s="1860"/>
      <c r="C1878" s="1860"/>
      <c r="D1878" s="1860"/>
      <c r="E1878" s="1839"/>
      <c r="F1878" s="1844"/>
      <c r="G1878" s="1593"/>
      <c r="H1878" s="1628"/>
      <c r="I1878" s="1765"/>
      <c r="J1878" s="40" t="s">
        <v>81</v>
      </c>
      <c r="K1878" s="42"/>
      <c r="L1878" s="41">
        <v>0</v>
      </c>
      <c r="M1878" s="41">
        <v>0</v>
      </c>
      <c r="N1878" s="41">
        <v>0</v>
      </c>
      <c r="O1878" s="41">
        <v>0</v>
      </c>
      <c r="P1878" s="41">
        <v>0</v>
      </c>
      <c r="Q1878" s="1475">
        <f t="shared" si="939"/>
        <v>0</v>
      </c>
      <c r="R1878" s="1475">
        <f t="shared" si="939"/>
        <v>0</v>
      </c>
      <c r="S1878" s="1475">
        <f t="shared" si="939"/>
        <v>0</v>
      </c>
      <c r="T1878" s="1475">
        <f t="shared" si="939"/>
        <v>0</v>
      </c>
      <c r="U1878" s="1475">
        <f t="shared" si="939"/>
        <v>0</v>
      </c>
      <c r="V1878" s="1475">
        <f t="shared" si="928"/>
        <v>0</v>
      </c>
    </row>
    <row r="1879" spans="1:22" s="39" customFormat="1" ht="24" customHeight="1">
      <c r="A1879" s="1860">
        <v>3</v>
      </c>
      <c r="B1879" s="1860"/>
      <c r="C1879" s="1860"/>
      <c r="D1879" s="1860"/>
      <c r="E1879" s="1839"/>
      <c r="F1879" s="1844"/>
      <c r="G1879" s="1593"/>
      <c r="H1879" s="1595">
        <f ca="1">'Budget Assumption_Lab Comp2'!P518</f>
        <v>111049.30799999999</v>
      </c>
      <c r="I1879" s="1765"/>
      <c r="J1879" s="40" t="s">
        <v>134</v>
      </c>
      <c r="K1879" s="42"/>
      <c r="L1879" s="41">
        <v>0</v>
      </c>
      <c r="M1879" s="41">
        <v>0</v>
      </c>
      <c r="N1879" s="41">
        <v>0</v>
      </c>
      <c r="O1879" s="41">
        <v>0</v>
      </c>
      <c r="P1879" s="41">
        <v>0</v>
      </c>
      <c r="Q1879" s="1475">
        <f t="shared" si="939"/>
        <v>0</v>
      </c>
      <c r="R1879" s="1475">
        <f t="shared" si="939"/>
        <v>0</v>
      </c>
      <c r="S1879" s="1475">
        <f t="shared" si="939"/>
        <v>0</v>
      </c>
      <c r="T1879" s="1475">
        <f t="shared" si="939"/>
        <v>0</v>
      </c>
      <c r="U1879" s="1475">
        <f t="shared" si="939"/>
        <v>0</v>
      </c>
      <c r="V1879" s="1475">
        <f t="shared" si="928"/>
        <v>0</v>
      </c>
    </row>
    <row r="1880" spans="1:22" s="39" customFormat="1" ht="24" customHeight="1">
      <c r="A1880" s="1860">
        <v>3</v>
      </c>
      <c r="B1880" s="1860"/>
      <c r="C1880" s="1860"/>
      <c r="D1880" s="1860"/>
      <c r="E1880" s="1839"/>
      <c r="F1880" s="1844"/>
      <c r="G1880" s="1593"/>
      <c r="H1880" s="1596"/>
      <c r="I1880" s="1765"/>
      <c r="J1880" s="40" t="s">
        <v>82</v>
      </c>
      <c r="K1880" s="42"/>
      <c r="L1880" s="38">
        <f ca="1">L1874</f>
        <v>0.14062614419893549</v>
      </c>
      <c r="M1880" s="38">
        <f ca="1">M1874</f>
        <v>0.19270718913439785</v>
      </c>
      <c r="N1880" s="38">
        <f ca="1">N1874</f>
        <v>0.33333333333333337</v>
      </c>
      <c r="O1880" s="41">
        <v>0</v>
      </c>
      <c r="P1880" s="41">
        <v>0</v>
      </c>
      <c r="Q1880" s="1475">
        <f ca="1">L1880*H1879</f>
        <v>15616.436</v>
      </c>
      <c r="R1880" s="1475">
        <f ca="1">R1874</f>
        <v>21400</v>
      </c>
      <c r="S1880" s="1475">
        <f ca="1">S1874</f>
        <v>37016.436000000002</v>
      </c>
      <c r="T1880" s="1475">
        <f ca="1">O1880*$H1879</f>
        <v>0</v>
      </c>
      <c r="U1880" s="1475">
        <f ca="1">P1880*$H1879</f>
        <v>0</v>
      </c>
      <c r="V1880" s="1475">
        <f t="shared" ca="1" si="928"/>
        <v>74032.872000000003</v>
      </c>
    </row>
    <row r="1881" spans="1:22" s="39" customFormat="1" ht="24" customHeight="1">
      <c r="A1881" s="1860">
        <v>3</v>
      </c>
      <c r="B1881" s="1860"/>
      <c r="C1881" s="1860"/>
      <c r="D1881" s="1860"/>
      <c r="E1881" s="1839"/>
      <c r="F1881" s="1844"/>
      <c r="G1881" s="1593"/>
      <c r="H1881" s="1596"/>
      <c r="I1881" s="1765"/>
      <c r="J1881" s="40" t="s">
        <v>90</v>
      </c>
      <c r="K1881" s="42"/>
      <c r="L1881" s="41">
        <v>0</v>
      </c>
      <c r="M1881" s="41">
        <v>0</v>
      </c>
      <c r="N1881" s="41">
        <v>0</v>
      </c>
      <c r="O1881" s="41">
        <v>0</v>
      </c>
      <c r="P1881" s="41">
        <v>0</v>
      </c>
      <c r="Q1881" s="1475">
        <f ca="1">L1881*$H1879</f>
        <v>0</v>
      </c>
      <c r="R1881" s="1475">
        <f ca="1">M1881*$H1879</f>
        <v>0</v>
      </c>
      <c r="S1881" s="1475">
        <f ca="1">N1881*$H1879</f>
        <v>0</v>
      </c>
      <c r="T1881" s="1475">
        <f ca="1">O1881*$H1879</f>
        <v>0</v>
      </c>
      <c r="U1881" s="1475">
        <f ca="1">P1881*$H1879</f>
        <v>0</v>
      </c>
      <c r="V1881" s="1475">
        <f t="shared" ca="1" si="928"/>
        <v>0</v>
      </c>
    </row>
    <row r="1882" spans="1:22" s="39" customFormat="1" ht="24" customHeight="1">
      <c r="A1882" s="1860">
        <v>3</v>
      </c>
      <c r="B1882" s="1860"/>
      <c r="C1882" s="1860"/>
      <c r="D1882" s="1860"/>
      <c r="E1882" s="1839"/>
      <c r="F1882" s="1844"/>
      <c r="G1882" s="1593"/>
      <c r="H1882" s="1596"/>
      <c r="I1882" s="1765"/>
      <c r="J1882" s="40" t="s">
        <v>83</v>
      </c>
      <c r="K1882" s="42"/>
      <c r="L1882" s="41">
        <v>0</v>
      </c>
      <c r="M1882" s="41">
        <v>0</v>
      </c>
      <c r="N1882" s="41">
        <v>0</v>
      </c>
      <c r="O1882" s="41">
        <v>0</v>
      </c>
      <c r="P1882" s="41">
        <v>0</v>
      </c>
      <c r="Q1882" s="1475">
        <f ca="1">L1882*$H1879</f>
        <v>0</v>
      </c>
      <c r="R1882" s="1475">
        <f ca="1">M1882*$H1879</f>
        <v>0</v>
      </c>
      <c r="S1882" s="1475">
        <f ca="1">N1882*$H1879</f>
        <v>0</v>
      </c>
      <c r="T1882" s="1475">
        <f ca="1">O1882*$H1879</f>
        <v>0</v>
      </c>
      <c r="U1882" s="1475">
        <f ca="1">P1882*$H1879</f>
        <v>0</v>
      </c>
      <c r="V1882" s="1475">
        <f t="shared" ca="1" si="928"/>
        <v>0</v>
      </c>
    </row>
    <row r="1883" spans="1:22" s="39" customFormat="1" ht="24" customHeight="1" thickBot="1">
      <c r="A1883" s="1860">
        <v>3</v>
      </c>
      <c r="B1883" s="1860"/>
      <c r="C1883" s="1860"/>
      <c r="D1883" s="1860"/>
      <c r="E1883" s="1862"/>
      <c r="F1883" s="1845"/>
      <c r="G1883" s="1594"/>
      <c r="H1883" s="1597"/>
      <c r="I1883" s="1766"/>
      <c r="J1883" s="80" t="s">
        <v>84</v>
      </c>
      <c r="K1883" s="81"/>
      <c r="L1883" s="814">
        <f ca="1">L1874-L1875</f>
        <v>0</v>
      </c>
      <c r="M1883" s="814">
        <f t="shared" ref="M1883:U1883" ca="1" si="940">M1874-M1875</f>
        <v>0</v>
      </c>
      <c r="N1883" s="814">
        <f t="shared" ca="1" si="940"/>
        <v>0</v>
      </c>
      <c r="O1883" s="814">
        <f t="shared" ca="1" si="940"/>
        <v>0</v>
      </c>
      <c r="P1883" s="814">
        <f t="shared" ca="1" si="940"/>
        <v>0</v>
      </c>
      <c r="Q1883" s="1487">
        <f t="shared" ca="1" si="940"/>
        <v>0</v>
      </c>
      <c r="R1883" s="1487">
        <f t="shared" ca="1" si="940"/>
        <v>0</v>
      </c>
      <c r="S1883" s="1487">
        <f t="shared" ca="1" si="940"/>
        <v>0</v>
      </c>
      <c r="T1883" s="1487">
        <f t="shared" ca="1" si="940"/>
        <v>0</v>
      </c>
      <c r="U1883" s="1487">
        <f t="shared" ca="1" si="940"/>
        <v>0</v>
      </c>
      <c r="V1883" s="1487">
        <f t="shared" ca="1" si="928"/>
        <v>0</v>
      </c>
    </row>
    <row r="1884" spans="1:22" s="45" customFormat="1" ht="24" customHeight="1">
      <c r="A1884" s="1860">
        <v>3</v>
      </c>
      <c r="B1884" s="1860">
        <v>3</v>
      </c>
      <c r="C1884" s="1860">
        <v>1</v>
      </c>
      <c r="D1884" s="1860">
        <v>5</v>
      </c>
      <c r="E1884" s="1861" t="s">
        <v>136</v>
      </c>
      <c r="F1884" s="1846" t="str">
        <f>CONCATENATE(A1884,".",B1884,".",C1884,".",D1884,)</f>
        <v>3.3.1.5</v>
      </c>
      <c r="G1884" s="1592" t="s">
        <v>1079</v>
      </c>
      <c r="H1884" s="1650" t="s">
        <v>1016</v>
      </c>
      <c r="I1884" s="1789" t="s">
        <v>1017</v>
      </c>
      <c r="J1884" s="262" t="s">
        <v>79</v>
      </c>
      <c r="K1884" s="935"/>
      <c r="L1884" s="937">
        <f>'Budget Assumption_Lab Comp2'!G529</f>
        <v>0.2</v>
      </c>
      <c r="M1884" s="937">
        <f>'Budget Assumption_Lab Comp2'!I529</f>
        <v>0.2</v>
      </c>
      <c r="N1884" s="937">
        <f>'Budget Assumption_Lab Comp2'!K529</f>
        <v>0.2</v>
      </c>
      <c r="O1884" s="937">
        <f>'Budget Assumption_Lab Comp2'!M529</f>
        <v>0.2</v>
      </c>
      <c r="P1884" s="937">
        <f>'Budget Assumption_Lab Comp2'!O529</f>
        <v>0.2</v>
      </c>
      <c r="Q1884" s="1484">
        <f>L1884*H1889</f>
        <v>59920</v>
      </c>
      <c r="R1884" s="1484">
        <f>M1884*H1889</f>
        <v>59920</v>
      </c>
      <c r="S1884" s="1484">
        <f>N1884*H1889</f>
        <v>59920</v>
      </c>
      <c r="T1884" s="1484">
        <f>O1884*H1889</f>
        <v>59920</v>
      </c>
      <c r="U1884" s="1484">
        <f>P1884*H1889</f>
        <v>59920</v>
      </c>
      <c r="V1884" s="1484">
        <f t="shared" ref="V1884:V1905" si="941">SUM(Q1884:U1884)</f>
        <v>299600</v>
      </c>
    </row>
    <row r="1885" spans="1:22" s="39" customFormat="1" ht="24" customHeight="1">
      <c r="A1885" s="1860">
        <v>3</v>
      </c>
      <c r="B1885" s="1860"/>
      <c r="C1885" s="1860"/>
      <c r="D1885" s="1860"/>
      <c r="E1885" s="1839"/>
      <c r="F1885" s="1844"/>
      <c r="G1885" s="1593"/>
      <c r="H1885" s="1627"/>
      <c r="I1885" s="1765"/>
      <c r="J1885" s="40" t="s">
        <v>80</v>
      </c>
      <c r="K1885" s="91"/>
      <c r="L1885" s="41">
        <f t="shared" ref="L1885:T1885" si="942">SUM(L1886:L1892)</f>
        <v>0.2</v>
      </c>
      <c r="M1885" s="41">
        <f t="shared" si="942"/>
        <v>0.2</v>
      </c>
      <c r="N1885" s="41">
        <f t="shared" si="942"/>
        <v>0.2</v>
      </c>
      <c r="O1885" s="38">
        <f>O1884</f>
        <v>0.2</v>
      </c>
      <c r="P1885" s="38">
        <f>P1884</f>
        <v>0.2</v>
      </c>
      <c r="Q1885" s="1475">
        <f>SUM(Q1886:Q1892)</f>
        <v>59920</v>
      </c>
      <c r="R1885" s="1475">
        <f>SUM(R1886:R1892)</f>
        <v>59920</v>
      </c>
      <c r="S1885" s="1475">
        <f t="shared" si="942"/>
        <v>59920</v>
      </c>
      <c r="T1885" s="1475">
        <f t="shared" si="942"/>
        <v>59920</v>
      </c>
      <c r="U1885" s="1475">
        <f>SUM(U1886:U1892)</f>
        <v>59920</v>
      </c>
      <c r="V1885" s="1475">
        <f t="shared" si="941"/>
        <v>299600</v>
      </c>
    </row>
    <row r="1886" spans="1:22" s="39" customFormat="1" ht="24" customHeight="1">
      <c r="A1886" s="1860">
        <v>3</v>
      </c>
      <c r="B1886" s="1860"/>
      <c r="C1886" s="1860"/>
      <c r="D1886" s="1860"/>
      <c r="E1886" s="1839"/>
      <c r="F1886" s="1844"/>
      <c r="G1886" s="1593"/>
      <c r="H1886" s="1627"/>
      <c r="I1886" s="1765"/>
      <c r="J1886" s="40" t="s">
        <v>429</v>
      </c>
      <c r="K1886" s="91"/>
      <c r="L1886" s="41">
        <v>0</v>
      </c>
      <c r="M1886" s="41">
        <v>0</v>
      </c>
      <c r="N1886" s="41">
        <v>0</v>
      </c>
      <c r="O1886" s="41">
        <v>0</v>
      </c>
      <c r="P1886" s="41">
        <v>0</v>
      </c>
      <c r="Q1886" s="1475">
        <f>L1886*$H1889</f>
        <v>0</v>
      </c>
      <c r="R1886" s="1475">
        <f>M1886*$H1889</f>
        <v>0</v>
      </c>
      <c r="S1886" s="1475">
        <f>N1886*$H1889</f>
        <v>0</v>
      </c>
      <c r="T1886" s="1475">
        <f>T1884</f>
        <v>59920</v>
      </c>
      <c r="U1886" s="1475">
        <f>U1884</f>
        <v>59920</v>
      </c>
      <c r="V1886" s="1475">
        <f t="shared" si="941"/>
        <v>119840</v>
      </c>
    </row>
    <row r="1887" spans="1:22" s="39" customFormat="1" ht="24" customHeight="1">
      <c r="A1887" s="1860">
        <v>3</v>
      </c>
      <c r="B1887" s="1860"/>
      <c r="C1887" s="1860"/>
      <c r="D1887" s="1860"/>
      <c r="E1887" s="1839"/>
      <c r="F1887" s="1844"/>
      <c r="G1887" s="1593"/>
      <c r="H1887" s="1627"/>
      <c r="I1887" s="1765"/>
      <c r="J1887" s="40" t="s">
        <v>133</v>
      </c>
      <c r="K1887" s="91"/>
      <c r="L1887" s="41">
        <v>0</v>
      </c>
      <c r="M1887" s="41">
        <v>0</v>
      </c>
      <c r="N1887" s="41">
        <v>0</v>
      </c>
      <c r="O1887" s="41">
        <v>0</v>
      </c>
      <c r="P1887" s="41">
        <v>0</v>
      </c>
      <c r="Q1887" s="1475">
        <f t="shared" ref="Q1887:U1889" si="943">L1887*$H1889</f>
        <v>0</v>
      </c>
      <c r="R1887" s="1475">
        <f t="shared" si="943"/>
        <v>0</v>
      </c>
      <c r="S1887" s="1475">
        <f t="shared" si="943"/>
        <v>0</v>
      </c>
      <c r="T1887" s="1475">
        <f t="shared" si="943"/>
        <v>0</v>
      </c>
      <c r="U1887" s="1475">
        <f t="shared" si="943"/>
        <v>0</v>
      </c>
      <c r="V1887" s="1475">
        <f t="shared" si="941"/>
        <v>0</v>
      </c>
    </row>
    <row r="1888" spans="1:22" s="39" customFormat="1" ht="24" customHeight="1">
      <c r="A1888" s="1860">
        <v>3</v>
      </c>
      <c r="B1888" s="1860"/>
      <c r="C1888" s="1860"/>
      <c r="D1888" s="1860"/>
      <c r="E1888" s="1839"/>
      <c r="F1888" s="1844"/>
      <c r="G1888" s="1593"/>
      <c r="H1888" s="1628"/>
      <c r="I1888" s="1765"/>
      <c r="J1888" s="40" t="s">
        <v>81</v>
      </c>
      <c r="K1888" s="91"/>
      <c r="L1888" s="41">
        <v>0</v>
      </c>
      <c r="M1888" s="41">
        <v>0</v>
      </c>
      <c r="N1888" s="41">
        <v>0</v>
      </c>
      <c r="O1888" s="41">
        <v>0</v>
      </c>
      <c r="P1888" s="41">
        <v>0</v>
      </c>
      <c r="Q1888" s="1475">
        <f t="shared" si="943"/>
        <v>0</v>
      </c>
      <c r="R1888" s="1475">
        <f t="shared" si="943"/>
        <v>0</v>
      </c>
      <c r="S1888" s="1475">
        <f t="shared" si="943"/>
        <v>0</v>
      </c>
      <c r="T1888" s="1475">
        <f t="shared" si="943"/>
        <v>0</v>
      </c>
      <c r="U1888" s="1475">
        <f t="shared" si="943"/>
        <v>0</v>
      </c>
      <c r="V1888" s="1475">
        <f t="shared" si="941"/>
        <v>0</v>
      </c>
    </row>
    <row r="1889" spans="1:22" s="39" customFormat="1" ht="24" customHeight="1">
      <c r="A1889" s="1860">
        <v>3</v>
      </c>
      <c r="B1889" s="1860"/>
      <c r="C1889" s="1860"/>
      <c r="D1889" s="1860"/>
      <c r="E1889" s="1839"/>
      <c r="F1889" s="1844"/>
      <c r="G1889" s="1593"/>
      <c r="H1889" s="1595">
        <f>'Budget Assumption_Lab Comp2'!P528</f>
        <v>299600</v>
      </c>
      <c r="I1889" s="1765"/>
      <c r="J1889" s="40" t="s">
        <v>134</v>
      </c>
      <c r="K1889" s="91"/>
      <c r="L1889" s="41">
        <v>0</v>
      </c>
      <c r="M1889" s="41">
        <v>0</v>
      </c>
      <c r="N1889" s="41">
        <v>0</v>
      </c>
      <c r="O1889" s="41">
        <v>0</v>
      </c>
      <c r="P1889" s="41">
        <v>0</v>
      </c>
      <c r="Q1889" s="1475">
        <f t="shared" si="943"/>
        <v>0</v>
      </c>
      <c r="R1889" s="1475">
        <f t="shared" si="943"/>
        <v>0</v>
      </c>
      <c r="S1889" s="1475">
        <f t="shared" si="943"/>
        <v>0</v>
      </c>
      <c r="T1889" s="1475">
        <f t="shared" si="943"/>
        <v>0</v>
      </c>
      <c r="U1889" s="1475">
        <f t="shared" si="943"/>
        <v>0</v>
      </c>
      <c r="V1889" s="1475">
        <f t="shared" si="941"/>
        <v>0</v>
      </c>
    </row>
    <row r="1890" spans="1:22" s="39" customFormat="1" ht="24" customHeight="1">
      <c r="A1890" s="1860">
        <v>3</v>
      </c>
      <c r="B1890" s="1860"/>
      <c r="C1890" s="1860"/>
      <c r="D1890" s="1860"/>
      <c r="E1890" s="1839"/>
      <c r="F1890" s="1844"/>
      <c r="G1890" s="1593"/>
      <c r="H1890" s="1596"/>
      <c r="I1890" s="1765"/>
      <c r="J1890" s="40" t="s">
        <v>82</v>
      </c>
      <c r="K1890" s="91"/>
      <c r="L1890" s="38">
        <f>L1884</f>
        <v>0.2</v>
      </c>
      <c r="M1890" s="38">
        <f t="shared" ref="M1890:N1890" si="944">M1884</f>
        <v>0.2</v>
      </c>
      <c r="N1890" s="38">
        <f t="shared" si="944"/>
        <v>0.2</v>
      </c>
      <c r="O1890" s="38">
        <v>0</v>
      </c>
      <c r="P1890" s="38">
        <v>0</v>
      </c>
      <c r="Q1890" s="1475">
        <f>Q1884</f>
        <v>59920</v>
      </c>
      <c r="R1890" s="1475">
        <f t="shared" ref="R1890:S1890" si="945">R1884</f>
        <v>59920</v>
      </c>
      <c r="S1890" s="1475">
        <f t="shared" si="945"/>
        <v>59920</v>
      </c>
      <c r="T1890" s="1475">
        <f>O1890*$H1889</f>
        <v>0</v>
      </c>
      <c r="U1890" s="1475">
        <f>P1890*$H1889</f>
        <v>0</v>
      </c>
      <c r="V1890" s="1475">
        <f t="shared" si="941"/>
        <v>179760</v>
      </c>
    </row>
    <row r="1891" spans="1:22" s="39" customFormat="1" ht="24" customHeight="1">
      <c r="A1891" s="1860">
        <v>3</v>
      </c>
      <c r="B1891" s="1860"/>
      <c r="C1891" s="1860"/>
      <c r="D1891" s="1860"/>
      <c r="E1891" s="1839"/>
      <c r="F1891" s="1844"/>
      <c r="G1891" s="1593"/>
      <c r="H1891" s="1596"/>
      <c r="I1891" s="1765"/>
      <c r="J1891" s="40" t="s">
        <v>90</v>
      </c>
      <c r="K1891" s="91"/>
      <c r="L1891" s="41">
        <v>0</v>
      </c>
      <c r="M1891" s="41">
        <v>0</v>
      </c>
      <c r="N1891" s="41">
        <v>0</v>
      </c>
      <c r="O1891" s="41">
        <v>0</v>
      </c>
      <c r="P1891" s="41">
        <v>0</v>
      </c>
      <c r="Q1891" s="1475">
        <f t="shared" ref="Q1891:U1892" si="946">L1891*$H1889</f>
        <v>0</v>
      </c>
      <c r="R1891" s="1475">
        <f t="shared" si="946"/>
        <v>0</v>
      </c>
      <c r="S1891" s="1475">
        <f t="shared" si="946"/>
        <v>0</v>
      </c>
      <c r="T1891" s="1475">
        <f t="shared" si="946"/>
        <v>0</v>
      </c>
      <c r="U1891" s="1475">
        <f t="shared" si="946"/>
        <v>0</v>
      </c>
      <c r="V1891" s="1475">
        <f t="shared" si="941"/>
        <v>0</v>
      </c>
    </row>
    <row r="1892" spans="1:22" s="39" customFormat="1" ht="24" customHeight="1">
      <c r="A1892" s="1860">
        <v>3</v>
      </c>
      <c r="B1892" s="1860"/>
      <c r="C1892" s="1860"/>
      <c r="D1892" s="1860"/>
      <c r="E1892" s="1839"/>
      <c r="F1892" s="1844"/>
      <c r="G1892" s="1593"/>
      <c r="H1892" s="1596"/>
      <c r="I1892" s="1765"/>
      <c r="J1892" s="40" t="s">
        <v>83</v>
      </c>
      <c r="K1892" s="91"/>
      <c r="L1892" s="41">
        <v>0</v>
      </c>
      <c r="M1892" s="41">
        <v>0</v>
      </c>
      <c r="N1892" s="41">
        <v>0</v>
      </c>
      <c r="O1892" s="41">
        <v>0</v>
      </c>
      <c r="P1892" s="41">
        <v>0</v>
      </c>
      <c r="Q1892" s="1475">
        <f t="shared" si="946"/>
        <v>0</v>
      </c>
      <c r="R1892" s="1475">
        <f t="shared" si="946"/>
        <v>0</v>
      </c>
      <c r="S1892" s="1475">
        <f t="shared" si="946"/>
        <v>0</v>
      </c>
      <c r="T1892" s="1475">
        <f t="shared" si="946"/>
        <v>0</v>
      </c>
      <c r="U1892" s="1475">
        <f t="shared" si="946"/>
        <v>0</v>
      </c>
      <c r="V1892" s="1475">
        <f t="shared" si="941"/>
        <v>0</v>
      </c>
    </row>
    <row r="1893" spans="1:22" s="39" customFormat="1" ht="24" customHeight="1" thickBot="1">
      <c r="A1893" s="1860">
        <v>3</v>
      </c>
      <c r="B1893" s="1860"/>
      <c r="C1893" s="1860"/>
      <c r="D1893" s="1860"/>
      <c r="E1893" s="1862"/>
      <c r="F1893" s="1845"/>
      <c r="G1893" s="1594"/>
      <c r="H1893" s="1597"/>
      <c r="I1893" s="1766"/>
      <c r="J1893" s="80" t="s">
        <v>84</v>
      </c>
      <c r="K1893" s="824"/>
      <c r="L1893" s="814">
        <f>L1884-L1885</f>
        <v>0</v>
      </c>
      <c r="M1893" s="814">
        <f t="shared" ref="M1893:U1893" si="947">M1884-M1885</f>
        <v>0</v>
      </c>
      <c r="N1893" s="814">
        <f t="shared" si="947"/>
        <v>0</v>
      </c>
      <c r="O1893" s="83">
        <f>O1884-O1885</f>
        <v>0</v>
      </c>
      <c r="P1893" s="83">
        <f t="shared" si="947"/>
        <v>0</v>
      </c>
      <c r="Q1893" s="1487">
        <f t="shared" si="947"/>
        <v>0</v>
      </c>
      <c r="R1893" s="1487">
        <f t="shared" si="947"/>
        <v>0</v>
      </c>
      <c r="S1893" s="1487">
        <f t="shared" si="947"/>
        <v>0</v>
      </c>
      <c r="T1893" s="1487">
        <f t="shared" si="947"/>
        <v>0</v>
      </c>
      <c r="U1893" s="1487">
        <f t="shared" si="947"/>
        <v>0</v>
      </c>
      <c r="V1893" s="1487">
        <f t="shared" si="941"/>
        <v>0</v>
      </c>
    </row>
    <row r="1894" spans="1:22" s="45" customFormat="1" ht="24" customHeight="1">
      <c r="A1894" s="1860">
        <v>3</v>
      </c>
      <c r="B1894" s="1860">
        <v>3</v>
      </c>
      <c r="C1894" s="1860">
        <v>1</v>
      </c>
      <c r="D1894" s="1860">
        <v>6</v>
      </c>
      <c r="E1894" s="1861" t="s">
        <v>136</v>
      </c>
      <c r="F1894" s="1846" t="str">
        <f>CONCATENATE(A1894,".",B1894,".",C1894,".",D1894,)</f>
        <v>3.3.1.6</v>
      </c>
      <c r="G1894" s="1592" t="s">
        <v>1125</v>
      </c>
      <c r="H1894" s="1650" t="s">
        <v>566</v>
      </c>
      <c r="I1894" s="1789" t="s">
        <v>1017</v>
      </c>
      <c r="J1894" s="262" t="s">
        <v>79</v>
      </c>
      <c r="K1894" s="908"/>
      <c r="L1894" s="937">
        <f>'Budget Assumption_Lab Comp2'!G548</f>
        <v>1.4668133480014669E-2</v>
      </c>
      <c r="M1894" s="937">
        <f>'Budget Assumption_Lab Comp2'!I548</f>
        <v>0.11001100110011001</v>
      </c>
      <c r="N1894" s="937">
        <f>'Budget Assumption_Lab Comp2'!K548</f>
        <v>0.46736340300696738</v>
      </c>
      <c r="O1894" s="937">
        <f>'Budget Assumption_Lab Comp2'!M548</f>
        <v>0.11001100110011001</v>
      </c>
      <c r="P1894" s="937">
        <f>'Budget Assumption_Lab Comp2'!O548</f>
        <v>0.29794646131279795</v>
      </c>
      <c r="Q1894" s="1484">
        <f>L1894*H1899</f>
        <v>40000</v>
      </c>
      <c r="R1894" s="1484">
        <f>M1894*H1899</f>
        <v>300000</v>
      </c>
      <c r="S1894" s="1484">
        <f>N1894*H1899</f>
        <v>1274500</v>
      </c>
      <c r="T1894" s="1484">
        <f>O1894*H1899</f>
        <v>300000</v>
      </c>
      <c r="U1894" s="1484">
        <f>P1894*H1899</f>
        <v>812500</v>
      </c>
      <c r="V1894" s="1484">
        <f t="shared" si="941"/>
        <v>2727000</v>
      </c>
    </row>
    <row r="1895" spans="1:22" s="39" customFormat="1" ht="24" customHeight="1">
      <c r="A1895" s="1860">
        <v>3</v>
      </c>
      <c r="B1895" s="1860"/>
      <c r="C1895" s="1860"/>
      <c r="D1895" s="1860"/>
      <c r="E1895" s="1839"/>
      <c r="F1895" s="1844"/>
      <c r="G1895" s="1593"/>
      <c r="H1895" s="1627"/>
      <c r="I1895" s="1765"/>
      <c r="J1895" s="40" t="s">
        <v>80</v>
      </c>
      <c r="K1895" s="91"/>
      <c r="L1895" s="41">
        <f t="shared" ref="L1895:U1895" si="948">SUM(L1896:L1902)</f>
        <v>1.4668133480014669E-2</v>
      </c>
      <c r="M1895" s="41">
        <f t="shared" si="948"/>
        <v>0.11001100110011001</v>
      </c>
      <c r="N1895" s="41">
        <f t="shared" si="948"/>
        <v>0.46736340300696738</v>
      </c>
      <c r="O1895" s="41">
        <f t="shared" si="948"/>
        <v>0</v>
      </c>
      <c r="P1895" s="41">
        <f t="shared" si="948"/>
        <v>0</v>
      </c>
      <c r="Q1895" s="1475">
        <f t="shared" si="948"/>
        <v>40000</v>
      </c>
      <c r="R1895" s="1475">
        <f t="shared" si="948"/>
        <v>300000</v>
      </c>
      <c r="S1895" s="1475">
        <f t="shared" si="948"/>
        <v>1274500</v>
      </c>
      <c r="T1895" s="1475">
        <f t="shared" si="948"/>
        <v>0</v>
      </c>
      <c r="U1895" s="1475">
        <f t="shared" si="948"/>
        <v>0</v>
      </c>
      <c r="V1895" s="1475">
        <f t="shared" si="941"/>
        <v>1614500</v>
      </c>
    </row>
    <row r="1896" spans="1:22" s="39" customFormat="1" ht="24" customHeight="1">
      <c r="A1896" s="1860">
        <v>3</v>
      </c>
      <c r="B1896" s="1860"/>
      <c r="C1896" s="1860"/>
      <c r="D1896" s="1860"/>
      <c r="E1896" s="1839"/>
      <c r="F1896" s="1844"/>
      <c r="G1896" s="1593"/>
      <c r="H1896" s="1627"/>
      <c r="I1896" s="1765"/>
      <c r="J1896" s="40" t="s">
        <v>429</v>
      </c>
      <c r="K1896" s="42"/>
      <c r="L1896" s="41">
        <v>0</v>
      </c>
      <c r="M1896" s="41">
        <v>0</v>
      </c>
      <c r="N1896" s="41">
        <v>0</v>
      </c>
      <c r="O1896" s="41">
        <v>0</v>
      </c>
      <c r="P1896" s="41">
        <v>0</v>
      </c>
      <c r="Q1896" s="1475">
        <f>L1896*$H1899</f>
        <v>0</v>
      </c>
      <c r="R1896" s="1475">
        <f>M1896*$H1899</f>
        <v>0</v>
      </c>
      <c r="S1896" s="1475">
        <f>N1896*$H1899</f>
        <v>0</v>
      </c>
      <c r="T1896" s="1475">
        <f>O1896*H1899</f>
        <v>0</v>
      </c>
      <c r="U1896" s="1475">
        <f>P1896*$H1899</f>
        <v>0</v>
      </c>
      <c r="V1896" s="1475">
        <f t="shared" si="941"/>
        <v>0</v>
      </c>
    </row>
    <row r="1897" spans="1:22" s="39" customFormat="1" ht="24" customHeight="1">
      <c r="A1897" s="1860">
        <v>3</v>
      </c>
      <c r="B1897" s="1860"/>
      <c r="C1897" s="1860"/>
      <c r="D1897" s="1860"/>
      <c r="E1897" s="1839"/>
      <c r="F1897" s="1844"/>
      <c r="G1897" s="1593"/>
      <c r="H1897" s="1627"/>
      <c r="I1897" s="1765"/>
      <c r="J1897" s="40" t="s">
        <v>133</v>
      </c>
      <c r="K1897" s="42"/>
      <c r="L1897" s="41">
        <v>0</v>
      </c>
      <c r="M1897" s="41">
        <v>0</v>
      </c>
      <c r="N1897" s="41">
        <v>0</v>
      </c>
      <c r="O1897" s="41">
        <v>0</v>
      </c>
      <c r="P1897" s="41">
        <v>0</v>
      </c>
      <c r="Q1897" s="1475">
        <f>L1897*$H1899</f>
        <v>0</v>
      </c>
      <c r="R1897" s="1475">
        <f>M1897*$H1899</f>
        <v>0</v>
      </c>
      <c r="S1897" s="1475">
        <f>N1897*$H1899</f>
        <v>0</v>
      </c>
      <c r="T1897" s="1475">
        <f>O1897*$H1899</f>
        <v>0</v>
      </c>
      <c r="U1897" s="1475">
        <f>P1897*$H1899</f>
        <v>0</v>
      </c>
      <c r="V1897" s="1475">
        <f t="shared" si="941"/>
        <v>0</v>
      </c>
    </row>
    <row r="1898" spans="1:22" s="39" customFormat="1" ht="24" customHeight="1">
      <c r="A1898" s="1860">
        <v>3</v>
      </c>
      <c r="B1898" s="1860"/>
      <c r="C1898" s="1860"/>
      <c r="D1898" s="1860"/>
      <c r="E1898" s="1839"/>
      <c r="F1898" s="1844"/>
      <c r="G1898" s="1593"/>
      <c r="H1898" s="1628"/>
      <c r="I1898" s="1765"/>
      <c r="J1898" s="40" t="s">
        <v>81</v>
      </c>
      <c r="K1898" s="42"/>
      <c r="L1898" s="41">
        <v>0</v>
      </c>
      <c r="M1898" s="41">
        <v>0</v>
      </c>
      <c r="N1898" s="41">
        <v>0</v>
      </c>
      <c r="O1898" s="41">
        <v>0</v>
      </c>
      <c r="P1898" s="41">
        <v>0</v>
      </c>
      <c r="Q1898" s="1475">
        <f>L1898*$H1899</f>
        <v>0</v>
      </c>
      <c r="R1898" s="1475">
        <f>M1898*$H1899</f>
        <v>0</v>
      </c>
      <c r="S1898" s="1475">
        <f>N1898*$H1899</f>
        <v>0</v>
      </c>
      <c r="T1898" s="1475">
        <f>O1898*$H1899</f>
        <v>0</v>
      </c>
      <c r="U1898" s="1475">
        <f>P1898*$H1899</f>
        <v>0</v>
      </c>
      <c r="V1898" s="1475">
        <f t="shared" si="941"/>
        <v>0</v>
      </c>
    </row>
    <row r="1899" spans="1:22" s="39" customFormat="1" ht="24" customHeight="1">
      <c r="A1899" s="1860">
        <v>3</v>
      </c>
      <c r="B1899" s="1860"/>
      <c r="C1899" s="1860"/>
      <c r="D1899" s="1860"/>
      <c r="E1899" s="1839"/>
      <c r="F1899" s="1844"/>
      <c r="G1899" s="1593"/>
      <c r="H1899" s="1595">
        <f>'Budget Assumption_Lab Comp2'!P547</f>
        <v>2727000</v>
      </c>
      <c r="I1899" s="1765"/>
      <c r="J1899" s="40" t="s">
        <v>134</v>
      </c>
      <c r="K1899" s="42"/>
      <c r="L1899" s="41">
        <v>0</v>
      </c>
      <c r="M1899" s="41">
        <v>0</v>
      </c>
      <c r="N1899" s="41">
        <v>0</v>
      </c>
      <c r="O1899" s="41">
        <v>0</v>
      </c>
      <c r="P1899" s="41">
        <v>0</v>
      </c>
      <c r="Q1899" s="1475">
        <f>L1899*$H1899</f>
        <v>0</v>
      </c>
      <c r="R1899" s="1475">
        <f>M1899*$H1899</f>
        <v>0</v>
      </c>
      <c r="S1899" s="1475">
        <f>N1899*$H1899</f>
        <v>0</v>
      </c>
      <c r="T1899" s="1475">
        <f>O1899*$H1899</f>
        <v>0</v>
      </c>
      <c r="U1899" s="1475">
        <f>P1899*$H1899</f>
        <v>0</v>
      </c>
      <c r="V1899" s="1475">
        <f t="shared" si="941"/>
        <v>0</v>
      </c>
    </row>
    <row r="1900" spans="1:22" s="39" customFormat="1" ht="24" customHeight="1">
      <c r="A1900" s="1860">
        <v>3</v>
      </c>
      <c r="B1900" s="1860"/>
      <c r="C1900" s="1860"/>
      <c r="D1900" s="1860"/>
      <c r="E1900" s="1839"/>
      <c r="F1900" s="1844"/>
      <c r="G1900" s="1593"/>
      <c r="H1900" s="1596"/>
      <c r="I1900" s="1765"/>
      <c r="J1900" s="40" t="s">
        <v>82</v>
      </c>
      <c r="K1900" s="42"/>
      <c r="L1900" s="38">
        <f>L1894</f>
        <v>1.4668133480014669E-2</v>
      </c>
      <c r="M1900" s="38">
        <f t="shared" ref="M1900:N1900" si="949">M1894</f>
        <v>0.11001100110011001</v>
      </c>
      <c r="N1900" s="38">
        <f t="shared" si="949"/>
        <v>0.46736340300696738</v>
      </c>
      <c r="O1900" s="41">
        <v>0</v>
      </c>
      <c r="P1900" s="41">
        <v>0</v>
      </c>
      <c r="Q1900" s="1475">
        <f>L1900*H1899</f>
        <v>40000</v>
      </c>
      <c r="R1900" s="1475">
        <f>M1900*H1899</f>
        <v>300000</v>
      </c>
      <c r="S1900" s="1475">
        <f>N1900*H1899</f>
        <v>1274500</v>
      </c>
      <c r="T1900" s="1475">
        <f>O1900*$H1899</f>
        <v>0</v>
      </c>
      <c r="U1900" s="1475">
        <f>P1900*$H1899</f>
        <v>0</v>
      </c>
      <c r="V1900" s="1475">
        <f t="shared" si="941"/>
        <v>1614500</v>
      </c>
    </row>
    <row r="1901" spans="1:22" s="39" customFormat="1" ht="24" customHeight="1">
      <c r="A1901" s="1860">
        <v>3</v>
      </c>
      <c r="B1901" s="1860"/>
      <c r="C1901" s="1860"/>
      <c r="D1901" s="1860"/>
      <c r="E1901" s="1839"/>
      <c r="F1901" s="1844"/>
      <c r="G1901" s="1593"/>
      <c r="H1901" s="1596"/>
      <c r="I1901" s="1765"/>
      <c r="J1901" s="40" t="s">
        <v>90</v>
      </c>
      <c r="K1901" s="42"/>
      <c r="L1901" s="41">
        <v>0</v>
      </c>
      <c r="M1901" s="41">
        <v>0</v>
      </c>
      <c r="N1901" s="41">
        <v>0</v>
      </c>
      <c r="O1901" s="41">
        <v>0</v>
      </c>
      <c r="P1901" s="41">
        <v>0</v>
      </c>
      <c r="Q1901" s="1475">
        <f>L1901*$H1899</f>
        <v>0</v>
      </c>
      <c r="R1901" s="1475">
        <f>M1901*$H1899</f>
        <v>0</v>
      </c>
      <c r="S1901" s="1475">
        <f>N1901*$H1899</f>
        <v>0</v>
      </c>
      <c r="T1901" s="1475">
        <f>O1901*$H1899</f>
        <v>0</v>
      </c>
      <c r="U1901" s="1475">
        <f>P1901*$H1899</f>
        <v>0</v>
      </c>
      <c r="V1901" s="1475">
        <f t="shared" si="941"/>
        <v>0</v>
      </c>
    </row>
    <row r="1902" spans="1:22" s="39" customFormat="1" ht="24" customHeight="1">
      <c r="A1902" s="1860">
        <v>3</v>
      </c>
      <c r="B1902" s="1860"/>
      <c r="C1902" s="1860"/>
      <c r="D1902" s="1860"/>
      <c r="E1902" s="1839"/>
      <c r="F1902" s="1844"/>
      <c r="G1902" s="1593"/>
      <c r="H1902" s="1596"/>
      <c r="I1902" s="1765"/>
      <c r="J1902" s="40" t="s">
        <v>83</v>
      </c>
      <c r="K1902" s="42"/>
      <c r="L1902" s="41">
        <v>0</v>
      </c>
      <c r="M1902" s="41">
        <v>0</v>
      </c>
      <c r="N1902" s="41">
        <v>0</v>
      </c>
      <c r="O1902" s="41">
        <v>0</v>
      </c>
      <c r="P1902" s="41">
        <v>0</v>
      </c>
      <c r="Q1902" s="1475">
        <f>L1902*$H1899</f>
        <v>0</v>
      </c>
      <c r="R1902" s="1475">
        <f>M1902*$H1899</f>
        <v>0</v>
      </c>
      <c r="S1902" s="1475">
        <f>N1902*$H1899</f>
        <v>0</v>
      </c>
      <c r="T1902" s="1475">
        <f>O1902*$H1899</f>
        <v>0</v>
      </c>
      <c r="U1902" s="1475">
        <f>P1902*$H1899</f>
        <v>0</v>
      </c>
      <c r="V1902" s="1475">
        <f t="shared" si="941"/>
        <v>0</v>
      </c>
    </row>
    <row r="1903" spans="1:22" s="39" customFormat="1" ht="24" customHeight="1" thickBot="1">
      <c r="A1903" s="1860">
        <v>3</v>
      </c>
      <c r="B1903" s="1860"/>
      <c r="C1903" s="1860"/>
      <c r="D1903" s="1860"/>
      <c r="E1903" s="1862"/>
      <c r="F1903" s="1845"/>
      <c r="G1903" s="1594"/>
      <c r="H1903" s="1597"/>
      <c r="I1903" s="1766"/>
      <c r="J1903" s="80" t="s">
        <v>84</v>
      </c>
      <c r="K1903" s="81"/>
      <c r="L1903" s="814">
        <f>L1894-L1895</f>
        <v>0</v>
      </c>
      <c r="M1903" s="814">
        <f>M1894-M1895</f>
        <v>0</v>
      </c>
      <c r="N1903" s="814">
        <f>N1894-N1895</f>
        <v>0</v>
      </c>
      <c r="O1903" s="83">
        <f>O1894-O1895</f>
        <v>0.11001100110011001</v>
      </c>
      <c r="P1903" s="83">
        <f>P1894-P1895</f>
        <v>0.29794646131279795</v>
      </c>
      <c r="Q1903" s="1487">
        <f t="shared" ref="Q1903:U1903" si="950">Q1894-Q1895</f>
        <v>0</v>
      </c>
      <c r="R1903" s="1487">
        <f t="shared" si="950"/>
        <v>0</v>
      </c>
      <c r="S1903" s="1487">
        <f t="shared" si="950"/>
        <v>0</v>
      </c>
      <c r="T1903" s="1487">
        <f t="shared" si="950"/>
        <v>300000</v>
      </c>
      <c r="U1903" s="1487">
        <f t="shared" si="950"/>
        <v>812500</v>
      </c>
      <c r="V1903" s="1487">
        <f t="shared" si="941"/>
        <v>1112500</v>
      </c>
    </row>
    <row r="1904" spans="1:22" s="45" customFormat="1" ht="24" customHeight="1">
      <c r="A1904" s="1860">
        <v>3</v>
      </c>
      <c r="B1904" s="1860">
        <v>3</v>
      </c>
      <c r="C1904" s="1860">
        <v>1</v>
      </c>
      <c r="D1904" s="1860">
        <v>7</v>
      </c>
      <c r="E1904" s="1861" t="s">
        <v>136</v>
      </c>
      <c r="F1904" s="1846" t="str">
        <f>CONCATENATE(A1904,".",B1904,".",C1904,".",D1904,)</f>
        <v>3.3.1.7</v>
      </c>
      <c r="G1904" s="1592" t="s">
        <v>1080</v>
      </c>
      <c r="H1904" s="1679" t="s">
        <v>1030</v>
      </c>
      <c r="I1904" s="1789" t="s">
        <v>1017</v>
      </c>
      <c r="J1904" s="262" t="s">
        <v>79</v>
      </c>
      <c r="K1904" s="935"/>
      <c r="L1904" s="938">
        <v>1</v>
      </c>
      <c r="M1904" s="938">
        <v>1</v>
      </c>
      <c r="N1904" s="938">
        <v>1</v>
      </c>
      <c r="O1904" s="938">
        <v>1</v>
      </c>
      <c r="P1904" s="938">
        <v>1</v>
      </c>
      <c r="Q1904" s="1484">
        <f>H1909</f>
        <v>236645</v>
      </c>
      <c r="R1904" s="1484">
        <f>M1904*H1909</f>
        <v>236645</v>
      </c>
      <c r="S1904" s="1484">
        <f>N1904*H1909</f>
        <v>236645</v>
      </c>
      <c r="T1904" s="1484">
        <f>O1904*H1909</f>
        <v>236645</v>
      </c>
      <c r="U1904" s="1484">
        <f>P1904*H1909</f>
        <v>236645</v>
      </c>
      <c r="V1904" s="1484">
        <f t="shared" si="941"/>
        <v>1183225</v>
      </c>
    </row>
    <row r="1905" spans="1:22" s="39" customFormat="1" ht="24" customHeight="1">
      <c r="A1905" s="1860">
        <v>3</v>
      </c>
      <c r="B1905" s="1860"/>
      <c r="C1905" s="1860"/>
      <c r="D1905" s="1860"/>
      <c r="E1905" s="1839"/>
      <c r="F1905" s="1844"/>
      <c r="G1905" s="1593"/>
      <c r="H1905" s="1601"/>
      <c r="I1905" s="1765"/>
      <c r="J1905" s="40" t="s">
        <v>80</v>
      </c>
      <c r="K1905" s="91"/>
      <c r="L1905" s="820">
        <f t="shared" ref="L1905:P1905" si="951">SUM(L1906:L1912)</f>
        <v>1</v>
      </c>
      <c r="M1905" s="820">
        <f t="shared" si="951"/>
        <v>1</v>
      </c>
      <c r="N1905" s="820">
        <f t="shared" si="951"/>
        <v>1</v>
      </c>
      <c r="O1905" s="820">
        <f t="shared" si="951"/>
        <v>0.49079845337953476</v>
      </c>
      <c r="P1905" s="820">
        <f t="shared" si="951"/>
        <v>0.49079845337953476</v>
      </c>
      <c r="Q1905" s="1475">
        <f>SUM(Q1906:Q1912)</f>
        <v>236645</v>
      </c>
      <c r="R1905" s="1475">
        <f>SUM(R1906:R1912)</f>
        <v>236645</v>
      </c>
      <c r="S1905" s="1475">
        <f>SUM(S1906:S1912)</f>
        <v>236645</v>
      </c>
      <c r="T1905" s="1475">
        <f>SUM(T1906:T1912)</f>
        <v>188145</v>
      </c>
      <c r="U1905" s="1475">
        <f>SUM(U1906:U1912)</f>
        <v>188145</v>
      </c>
      <c r="V1905" s="1475">
        <f t="shared" si="941"/>
        <v>1086225</v>
      </c>
    </row>
    <row r="1906" spans="1:22" s="39" customFormat="1" ht="24" customHeight="1">
      <c r="A1906" s="1860">
        <v>3</v>
      </c>
      <c r="B1906" s="1860"/>
      <c r="C1906" s="1860"/>
      <c r="D1906" s="1860"/>
      <c r="E1906" s="1839"/>
      <c r="F1906" s="1844"/>
      <c r="G1906" s="1593"/>
      <c r="H1906" s="1601"/>
      <c r="I1906" s="1765"/>
      <c r="J1906" s="40" t="s">
        <v>429</v>
      </c>
      <c r="K1906" s="42"/>
      <c r="L1906" s="820">
        <v>0</v>
      </c>
      <c r="M1906" s="820">
        <v>0</v>
      </c>
      <c r="N1906" s="820">
        <v>0</v>
      </c>
      <c r="O1906" s="820">
        <v>0</v>
      </c>
      <c r="P1906" s="820">
        <v>0</v>
      </c>
      <c r="Q1906" s="1475">
        <f>L1906*H1909</f>
        <v>0</v>
      </c>
      <c r="R1906" s="1475">
        <f>M1906*H1909</f>
        <v>0</v>
      </c>
      <c r="S1906" s="1475">
        <f>N1906*H1909</f>
        <v>0</v>
      </c>
      <c r="T1906" s="1475">
        <v>72000</v>
      </c>
      <c r="U1906" s="1475">
        <v>72000</v>
      </c>
      <c r="V1906" s="1475">
        <f t="shared" ref="V1906:V1912" si="952">SUM(Q1906:U1906)</f>
        <v>144000</v>
      </c>
    </row>
    <row r="1907" spans="1:22" s="39" customFormat="1" ht="24" customHeight="1">
      <c r="A1907" s="1860">
        <v>3</v>
      </c>
      <c r="B1907" s="1860"/>
      <c r="C1907" s="1860"/>
      <c r="D1907" s="1860"/>
      <c r="E1907" s="1839"/>
      <c r="F1907" s="1844"/>
      <c r="G1907" s="1593"/>
      <c r="H1907" s="1601"/>
      <c r="I1907" s="1765"/>
      <c r="J1907" s="40" t="s">
        <v>133</v>
      </c>
      <c r="K1907" s="42"/>
      <c r="L1907" s="820">
        <v>0</v>
      </c>
      <c r="M1907" s="820">
        <v>0</v>
      </c>
      <c r="N1907" s="820">
        <v>0</v>
      </c>
      <c r="O1907" s="820">
        <v>0</v>
      </c>
      <c r="P1907" s="820">
        <v>0</v>
      </c>
      <c r="Q1907" s="1475">
        <f>L1907*$H1909</f>
        <v>0</v>
      </c>
      <c r="R1907" s="1475">
        <f>M1907*$H1909</f>
        <v>0</v>
      </c>
      <c r="S1907" s="1475">
        <f>N1907*$H1909</f>
        <v>0</v>
      </c>
      <c r="T1907" s="1475">
        <f>O1907*$H1909</f>
        <v>0</v>
      </c>
      <c r="U1907" s="1475">
        <f>P1907*$H1909</f>
        <v>0</v>
      </c>
      <c r="V1907" s="1475">
        <f t="shared" si="952"/>
        <v>0</v>
      </c>
    </row>
    <row r="1908" spans="1:22" s="39" customFormat="1" ht="24" customHeight="1">
      <c r="A1908" s="1860">
        <v>3</v>
      </c>
      <c r="B1908" s="1860"/>
      <c r="C1908" s="1860"/>
      <c r="D1908" s="1860"/>
      <c r="E1908" s="1839"/>
      <c r="F1908" s="1844"/>
      <c r="G1908" s="1593"/>
      <c r="H1908" s="1601"/>
      <c r="I1908" s="1765"/>
      <c r="J1908" s="40" t="s">
        <v>81</v>
      </c>
      <c r="K1908" s="42"/>
      <c r="L1908" s="820">
        <v>0</v>
      </c>
      <c r="M1908" s="820">
        <v>0</v>
      </c>
      <c r="N1908" s="820">
        <v>0</v>
      </c>
      <c r="O1908" s="820">
        <v>0</v>
      </c>
      <c r="P1908" s="820">
        <v>0</v>
      </c>
      <c r="Q1908" s="1475">
        <f>L1908*$H1909</f>
        <v>0</v>
      </c>
      <c r="R1908" s="1475">
        <f>M1908*$H1909</f>
        <v>0</v>
      </c>
      <c r="S1908" s="1475">
        <f>N1908*$H1909</f>
        <v>0</v>
      </c>
      <c r="T1908" s="1475">
        <f>O1908*$H1909</f>
        <v>0</v>
      </c>
      <c r="U1908" s="1475">
        <f>P1908*$H1909</f>
        <v>0</v>
      </c>
      <c r="V1908" s="1475">
        <f t="shared" si="952"/>
        <v>0</v>
      </c>
    </row>
    <row r="1909" spans="1:22" s="39" customFormat="1" ht="24" customHeight="1">
      <c r="A1909" s="1860">
        <v>3</v>
      </c>
      <c r="B1909" s="1860"/>
      <c r="C1909" s="1860"/>
      <c r="D1909" s="1860"/>
      <c r="E1909" s="1839"/>
      <c r="F1909" s="1844"/>
      <c r="G1909" s="1593"/>
      <c r="H1909" s="1595">
        <f>'Budget Assumption_Lab Comp2'!G574</f>
        <v>236645</v>
      </c>
      <c r="I1909" s="1765"/>
      <c r="J1909" s="40" t="s">
        <v>134</v>
      </c>
      <c r="K1909" s="42"/>
      <c r="L1909" s="820">
        <f>'Budget Assumption_Lab Comp2'!G578</f>
        <v>0.49079845337953476</v>
      </c>
      <c r="M1909" s="820">
        <f>'Budget Assumption_Lab Comp2'!I578</f>
        <v>0.49079845337953476</v>
      </c>
      <c r="N1909" s="820">
        <f>'Budget Assumption_Lab Comp2'!K578</f>
        <v>0.49079845337953476</v>
      </c>
      <c r="O1909" s="820">
        <f>'Budget Assumption_Lab Comp2'!M578</f>
        <v>0.49079845337953476</v>
      </c>
      <c r="P1909" s="820">
        <f>'Budget Assumption_Lab Comp2'!O578</f>
        <v>0.49079845337953476</v>
      </c>
      <c r="Q1909" s="1475">
        <f>L1909*$H1909</f>
        <v>116145</v>
      </c>
      <c r="R1909" s="1475">
        <f>M1909*$H1909</f>
        <v>116145</v>
      </c>
      <c r="S1909" s="1475">
        <f>N1909*$H1909</f>
        <v>116145</v>
      </c>
      <c r="T1909" s="1475">
        <f>O1909*$H1909</f>
        <v>116145</v>
      </c>
      <c r="U1909" s="1475">
        <f>P1909*$H1909</f>
        <v>116145</v>
      </c>
      <c r="V1909" s="1475">
        <f t="shared" si="952"/>
        <v>580725</v>
      </c>
    </row>
    <row r="1910" spans="1:22" s="39" customFormat="1" ht="24" customHeight="1">
      <c r="A1910" s="1860">
        <v>3</v>
      </c>
      <c r="B1910" s="1860"/>
      <c r="C1910" s="1860"/>
      <c r="D1910" s="1860"/>
      <c r="E1910" s="1839"/>
      <c r="F1910" s="1844"/>
      <c r="G1910" s="1593"/>
      <c r="H1910" s="1596"/>
      <c r="I1910" s="1765"/>
      <c r="J1910" s="40" t="s">
        <v>82</v>
      </c>
      <c r="K1910" s="42"/>
      <c r="L1910" s="820">
        <f>'Budget Assumption_Lab Comp2'!G577*0.7</f>
        <v>0.35644108263432567</v>
      </c>
      <c r="M1910" s="820">
        <f>'Budget Assumption_Lab Comp2'!I577*0.7</f>
        <v>0.35644108263432567</v>
      </c>
      <c r="N1910" s="820">
        <f>'Budget Assumption_Lab Comp2'!K577*0.7</f>
        <v>0.35644108263432567</v>
      </c>
      <c r="O1910" s="820">
        <v>0</v>
      </c>
      <c r="P1910" s="820">
        <v>0</v>
      </c>
      <c r="Q1910" s="1475">
        <f>L1910*H1909</f>
        <v>84350</v>
      </c>
      <c r="R1910" s="1475">
        <f>M1910*H1909</f>
        <v>84350</v>
      </c>
      <c r="S1910" s="1475">
        <f>N1910*H1909</f>
        <v>84350</v>
      </c>
      <c r="T1910" s="1475">
        <f>O1910*$H1909</f>
        <v>0</v>
      </c>
      <c r="U1910" s="1475">
        <f>P1910*$H1909</f>
        <v>0</v>
      </c>
      <c r="V1910" s="1475">
        <f t="shared" si="952"/>
        <v>253050</v>
      </c>
    </row>
    <row r="1911" spans="1:22" s="39" customFormat="1" ht="24" customHeight="1">
      <c r="A1911" s="1860">
        <v>3</v>
      </c>
      <c r="B1911" s="1860"/>
      <c r="C1911" s="1860"/>
      <c r="D1911" s="1860"/>
      <c r="E1911" s="1839"/>
      <c r="F1911" s="1844"/>
      <c r="G1911" s="1593"/>
      <c r="H1911" s="1596"/>
      <c r="I1911" s="1765"/>
      <c r="J1911" s="40" t="s">
        <v>90</v>
      </c>
      <c r="K1911" s="42"/>
      <c r="L1911" s="820">
        <f>'Budget Assumption_Lab Comp2'!G577*0.3</f>
        <v>0.15276046398613957</v>
      </c>
      <c r="M1911" s="820">
        <f>'Budget Assumption_Lab Comp2'!I577*0.3</f>
        <v>0.15276046398613957</v>
      </c>
      <c r="N1911" s="820">
        <f>'Budget Assumption_Lab Comp2'!K577*0.3</f>
        <v>0.15276046398613957</v>
      </c>
      <c r="O1911" s="820">
        <v>0</v>
      </c>
      <c r="P1911" s="820">
        <v>0</v>
      </c>
      <c r="Q1911" s="1475">
        <f>L1911*$H1909</f>
        <v>36150</v>
      </c>
      <c r="R1911" s="1475">
        <f>M1911*$H1909</f>
        <v>36150</v>
      </c>
      <c r="S1911" s="1475">
        <f>N1911*$H1909</f>
        <v>36150</v>
      </c>
      <c r="T1911" s="1475">
        <f>O1911*$H1909</f>
        <v>0</v>
      </c>
      <c r="U1911" s="1475">
        <f>P1911*$H1909</f>
        <v>0</v>
      </c>
      <c r="V1911" s="1475">
        <f t="shared" si="952"/>
        <v>108450</v>
      </c>
    </row>
    <row r="1912" spans="1:22" s="39" customFormat="1" ht="24" customHeight="1">
      <c r="A1912" s="1860">
        <v>3</v>
      </c>
      <c r="B1912" s="1860"/>
      <c r="C1912" s="1860"/>
      <c r="D1912" s="1860"/>
      <c r="E1912" s="1839"/>
      <c r="F1912" s="1844"/>
      <c r="G1912" s="1593"/>
      <c r="H1912" s="1596"/>
      <c r="I1912" s="1765"/>
      <c r="J1912" s="40" t="s">
        <v>83</v>
      </c>
      <c r="K1912" s="42"/>
      <c r="L1912" s="820">
        <v>0</v>
      </c>
      <c r="M1912" s="820">
        <v>0</v>
      </c>
      <c r="N1912" s="820">
        <v>0</v>
      </c>
      <c r="O1912" s="820">
        <v>0</v>
      </c>
      <c r="P1912" s="820">
        <v>0</v>
      </c>
      <c r="Q1912" s="1475">
        <f>L1912*$H1909</f>
        <v>0</v>
      </c>
      <c r="R1912" s="1475">
        <f>M1912*$H1909</f>
        <v>0</v>
      </c>
      <c r="S1912" s="1475">
        <f>N1912*$H1909</f>
        <v>0</v>
      </c>
      <c r="T1912" s="1475">
        <f>O1912*$H1909</f>
        <v>0</v>
      </c>
      <c r="U1912" s="1475">
        <f>P1912*$H1909</f>
        <v>0</v>
      </c>
      <c r="V1912" s="1475">
        <f t="shared" si="952"/>
        <v>0</v>
      </c>
    </row>
    <row r="1913" spans="1:22" s="39" customFormat="1" ht="24" customHeight="1" thickBot="1">
      <c r="A1913" s="1860">
        <v>3</v>
      </c>
      <c r="B1913" s="1860"/>
      <c r="C1913" s="1860"/>
      <c r="D1913" s="1860"/>
      <c r="E1913" s="1862"/>
      <c r="F1913" s="1845"/>
      <c r="G1913" s="1594"/>
      <c r="H1913" s="1597"/>
      <c r="I1913" s="1766"/>
      <c r="J1913" s="80" t="s">
        <v>84</v>
      </c>
      <c r="K1913" s="81"/>
      <c r="L1913" s="821">
        <f t="shared" ref="L1913:U1913" si="953">L1904-L1905</f>
        <v>0</v>
      </c>
      <c r="M1913" s="821">
        <f t="shared" si="953"/>
        <v>0</v>
      </c>
      <c r="N1913" s="821">
        <f>N1904-N1905</f>
        <v>0</v>
      </c>
      <c r="O1913" s="821">
        <f t="shared" si="953"/>
        <v>0.50920154662046524</v>
      </c>
      <c r="P1913" s="821">
        <f t="shared" si="953"/>
        <v>0.50920154662046524</v>
      </c>
      <c r="Q1913" s="1487">
        <f>Q1904-Q1905</f>
        <v>0</v>
      </c>
      <c r="R1913" s="1487">
        <f t="shared" si="953"/>
        <v>0</v>
      </c>
      <c r="S1913" s="1487">
        <f t="shared" si="953"/>
        <v>0</v>
      </c>
      <c r="T1913" s="1487">
        <f t="shared" si="953"/>
        <v>48500</v>
      </c>
      <c r="U1913" s="1487">
        <f t="shared" si="953"/>
        <v>48500</v>
      </c>
      <c r="V1913" s="1487">
        <f>SUM(Q1913:U1913)</f>
        <v>97000</v>
      </c>
    </row>
    <row r="1914" spans="1:22" s="72" customFormat="1" ht="24" customHeight="1">
      <c r="A1914" s="75">
        <v>3</v>
      </c>
      <c r="B1914" s="75">
        <v>3</v>
      </c>
      <c r="C1914" s="75">
        <v>2</v>
      </c>
      <c r="D1914" s="75"/>
      <c r="E1914" s="74" t="s">
        <v>135</v>
      </c>
      <c r="F1914" s="1467" t="str">
        <f>CONCATENATE(A1914,".",B1914,".",C1914,)</f>
        <v>3.3.2</v>
      </c>
      <c r="G1914" s="1621" t="s">
        <v>335</v>
      </c>
      <c r="H1914" s="1622"/>
      <c r="I1914" s="1622"/>
      <c r="J1914" s="1623"/>
      <c r="K1914" s="71"/>
      <c r="L1914" s="385"/>
      <c r="M1914" s="385"/>
      <c r="N1914" s="385"/>
      <c r="O1914" s="385"/>
      <c r="P1914" s="385"/>
      <c r="Q1914" s="1536">
        <f ca="1">Q1916+Q1926+Q1936+Q1946</f>
        <v>250078.47399999999</v>
      </c>
      <c r="R1914" s="1536">
        <f t="shared" ref="R1914:U1914" ca="1" si="954">R1916+R1926+R1936+R1946</f>
        <v>155572.22200000001</v>
      </c>
      <c r="S1914" s="1536">
        <f t="shared" ca="1" si="954"/>
        <v>198079.36300000001</v>
      </c>
      <c r="T1914" s="1536">
        <f t="shared" ca="1" si="954"/>
        <v>103013.82200000001</v>
      </c>
      <c r="U1914" s="1536">
        <f t="shared" ca="1" si="954"/>
        <v>109348.22200000001</v>
      </c>
      <c r="V1914" s="1536">
        <f t="shared" ref="V1914" ca="1" si="955">SUM(Q1914:U1914)</f>
        <v>816092.10300000012</v>
      </c>
    </row>
    <row r="1915" spans="1:22" s="45" customFormat="1" ht="24" customHeight="1">
      <c r="A1915" s="1860">
        <v>3</v>
      </c>
      <c r="B1915" s="1860">
        <v>3</v>
      </c>
      <c r="C1915" s="1860">
        <v>2</v>
      </c>
      <c r="D1915" s="1954">
        <v>1</v>
      </c>
      <c r="E1915" s="1962" t="s">
        <v>136</v>
      </c>
      <c r="F1915" s="1753" t="str">
        <f>CONCATENATE(A1915,".",B1915,".",C1915,".",D1915,)</f>
        <v>3.3.2.1</v>
      </c>
      <c r="G1915" s="1625" t="s">
        <v>1081</v>
      </c>
      <c r="H1915" s="1627" t="s">
        <v>1016</v>
      </c>
      <c r="I1915" s="1615" t="s">
        <v>1017</v>
      </c>
      <c r="J1915" s="815" t="s">
        <v>79</v>
      </c>
      <c r="K1915" s="897"/>
      <c r="L1915" s="939">
        <f ca="1">'Budget Assumption_Lab Comp2'!G589</f>
        <v>0.30375376475441296</v>
      </c>
      <c r="M1915" s="939">
        <f ca="1">'Budget Assumption_Lab Comp2'!I589</f>
        <v>0.1911244969045795</v>
      </c>
      <c r="N1915" s="939">
        <f ca="1">'Budget Assumption_Lab Comp2'!K589</f>
        <v>0.2957902440500555</v>
      </c>
      <c r="O1915" s="939">
        <f ca="1">'Budget Assumption_Lab Comp2'!M589</f>
        <v>0.10466574714547601</v>
      </c>
      <c r="P1915" s="939">
        <f ca="1">'Budget Assumption_Lab Comp2'!O589</f>
        <v>0.10466574714547601</v>
      </c>
      <c r="Q1915" s="1489">
        <f ca="1">L1915*H1920</f>
        <v>81626.341</v>
      </c>
      <c r="R1915" s="1489">
        <f ca="1">M1915*H1920</f>
        <v>51360</v>
      </c>
      <c r="S1915" s="1489">
        <f ca="1">N1915*H1920</f>
        <v>79486.341</v>
      </c>
      <c r="T1915" s="1489">
        <f ca="1">O1915*H1920</f>
        <v>28126.341</v>
      </c>
      <c r="U1915" s="1489">
        <f ca="1">P1915*H1920</f>
        <v>28126.341</v>
      </c>
      <c r="V1915" s="1489">
        <f ca="1">SUM(Q1915:U1915)</f>
        <v>268725.36400000006</v>
      </c>
    </row>
    <row r="1916" spans="1:22" s="39" customFormat="1" ht="24" customHeight="1">
      <c r="A1916" s="1860">
        <v>3</v>
      </c>
      <c r="B1916" s="1860"/>
      <c r="C1916" s="1860"/>
      <c r="D1916" s="1954"/>
      <c r="E1916" s="1962"/>
      <c r="F1916" s="1753"/>
      <c r="G1916" s="1625"/>
      <c r="H1916" s="1627"/>
      <c r="I1916" s="1615"/>
      <c r="J1916" s="40" t="s">
        <v>80</v>
      </c>
      <c r="K1916" s="91"/>
      <c r="L1916" s="41">
        <f ca="1">SUM(L1917:L1923)</f>
        <v>0.30375376475441296</v>
      </c>
      <c r="M1916" s="41">
        <f ca="1">SUM(M1917:M1923)</f>
        <v>0.1911244969045795</v>
      </c>
      <c r="N1916" s="41">
        <f ca="1">SUM(N1917:N1923)</f>
        <v>0.2957902440500555</v>
      </c>
      <c r="O1916" s="41">
        <f t="shared" ref="O1916:P1916" si="956">SUM(O1917:O1923)</f>
        <v>0</v>
      </c>
      <c r="P1916" s="41">
        <f t="shared" si="956"/>
        <v>0</v>
      </c>
      <c r="Q1916" s="1475">
        <f t="shared" ref="Q1916:U1916" ca="1" si="957">SUM(Q1917:Q1923)</f>
        <v>81626.341</v>
      </c>
      <c r="R1916" s="1475">
        <f t="shared" ca="1" si="957"/>
        <v>51360</v>
      </c>
      <c r="S1916" s="1475">
        <f t="shared" ca="1" si="957"/>
        <v>79486.341</v>
      </c>
      <c r="T1916" s="1475">
        <f t="shared" ca="1" si="957"/>
        <v>0</v>
      </c>
      <c r="U1916" s="1475">
        <f t="shared" ca="1" si="957"/>
        <v>0</v>
      </c>
      <c r="V1916" s="1475">
        <f ca="1">SUM(Q1916:U1916)</f>
        <v>212472.68200000003</v>
      </c>
    </row>
    <row r="1917" spans="1:22" s="39" customFormat="1" ht="24" customHeight="1">
      <c r="A1917" s="1860">
        <v>3</v>
      </c>
      <c r="B1917" s="1860"/>
      <c r="C1917" s="1860"/>
      <c r="D1917" s="1954"/>
      <c r="E1917" s="1962"/>
      <c r="F1917" s="1753"/>
      <c r="G1917" s="1625"/>
      <c r="H1917" s="1627"/>
      <c r="I1917" s="1615"/>
      <c r="J1917" s="40" t="s">
        <v>429</v>
      </c>
      <c r="K1917" s="91"/>
      <c r="L1917" s="41">
        <v>0</v>
      </c>
      <c r="M1917" s="41">
        <v>0</v>
      </c>
      <c r="N1917" s="41">
        <v>0</v>
      </c>
      <c r="O1917" s="38">
        <v>0</v>
      </c>
      <c r="P1917" s="38">
        <v>0</v>
      </c>
      <c r="Q1917" s="1475">
        <f ca="1">L1917*$H1920</f>
        <v>0</v>
      </c>
      <c r="R1917" s="1475">
        <f ca="1">M1917*$H1920</f>
        <v>0</v>
      </c>
      <c r="S1917" s="1475">
        <f ca="1">N1917*$H1920</f>
        <v>0</v>
      </c>
      <c r="T1917" s="1475">
        <f ca="1">O1917*$H1920</f>
        <v>0</v>
      </c>
      <c r="U1917" s="1475">
        <f ca="1">P1917*$H1920</f>
        <v>0</v>
      </c>
      <c r="V1917" s="1475">
        <f t="shared" ref="V1917:V1955" ca="1" si="958">SUM(Q1917:U1917)</f>
        <v>0</v>
      </c>
    </row>
    <row r="1918" spans="1:22" s="39" customFormat="1" ht="24" customHeight="1">
      <c r="A1918" s="1860">
        <v>3</v>
      </c>
      <c r="B1918" s="1860"/>
      <c r="C1918" s="1860"/>
      <c r="D1918" s="1954"/>
      <c r="E1918" s="1962"/>
      <c r="F1918" s="1753"/>
      <c r="G1918" s="1625"/>
      <c r="H1918" s="1627"/>
      <c r="I1918" s="1615"/>
      <c r="J1918" s="40" t="s">
        <v>133</v>
      </c>
      <c r="K1918" s="91"/>
      <c r="L1918" s="41">
        <v>0</v>
      </c>
      <c r="M1918" s="41">
        <v>0</v>
      </c>
      <c r="N1918" s="41">
        <v>0</v>
      </c>
      <c r="O1918" s="41">
        <v>0</v>
      </c>
      <c r="P1918" s="41">
        <v>0</v>
      </c>
      <c r="Q1918" s="1475">
        <f ca="1">L1918*$H1920</f>
        <v>0</v>
      </c>
      <c r="R1918" s="1475">
        <f ca="1">M1918*$H1920</f>
        <v>0</v>
      </c>
      <c r="S1918" s="1475">
        <f ca="1">N1918*$H1920</f>
        <v>0</v>
      </c>
      <c r="T1918" s="1475">
        <f ca="1">O1918*$H1920</f>
        <v>0</v>
      </c>
      <c r="U1918" s="1475">
        <f ca="1">P1918*$H1920</f>
        <v>0</v>
      </c>
      <c r="V1918" s="1475">
        <f t="shared" ca="1" si="958"/>
        <v>0</v>
      </c>
    </row>
    <row r="1919" spans="1:22" s="39" customFormat="1" ht="24" customHeight="1">
      <c r="A1919" s="1860">
        <v>3</v>
      </c>
      <c r="B1919" s="1860"/>
      <c r="C1919" s="1860"/>
      <c r="D1919" s="1954"/>
      <c r="E1919" s="1962"/>
      <c r="F1919" s="1753"/>
      <c r="G1919" s="1625"/>
      <c r="H1919" s="1628"/>
      <c r="I1919" s="1615"/>
      <c r="J1919" s="40" t="s">
        <v>81</v>
      </c>
      <c r="K1919" s="91"/>
      <c r="L1919" s="41">
        <v>0</v>
      </c>
      <c r="M1919" s="41">
        <v>0</v>
      </c>
      <c r="N1919" s="41">
        <v>0</v>
      </c>
      <c r="O1919" s="41">
        <v>0</v>
      </c>
      <c r="P1919" s="41">
        <v>0</v>
      </c>
      <c r="Q1919" s="1475">
        <f ca="1">L1919*$H1920</f>
        <v>0</v>
      </c>
      <c r="R1919" s="1475">
        <f ca="1">M1919*$H1920</f>
        <v>0</v>
      </c>
      <c r="S1919" s="1475">
        <f ca="1">N1919*$H1920</f>
        <v>0</v>
      </c>
      <c r="T1919" s="1475">
        <f ca="1">O1919*$H1920</f>
        <v>0</v>
      </c>
      <c r="U1919" s="1475">
        <f ca="1">P1919*$H1920</f>
        <v>0</v>
      </c>
      <c r="V1919" s="1475">
        <f t="shared" ca="1" si="958"/>
        <v>0</v>
      </c>
    </row>
    <row r="1920" spans="1:22" s="39" customFormat="1" ht="24" customHeight="1">
      <c r="A1920" s="1860">
        <v>3</v>
      </c>
      <c r="B1920" s="1860"/>
      <c r="C1920" s="1860"/>
      <c r="D1920" s="1954"/>
      <c r="E1920" s="1962"/>
      <c r="F1920" s="1753"/>
      <c r="G1920" s="1625"/>
      <c r="H1920" s="1595">
        <f ca="1">'Budget Assumption_Lab Comp2'!P588</f>
        <v>268725.364</v>
      </c>
      <c r="I1920" s="1615"/>
      <c r="J1920" s="40" t="s">
        <v>134</v>
      </c>
      <c r="K1920" s="91"/>
      <c r="L1920" s="41">
        <v>0</v>
      </c>
      <c r="M1920" s="41">
        <v>0</v>
      </c>
      <c r="N1920" s="41">
        <v>0</v>
      </c>
      <c r="O1920" s="41">
        <v>0</v>
      </c>
      <c r="P1920" s="41">
        <v>0</v>
      </c>
      <c r="Q1920" s="1475">
        <f ca="1">L1920*$H1920</f>
        <v>0</v>
      </c>
      <c r="R1920" s="1475">
        <f ca="1">M1920*$H1920</f>
        <v>0</v>
      </c>
      <c r="S1920" s="1475">
        <f ca="1">N1920*$H1920</f>
        <v>0</v>
      </c>
      <c r="T1920" s="1475">
        <f ca="1">O1920*$H1920</f>
        <v>0</v>
      </c>
      <c r="U1920" s="1475">
        <f ca="1">P1920*$H1920</f>
        <v>0</v>
      </c>
      <c r="V1920" s="1475">
        <f t="shared" ca="1" si="958"/>
        <v>0</v>
      </c>
    </row>
    <row r="1921" spans="1:22" s="39" customFormat="1" ht="24" customHeight="1">
      <c r="A1921" s="1860">
        <v>3</v>
      </c>
      <c r="B1921" s="1860"/>
      <c r="C1921" s="1860"/>
      <c r="D1921" s="1954"/>
      <c r="E1921" s="1962"/>
      <c r="F1921" s="1753"/>
      <c r="G1921" s="1625"/>
      <c r="H1921" s="1596"/>
      <c r="I1921" s="1615"/>
      <c r="J1921" s="40" t="s">
        <v>82</v>
      </c>
      <c r="K1921" s="91"/>
      <c r="L1921" s="822">
        <f ca="1">L1915*1</f>
        <v>0.30375376475441296</v>
      </c>
      <c r="M1921" s="822">
        <f t="shared" ref="M1921:N1921" ca="1" si="959">M1915*1</f>
        <v>0.1911244969045795</v>
      </c>
      <c r="N1921" s="822">
        <f t="shared" ca="1" si="959"/>
        <v>0.2957902440500555</v>
      </c>
      <c r="O1921" s="41">
        <v>0</v>
      </c>
      <c r="P1921" s="41">
        <v>0</v>
      </c>
      <c r="Q1921" s="1475">
        <f ca="1">L1921*$H1920</f>
        <v>81626.341</v>
      </c>
      <c r="R1921" s="1475">
        <f ca="1">M1921*$H1920</f>
        <v>51360</v>
      </c>
      <c r="S1921" s="1475">
        <f ca="1">N1921*$H1920</f>
        <v>79486.341</v>
      </c>
      <c r="T1921" s="1475">
        <f ca="1">O1921*$H1920</f>
        <v>0</v>
      </c>
      <c r="U1921" s="1475">
        <f ca="1">P1921*$H1920</f>
        <v>0</v>
      </c>
      <c r="V1921" s="1475">
        <f t="shared" ca="1" si="958"/>
        <v>212472.68200000003</v>
      </c>
    </row>
    <row r="1922" spans="1:22" s="39" customFormat="1" ht="24" customHeight="1">
      <c r="A1922" s="1860">
        <v>3</v>
      </c>
      <c r="B1922" s="1860"/>
      <c r="C1922" s="1860"/>
      <c r="D1922" s="1954"/>
      <c r="E1922" s="1962"/>
      <c r="F1922" s="1753"/>
      <c r="G1922" s="1625"/>
      <c r="H1922" s="1596"/>
      <c r="I1922" s="1615"/>
      <c r="J1922" s="40" t="s">
        <v>90</v>
      </c>
      <c r="K1922" s="91"/>
      <c r="L1922" s="41">
        <v>0</v>
      </c>
      <c r="M1922" s="41">
        <v>0</v>
      </c>
      <c r="N1922" s="41">
        <v>0</v>
      </c>
      <c r="O1922" s="41">
        <v>0</v>
      </c>
      <c r="P1922" s="41">
        <v>0</v>
      </c>
      <c r="Q1922" s="1475">
        <f ca="1">L1922*$H1920</f>
        <v>0</v>
      </c>
      <c r="R1922" s="1475">
        <f ca="1">M1922*$H1920</f>
        <v>0</v>
      </c>
      <c r="S1922" s="1475">
        <f ca="1">N1922*$H1920</f>
        <v>0</v>
      </c>
      <c r="T1922" s="1475">
        <f ca="1">O1922*$H1920</f>
        <v>0</v>
      </c>
      <c r="U1922" s="1475">
        <f ca="1">P1922*$H1920</f>
        <v>0</v>
      </c>
      <c r="V1922" s="1475">
        <f t="shared" ca="1" si="958"/>
        <v>0</v>
      </c>
    </row>
    <row r="1923" spans="1:22" s="39" customFormat="1" ht="24" customHeight="1">
      <c r="A1923" s="1860">
        <v>3</v>
      </c>
      <c r="B1923" s="1860"/>
      <c r="C1923" s="1860"/>
      <c r="D1923" s="1954"/>
      <c r="E1923" s="1962"/>
      <c r="F1923" s="1753"/>
      <c r="G1923" s="1625"/>
      <c r="H1923" s="1596"/>
      <c r="I1923" s="1615"/>
      <c r="J1923" s="40" t="s">
        <v>83</v>
      </c>
      <c r="K1923" s="91"/>
      <c r="L1923" s="41">
        <v>0</v>
      </c>
      <c r="M1923" s="41">
        <v>0</v>
      </c>
      <c r="N1923" s="41">
        <v>0</v>
      </c>
      <c r="O1923" s="41">
        <v>0</v>
      </c>
      <c r="P1923" s="41">
        <v>0</v>
      </c>
      <c r="Q1923" s="1475">
        <f ca="1">L1923*$H1920</f>
        <v>0</v>
      </c>
      <c r="R1923" s="1475">
        <f ca="1">M1923*$H1920</f>
        <v>0</v>
      </c>
      <c r="S1923" s="1475">
        <f ca="1">N1923*$H1920</f>
        <v>0</v>
      </c>
      <c r="T1923" s="1475">
        <f ca="1">O1923*$H1920</f>
        <v>0</v>
      </c>
      <c r="U1923" s="1475">
        <f ca="1">P1923*$H1920</f>
        <v>0</v>
      </c>
      <c r="V1923" s="1475">
        <f t="shared" ca="1" si="958"/>
        <v>0</v>
      </c>
    </row>
    <row r="1924" spans="1:22" s="39" customFormat="1" ht="24" customHeight="1" thickBot="1">
      <c r="A1924" s="1860">
        <v>3</v>
      </c>
      <c r="B1924" s="1860"/>
      <c r="C1924" s="1860"/>
      <c r="D1924" s="1954"/>
      <c r="E1924" s="1964"/>
      <c r="F1924" s="1754"/>
      <c r="G1924" s="1626"/>
      <c r="H1924" s="1597"/>
      <c r="I1924" s="1616"/>
      <c r="J1924" s="80" t="s">
        <v>84</v>
      </c>
      <c r="K1924" s="824"/>
      <c r="L1924" s="814">
        <f ca="1">L1915-L1916</f>
        <v>0</v>
      </c>
      <c r="M1924" s="814">
        <f t="shared" ref="M1924:U1924" ca="1" si="960">M1915-M1916</f>
        <v>0</v>
      </c>
      <c r="N1924" s="814">
        <f t="shared" ca="1" si="960"/>
        <v>0</v>
      </c>
      <c r="O1924" s="823">
        <f t="shared" ca="1" si="960"/>
        <v>0.10466574714547601</v>
      </c>
      <c r="P1924" s="823">
        <f t="shared" ca="1" si="960"/>
        <v>0.10466574714547601</v>
      </c>
      <c r="Q1924" s="1487">
        <f t="shared" ca="1" si="960"/>
        <v>0</v>
      </c>
      <c r="R1924" s="1487">
        <f t="shared" ca="1" si="960"/>
        <v>0</v>
      </c>
      <c r="S1924" s="1487">
        <f t="shared" ca="1" si="960"/>
        <v>0</v>
      </c>
      <c r="T1924" s="1487">
        <f t="shared" ca="1" si="960"/>
        <v>28126.341</v>
      </c>
      <c r="U1924" s="1487">
        <f t="shared" ca="1" si="960"/>
        <v>28126.341</v>
      </c>
      <c r="V1924" s="1487">
        <f t="shared" ca="1" si="958"/>
        <v>56252.682000000001</v>
      </c>
    </row>
    <row r="1925" spans="1:22" s="45" customFormat="1" ht="24" customHeight="1">
      <c r="A1925" s="1860">
        <v>3</v>
      </c>
      <c r="B1925" s="1860">
        <v>3</v>
      </c>
      <c r="C1925" s="1860">
        <v>2</v>
      </c>
      <c r="D1925" s="1954">
        <v>2</v>
      </c>
      <c r="E1925" s="1963" t="s">
        <v>136</v>
      </c>
      <c r="F1925" s="1752" t="str">
        <f>CONCATENATE(A1925,".",B1925,".",C1925,".",D1925,)</f>
        <v>3.3.2.2</v>
      </c>
      <c r="G1925" s="1872" t="s">
        <v>1082</v>
      </c>
      <c r="H1925" s="1808" t="s">
        <v>1016</v>
      </c>
      <c r="I1925" s="1614" t="s">
        <v>1017</v>
      </c>
      <c r="J1925" s="262" t="s">
        <v>79</v>
      </c>
      <c r="K1925" s="908"/>
      <c r="L1925" s="940">
        <f ca="1">'Budget Assumption_Lab Comp2'!G599</f>
        <v>0.34043521011079997</v>
      </c>
      <c r="M1925" s="940">
        <f ca="1">'Budget Assumption_Lab Comp2'!I599</f>
        <v>0.15956478988920009</v>
      </c>
      <c r="N1925" s="940">
        <f ca="1">'Budget Assumption_Lab Comp2'!K599</f>
        <v>0.18087042022159988</v>
      </c>
      <c r="O1925" s="940">
        <f ca="1">'Budget Assumption_Lab Comp2'!M599</f>
        <v>0.15956478988920009</v>
      </c>
      <c r="P1925" s="940">
        <f ca="1">'Budget Assumption_Lab Comp2'!O599</f>
        <v>0.15956478988920009</v>
      </c>
      <c r="Q1925" s="1484">
        <f ca="1">L1925*H1930</f>
        <v>68388.622000000003</v>
      </c>
      <c r="R1925" s="1484">
        <f ca="1">M1925*H1930</f>
        <v>32054.311000000002</v>
      </c>
      <c r="S1925" s="1484">
        <f ca="1">N1925*H1930</f>
        <v>36334.311000000002</v>
      </c>
      <c r="T1925" s="1484">
        <f ca="1">O1925*H1930</f>
        <v>32054.311000000002</v>
      </c>
      <c r="U1925" s="1484">
        <f ca="1">P1925*H1930</f>
        <v>32054.311000000002</v>
      </c>
      <c r="V1925" s="1475">
        <f t="shared" ca="1" si="958"/>
        <v>200885.86599999998</v>
      </c>
    </row>
    <row r="1926" spans="1:22" s="39" customFormat="1" ht="24" customHeight="1">
      <c r="A1926" s="1860">
        <v>3</v>
      </c>
      <c r="B1926" s="1860"/>
      <c r="C1926" s="1860"/>
      <c r="D1926" s="1954"/>
      <c r="E1926" s="1962"/>
      <c r="F1926" s="1753"/>
      <c r="G1926" s="1625"/>
      <c r="H1926" s="1627"/>
      <c r="I1926" s="1615"/>
      <c r="J1926" s="40" t="s">
        <v>80</v>
      </c>
      <c r="K1926" s="91"/>
      <c r="L1926" s="38">
        <f t="shared" ref="L1926:P1926" ca="1" si="961">SUM(L1927:L1933)</f>
        <v>0.34043521011079997</v>
      </c>
      <c r="M1926" s="38">
        <f t="shared" ca="1" si="961"/>
        <v>0.15956478988920009</v>
      </c>
      <c r="N1926" s="38">
        <f t="shared" ca="1" si="961"/>
        <v>0.18087042022159988</v>
      </c>
      <c r="O1926" s="38">
        <f t="shared" ca="1" si="961"/>
        <v>0.15956478988920009</v>
      </c>
      <c r="P1926" s="38">
        <f t="shared" ca="1" si="961"/>
        <v>0.15956478988920009</v>
      </c>
      <c r="Q1926" s="1475">
        <f ca="1">SUM(Q1927:Q1933)</f>
        <v>68388.622000000003</v>
      </c>
      <c r="R1926" s="1475">
        <f ca="1">SUM(R1927:R1933)</f>
        <v>32054.311000000002</v>
      </c>
      <c r="S1926" s="1475">
        <f ca="1">SUM(S1927:S1933)</f>
        <v>36334.311000000002</v>
      </c>
      <c r="T1926" s="1475">
        <f ca="1">SUM(T1927:T1933)</f>
        <v>32054.311000000002</v>
      </c>
      <c r="U1926" s="1475">
        <f ca="1">SUM(U1927:U1933)</f>
        <v>32054.311000000002</v>
      </c>
      <c r="V1926" s="1475">
        <f t="shared" ca="1" si="958"/>
        <v>200885.86599999998</v>
      </c>
    </row>
    <row r="1927" spans="1:22" s="39" customFormat="1" ht="24" customHeight="1">
      <c r="A1927" s="1860">
        <v>3</v>
      </c>
      <c r="B1927" s="1860"/>
      <c r="C1927" s="1860"/>
      <c r="D1927" s="1954"/>
      <c r="E1927" s="1962"/>
      <c r="F1927" s="1753"/>
      <c r="G1927" s="1625"/>
      <c r="H1927" s="1627"/>
      <c r="I1927" s="1615"/>
      <c r="J1927" s="40" t="s">
        <v>429</v>
      </c>
      <c r="K1927" s="42"/>
      <c r="L1927" s="41">
        <v>0</v>
      </c>
      <c r="M1927" s="41">
        <v>0</v>
      </c>
      <c r="N1927" s="41">
        <v>0</v>
      </c>
      <c r="O1927" s="822">
        <f ca="1">O1925</f>
        <v>0.15956478988920009</v>
      </c>
      <c r="P1927" s="822">
        <f ca="1">P1925</f>
        <v>0.15956478988920009</v>
      </c>
      <c r="Q1927" s="1475">
        <f ca="1">L1927*$H1930</f>
        <v>0</v>
      </c>
      <c r="R1927" s="1475">
        <f ca="1">M1927*$H1930</f>
        <v>0</v>
      </c>
      <c r="S1927" s="1475">
        <f ca="1">N1927*$H1930</f>
        <v>0</v>
      </c>
      <c r="T1927" s="1475">
        <f ca="1">T1925</f>
        <v>32054.311000000002</v>
      </c>
      <c r="U1927" s="1475">
        <f ca="1">U1925</f>
        <v>32054.311000000002</v>
      </c>
      <c r="V1927" s="1475">
        <f t="shared" ca="1" si="958"/>
        <v>64108.622000000003</v>
      </c>
    </row>
    <row r="1928" spans="1:22" s="39" customFormat="1" ht="24" customHeight="1">
      <c r="A1928" s="1860">
        <v>3</v>
      </c>
      <c r="B1928" s="1860"/>
      <c r="C1928" s="1860"/>
      <c r="D1928" s="1954"/>
      <c r="E1928" s="1962"/>
      <c r="F1928" s="1753"/>
      <c r="G1928" s="1625"/>
      <c r="H1928" s="1627"/>
      <c r="I1928" s="1615"/>
      <c r="J1928" s="40" t="s">
        <v>133</v>
      </c>
      <c r="K1928" s="42"/>
      <c r="L1928" s="41">
        <v>0</v>
      </c>
      <c r="M1928" s="41">
        <v>0</v>
      </c>
      <c r="N1928" s="41">
        <v>0</v>
      </c>
      <c r="O1928" s="41">
        <v>0</v>
      </c>
      <c r="P1928" s="41">
        <v>0</v>
      </c>
      <c r="Q1928" s="1475">
        <f ca="1">L1928*$H1930</f>
        <v>0</v>
      </c>
      <c r="R1928" s="1475">
        <f ca="1">M1928*$H1930</f>
        <v>0</v>
      </c>
      <c r="S1928" s="1475">
        <f ca="1">N1928*$H1930</f>
        <v>0</v>
      </c>
      <c r="T1928" s="1475">
        <f ca="1">O1928*$H1930</f>
        <v>0</v>
      </c>
      <c r="U1928" s="1475">
        <f ca="1">P1928*$H1930</f>
        <v>0</v>
      </c>
      <c r="V1928" s="1475">
        <f t="shared" ca="1" si="958"/>
        <v>0</v>
      </c>
    </row>
    <row r="1929" spans="1:22" s="39" customFormat="1" ht="24" customHeight="1">
      <c r="A1929" s="1860">
        <v>3</v>
      </c>
      <c r="B1929" s="1860"/>
      <c r="C1929" s="1860"/>
      <c r="D1929" s="1954"/>
      <c r="E1929" s="1962"/>
      <c r="F1929" s="1753"/>
      <c r="G1929" s="1625"/>
      <c r="H1929" s="1628"/>
      <c r="I1929" s="1615"/>
      <c r="J1929" s="40" t="s">
        <v>81</v>
      </c>
      <c r="K1929" s="42"/>
      <c r="L1929" s="41">
        <v>0</v>
      </c>
      <c r="M1929" s="41">
        <v>0</v>
      </c>
      <c r="N1929" s="41">
        <v>0</v>
      </c>
      <c r="O1929" s="41">
        <v>0</v>
      </c>
      <c r="P1929" s="41">
        <v>0</v>
      </c>
      <c r="Q1929" s="1475">
        <f ca="1">L1929*$H1930</f>
        <v>0</v>
      </c>
      <c r="R1929" s="1475">
        <f ca="1">M1929*$H1930</f>
        <v>0</v>
      </c>
      <c r="S1929" s="1475">
        <f ca="1">N1929*$H1930</f>
        <v>0</v>
      </c>
      <c r="T1929" s="1475">
        <f ca="1">O1929*$H1930</f>
        <v>0</v>
      </c>
      <c r="U1929" s="1475">
        <f ca="1">P1929*$H1930</f>
        <v>0</v>
      </c>
      <c r="V1929" s="1475">
        <f t="shared" ca="1" si="958"/>
        <v>0</v>
      </c>
    </row>
    <row r="1930" spans="1:22" s="39" customFormat="1" ht="24" customHeight="1">
      <c r="A1930" s="1860">
        <v>3</v>
      </c>
      <c r="B1930" s="1860"/>
      <c r="C1930" s="1860"/>
      <c r="D1930" s="1954"/>
      <c r="E1930" s="1962"/>
      <c r="F1930" s="1753"/>
      <c r="G1930" s="1625"/>
      <c r="H1930" s="1595">
        <f ca="1">'Budget Assumption_Lab Comp2'!P598</f>
        <v>200885.86599999998</v>
      </c>
      <c r="I1930" s="1615"/>
      <c r="J1930" s="40" t="s">
        <v>134</v>
      </c>
      <c r="K1930" s="42"/>
      <c r="L1930" s="41">
        <v>0</v>
      </c>
      <c r="M1930" s="41">
        <v>0</v>
      </c>
      <c r="N1930" s="41">
        <v>0</v>
      </c>
      <c r="O1930" s="41">
        <v>0</v>
      </c>
      <c r="P1930" s="41">
        <v>0</v>
      </c>
      <c r="Q1930" s="1475">
        <f ca="1">L1930*$H1930</f>
        <v>0</v>
      </c>
      <c r="R1930" s="1475">
        <f ca="1">M1930*$H1930</f>
        <v>0</v>
      </c>
      <c r="S1930" s="1475">
        <f ca="1">N1930*$H1930</f>
        <v>0</v>
      </c>
      <c r="T1930" s="1475">
        <f ca="1">O1930*$H1930</f>
        <v>0</v>
      </c>
      <c r="U1930" s="1475">
        <f ca="1">P1930*$H1930</f>
        <v>0</v>
      </c>
      <c r="V1930" s="1475">
        <f t="shared" ca="1" si="958"/>
        <v>0</v>
      </c>
    </row>
    <row r="1931" spans="1:22" s="39" customFormat="1" ht="24" customHeight="1">
      <c r="A1931" s="1860">
        <v>3</v>
      </c>
      <c r="B1931" s="1860"/>
      <c r="C1931" s="1860"/>
      <c r="D1931" s="1954"/>
      <c r="E1931" s="1962"/>
      <c r="F1931" s="1753"/>
      <c r="G1931" s="1625"/>
      <c r="H1931" s="1596"/>
      <c r="I1931" s="1615"/>
      <c r="J1931" s="40" t="s">
        <v>82</v>
      </c>
      <c r="K1931" s="42"/>
      <c r="L1931" s="822">
        <f ca="1">L1925</f>
        <v>0.34043521011079997</v>
      </c>
      <c r="M1931" s="822">
        <f t="shared" ref="M1931:N1931" ca="1" si="962">M1925</f>
        <v>0.15956478988920009</v>
      </c>
      <c r="N1931" s="822">
        <f t="shared" ca="1" si="962"/>
        <v>0.18087042022159988</v>
      </c>
      <c r="O1931" s="41">
        <v>0</v>
      </c>
      <c r="P1931" s="41">
        <v>0</v>
      </c>
      <c r="Q1931" s="1475">
        <f ca="1">L1931*H1930</f>
        <v>68388.622000000003</v>
      </c>
      <c r="R1931" s="1475">
        <f ca="1">R1925</f>
        <v>32054.311000000002</v>
      </c>
      <c r="S1931" s="1475">
        <f ca="1">S1925</f>
        <v>36334.311000000002</v>
      </c>
      <c r="T1931" s="1475">
        <f ca="1">O1931*$H1930</f>
        <v>0</v>
      </c>
      <c r="U1931" s="1475">
        <f ca="1">P1931*$H1930</f>
        <v>0</v>
      </c>
      <c r="V1931" s="1475">
        <f t="shared" ca="1" si="958"/>
        <v>136777.24400000001</v>
      </c>
    </row>
    <row r="1932" spans="1:22" s="39" customFormat="1" ht="24" customHeight="1">
      <c r="A1932" s="1860">
        <v>3</v>
      </c>
      <c r="B1932" s="1860"/>
      <c r="C1932" s="1860"/>
      <c r="D1932" s="1954"/>
      <c r="E1932" s="1962"/>
      <c r="F1932" s="1753"/>
      <c r="G1932" s="1625"/>
      <c r="H1932" s="1596"/>
      <c r="I1932" s="1615"/>
      <c r="J1932" s="40" t="s">
        <v>90</v>
      </c>
      <c r="K1932" s="42"/>
      <c r="L1932" s="41">
        <v>0</v>
      </c>
      <c r="M1932" s="41">
        <v>0</v>
      </c>
      <c r="N1932" s="41">
        <v>0</v>
      </c>
      <c r="O1932" s="41">
        <v>0</v>
      </c>
      <c r="P1932" s="41">
        <v>0</v>
      </c>
      <c r="Q1932" s="1475">
        <f ca="1">L1932*$H1930</f>
        <v>0</v>
      </c>
      <c r="R1932" s="1475">
        <f ca="1">M1932*$H1930</f>
        <v>0</v>
      </c>
      <c r="S1932" s="1475">
        <f ca="1">N1932*$H1930</f>
        <v>0</v>
      </c>
      <c r="T1932" s="1475">
        <f ca="1">O1932*$H1930</f>
        <v>0</v>
      </c>
      <c r="U1932" s="1475">
        <f ca="1">P1932*$H1930</f>
        <v>0</v>
      </c>
      <c r="V1932" s="1475">
        <f t="shared" ca="1" si="958"/>
        <v>0</v>
      </c>
    </row>
    <row r="1933" spans="1:22" s="39" customFormat="1" ht="24" customHeight="1">
      <c r="A1933" s="1860">
        <v>3</v>
      </c>
      <c r="B1933" s="1860"/>
      <c r="C1933" s="1860"/>
      <c r="D1933" s="1954"/>
      <c r="E1933" s="1962"/>
      <c r="F1933" s="1753"/>
      <c r="G1933" s="1625"/>
      <c r="H1933" s="1596"/>
      <c r="I1933" s="1615"/>
      <c r="J1933" s="40" t="s">
        <v>83</v>
      </c>
      <c r="K1933" s="42"/>
      <c r="L1933" s="41">
        <v>0</v>
      </c>
      <c r="M1933" s="41">
        <v>0</v>
      </c>
      <c r="N1933" s="41">
        <v>0</v>
      </c>
      <c r="O1933" s="41">
        <v>0</v>
      </c>
      <c r="P1933" s="41">
        <v>0</v>
      </c>
      <c r="Q1933" s="1475">
        <f ca="1">L1933*$H1930</f>
        <v>0</v>
      </c>
      <c r="R1933" s="1475">
        <f ca="1">M1933*$H1930</f>
        <v>0</v>
      </c>
      <c r="S1933" s="1475">
        <f ca="1">N1933*$H1930</f>
        <v>0</v>
      </c>
      <c r="T1933" s="1475">
        <f ca="1">O1933*$H1930</f>
        <v>0</v>
      </c>
      <c r="U1933" s="1475">
        <f ca="1">P1933*$H1930</f>
        <v>0</v>
      </c>
      <c r="V1933" s="1475">
        <f t="shared" ca="1" si="958"/>
        <v>0</v>
      </c>
    </row>
    <row r="1934" spans="1:22" s="39" customFormat="1" ht="24" customHeight="1" thickBot="1">
      <c r="A1934" s="1860">
        <v>3</v>
      </c>
      <c r="B1934" s="1860"/>
      <c r="C1934" s="1860"/>
      <c r="D1934" s="1954"/>
      <c r="E1934" s="1964"/>
      <c r="F1934" s="1754"/>
      <c r="G1934" s="1626"/>
      <c r="H1934" s="1597"/>
      <c r="I1934" s="1616"/>
      <c r="J1934" s="80" t="s">
        <v>84</v>
      </c>
      <c r="K1934" s="81"/>
      <c r="L1934" s="814">
        <f ca="1">L1925-L1926</f>
        <v>0</v>
      </c>
      <c r="M1934" s="814">
        <f t="shared" ref="M1934:U1934" ca="1" si="963">M1925-M1926</f>
        <v>0</v>
      </c>
      <c r="N1934" s="814">
        <f t="shared" ca="1" si="963"/>
        <v>0</v>
      </c>
      <c r="O1934" s="814">
        <f t="shared" ca="1" si="963"/>
        <v>0</v>
      </c>
      <c r="P1934" s="814">
        <f t="shared" ca="1" si="963"/>
        <v>0</v>
      </c>
      <c r="Q1934" s="1487">
        <f t="shared" ca="1" si="963"/>
        <v>0</v>
      </c>
      <c r="R1934" s="1487">
        <f t="shared" ca="1" si="963"/>
        <v>0</v>
      </c>
      <c r="S1934" s="1487">
        <f t="shared" ca="1" si="963"/>
        <v>0</v>
      </c>
      <c r="T1934" s="1487">
        <f t="shared" ca="1" si="963"/>
        <v>0</v>
      </c>
      <c r="U1934" s="1487">
        <f t="shared" ca="1" si="963"/>
        <v>0</v>
      </c>
      <c r="V1934" s="1487">
        <f t="shared" ca="1" si="958"/>
        <v>0</v>
      </c>
    </row>
    <row r="1935" spans="1:22" s="45" customFormat="1" ht="24" customHeight="1">
      <c r="A1935" s="1860">
        <v>3</v>
      </c>
      <c r="B1935" s="1860">
        <v>3</v>
      </c>
      <c r="C1935" s="1860">
        <v>2</v>
      </c>
      <c r="D1935" s="1860">
        <v>3</v>
      </c>
      <c r="E1935" s="1861" t="s">
        <v>136</v>
      </c>
      <c r="F1935" s="1846" t="str">
        <f>CONCATENATE(A1935,".",B1935,".",C1935,".",D1935,)</f>
        <v>3.3.2.3</v>
      </c>
      <c r="G1935" s="1592" t="s">
        <v>1083</v>
      </c>
      <c r="H1935" s="1650" t="s">
        <v>1016</v>
      </c>
      <c r="I1935" s="1673" t="s">
        <v>1017</v>
      </c>
      <c r="J1935" s="262" t="s">
        <v>79</v>
      </c>
      <c r="K1935" s="912"/>
      <c r="L1935" s="940">
        <f ca="1">'Budget Assumption_Lab Comp2'!G613</f>
        <v>0.26863292747926049</v>
      </c>
      <c r="M1935" s="940">
        <f ca="1">'Budget Assumption_Lab Comp2'!I613</f>
        <v>0.18002474498737944</v>
      </c>
      <c r="N1935" s="940">
        <f ca="1">'Budget Assumption_Lab Comp2'!K613</f>
        <v>0.20512186025964635</v>
      </c>
      <c r="O1935" s="940">
        <f ca="1">'Budget Assumption_Lab Comp2'!M613</f>
        <v>0.16619572228633442</v>
      </c>
      <c r="P1935" s="940">
        <f ca="1">'Budget Assumption_Lab Comp2'!O613</f>
        <v>0.18002474498737944</v>
      </c>
      <c r="Q1935" s="1484">
        <f ca="1">L1935*H1940</f>
        <v>89791.510999999999</v>
      </c>
      <c r="R1935" s="1484">
        <f ca="1">M1935*H1940</f>
        <v>60173.911000000007</v>
      </c>
      <c r="S1935" s="1484">
        <f ca="1">N1935*H1940</f>
        <v>68562.71100000001</v>
      </c>
      <c r="T1935" s="1484">
        <f ca="1">O1935*H1940</f>
        <v>55551.511000000006</v>
      </c>
      <c r="U1935" s="1484">
        <f ca="1">P1935*H1940</f>
        <v>60173.911000000007</v>
      </c>
      <c r="V1935" s="1484">
        <f t="shared" ca="1" si="958"/>
        <v>334253.55500000005</v>
      </c>
    </row>
    <row r="1936" spans="1:22" s="39" customFormat="1" ht="24" customHeight="1">
      <c r="A1936" s="1860">
        <v>3</v>
      </c>
      <c r="B1936" s="1860"/>
      <c r="C1936" s="1860"/>
      <c r="D1936" s="1860"/>
      <c r="E1936" s="1839"/>
      <c r="F1936" s="1844"/>
      <c r="G1936" s="1593"/>
      <c r="H1936" s="1627"/>
      <c r="I1936" s="1615"/>
      <c r="J1936" s="40" t="s">
        <v>80</v>
      </c>
      <c r="K1936" s="91"/>
      <c r="L1936" s="41">
        <f t="shared" ref="L1936:U1936" ca="1" si="964">SUM(L1937:L1943)</f>
        <v>0.26863292747926049</v>
      </c>
      <c r="M1936" s="41">
        <f t="shared" ca="1" si="964"/>
        <v>0.18002474498737944</v>
      </c>
      <c r="N1936" s="41">
        <f t="shared" ca="1" si="964"/>
        <v>0.20512186025964635</v>
      </c>
      <c r="O1936" s="41">
        <f t="shared" ca="1" si="964"/>
        <v>0.16619572228633442</v>
      </c>
      <c r="P1936" s="41">
        <f t="shared" ca="1" si="964"/>
        <v>0.18002474498737944</v>
      </c>
      <c r="Q1936" s="1475">
        <f t="shared" ca="1" si="964"/>
        <v>89791.510999999999</v>
      </c>
      <c r="R1936" s="1475">
        <f t="shared" ca="1" si="964"/>
        <v>60173.911000000007</v>
      </c>
      <c r="S1936" s="1475">
        <f t="shared" ca="1" si="964"/>
        <v>68562.71100000001</v>
      </c>
      <c r="T1936" s="1475">
        <f t="shared" ca="1" si="964"/>
        <v>55551.511000000006</v>
      </c>
      <c r="U1936" s="1475">
        <f t="shared" ca="1" si="964"/>
        <v>60173.911000000007</v>
      </c>
      <c r="V1936" s="1475">
        <f t="shared" ca="1" si="958"/>
        <v>334253.55500000005</v>
      </c>
    </row>
    <row r="1937" spans="1:22" s="39" customFormat="1" ht="24" customHeight="1">
      <c r="A1937" s="1860">
        <v>3</v>
      </c>
      <c r="B1937" s="1860"/>
      <c r="C1937" s="1860"/>
      <c r="D1937" s="1860"/>
      <c r="E1937" s="1839"/>
      <c r="F1937" s="1844"/>
      <c r="G1937" s="1593"/>
      <c r="H1937" s="1627"/>
      <c r="I1937" s="1615"/>
      <c r="J1937" s="40" t="s">
        <v>429</v>
      </c>
      <c r="K1937" s="91"/>
      <c r="L1937" s="41">
        <v>0</v>
      </c>
      <c r="M1937" s="41">
        <v>0</v>
      </c>
      <c r="N1937" s="41">
        <v>0</v>
      </c>
      <c r="O1937" s="822">
        <f ca="1">O1935*1</f>
        <v>0.16619572228633442</v>
      </c>
      <c r="P1937" s="822">
        <f ca="1">P1935*1</f>
        <v>0.18002474498737944</v>
      </c>
      <c r="Q1937" s="1475">
        <f ca="1">L1937*$H1940</f>
        <v>0</v>
      </c>
      <c r="R1937" s="1475">
        <f ca="1">M1937*$H1940</f>
        <v>0</v>
      </c>
      <c r="S1937" s="1475">
        <f ca="1">N1937*$H1940</f>
        <v>0</v>
      </c>
      <c r="T1937" s="1475">
        <f ca="1">O1937*$H1940</f>
        <v>55551.511000000006</v>
      </c>
      <c r="U1937" s="1475">
        <f ca="1">P1937*$H1940</f>
        <v>60173.911000000007</v>
      </c>
      <c r="V1937" s="1475">
        <f t="shared" ca="1" si="958"/>
        <v>115725.42200000002</v>
      </c>
    </row>
    <row r="1938" spans="1:22" s="39" customFormat="1" ht="24" customHeight="1">
      <c r="A1938" s="1860">
        <v>3</v>
      </c>
      <c r="B1938" s="1860"/>
      <c r="C1938" s="1860"/>
      <c r="D1938" s="1860"/>
      <c r="E1938" s="1839"/>
      <c r="F1938" s="1844"/>
      <c r="G1938" s="1593"/>
      <c r="H1938" s="1627"/>
      <c r="I1938" s="1615"/>
      <c r="J1938" s="40" t="s">
        <v>133</v>
      </c>
      <c r="K1938" s="91"/>
      <c r="L1938" s="41">
        <v>0</v>
      </c>
      <c r="M1938" s="41">
        <v>0</v>
      </c>
      <c r="N1938" s="41">
        <v>0</v>
      </c>
      <c r="O1938" s="41">
        <v>0</v>
      </c>
      <c r="P1938" s="41">
        <v>0</v>
      </c>
      <c r="Q1938" s="1475">
        <f ca="1">L1938*$H1940</f>
        <v>0</v>
      </c>
      <c r="R1938" s="1475">
        <f ca="1">M1938*$H1940</f>
        <v>0</v>
      </c>
      <c r="S1938" s="1475">
        <f ca="1">N1938*$H1940</f>
        <v>0</v>
      </c>
      <c r="T1938" s="1475">
        <f ca="1">O1938*$H1940</f>
        <v>0</v>
      </c>
      <c r="U1938" s="1475">
        <f ca="1">P1938*$H1940</f>
        <v>0</v>
      </c>
      <c r="V1938" s="1475">
        <f t="shared" ca="1" si="958"/>
        <v>0</v>
      </c>
    </row>
    <row r="1939" spans="1:22" s="39" customFormat="1" ht="24" customHeight="1">
      <c r="A1939" s="1860">
        <v>3</v>
      </c>
      <c r="B1939" s="1860"/>
      <c r="C1939" s="1860"/>
      <c r="D1939" s="1860"/>
      <c r="E1939" s="1839"/>
      <c r="F1939" s="1844"/>
      <c r="G1939" s="1593"/>
      <c r="H1939" s="1628"/>
      <c r="I1939" s="1615"/>
      <c r="J1939" s="40" t="s">
        <v>81</v>
      </c>
      <c r="K1939" s="91"/>
      <c r="L1939" s="41">
        <v>0</v>
      </c>
      <c r="M1939" s="41">
        <v>0</v>
      </c>
      <c r="N1939" s="41">
        <v>0</v>
      </c>
      <c r="O1939" s="41">
        <v>0</v>
      </c>
      <c r="P1939" s="41">
        <v>0</v>
      </c>
      <c r="Q1939" s="1475">
        <f ca="1">L1939*$H1940</f>
        <v>0</v>
      </c>
      <c r="R1939" s="1475">
        <f ca="1">M1939*$H1940</f>
        <v>0</v>
      </c>
      <c r="S1939" s="1475">
        <f ca="1">N1939*$H1940</f>
        <v>0</v>
      </c>
      <c r="T1939" s="1475">
        <f ca="1">O1939*$H1940</f>
        <v>0</v>
      </c>
      <c r="U1939" s="1475">
        <f ca="1">P1939*$H1940</f>
        <v>0</v>
      </c>
      <c r="V1939" s="1475">
        <f t="shared" ca="1" si="958"/>
        <v>0</v>
      </c>
    </row>
    <row r="1940" spans="1:22" s="39" customFormat="1" ht="24" customHeight="1">
      <c r="A1940" s="1860">
        <v>3</v>
      </c>
      <c r="B1940" s="1860"/>
      <c r="C1940" s="1860"/>
      <c r="D1940" s="1860"/>
      <c r="E1940" s="1839"/>
      <c r="F1940" s="1844"/>
      <c r="G1940" s="1593"/>
      <c r="H1940" s="1595">
        <f ca="1">'Budget Assumption_Lab Comp2'!P612</f>
        <v>334253.55499999999</v>
      </c>
      <c r="I1940" s="1615"/>
      <c r="J1940" s="40" t="s">
        <v>134</v>
      </c>
      <c r="K1940" s="91"/>
      <c r="L1940" s="41">
        <v>0</v>
      </c>
      <c r="M1940" s="41">
        <v>0</v>
      </c>
      <c r="N1940" s="41">
        <v>0</v>
      </c>
      <c r="O1940" s="41">
        <v>0</v>
      </c>
      <c r="P1940" s="41">
        <v>0</v>
      </c>
      <c r="Q1940" s="1475">
        <f ca="1">L1940*$H1940</f>
        <v>0</v>
      </c>
      <c r="R1940" s="1475">
        <f ca="1">M1940*$H1940</f>
        <v>0</v>
      </c>
      <c r="S1940" s="1475">
        <f ca="1">N1940*$H1940</f>
        <v>0</v>
      </c>
      <c r="T1940" s="1475">
        <f ca="1">O1940*$H1940</f>
        <v>0</v>
      </c>
      <c r="U1940" s="1475">
        <f ca="1">P1940*$H1940</f>
        <v>0</v>
      </c>
      <c r="V1940" s="1475">
        <f t="shared" ca="1" si="958"/>
        <v>0</v>
      </c>
    </row>
    <row r="1941" spans="1:22" s="39" customFormat="1" ht="24" customHeight="1">
      <c r="A1941" s="1860">
        <v>3</v>
      </c>
      <c r="B1941" s="1860"/>
      <c r="C1941" s="1860"/>
      <c r="D1941" s="1860"/>
      <c r="E1941" s="1839"/>
      <c r="F1941" s="1844"/>
      <c r="G1941" s="1593"/>
      <c r="H1941" s="1596"/>
      <c r="I1941" s="1615"/>
      <c r="J1941" s="40" t="s">
        <v>82</v>
      </c>
      <c r="K1941" s="91"/>
      <c r="L1941" s="822">
        <f ca="1">L1935*1</f>
        <v>0.26863292747926049</v>
      </c>
      <c r="M1941" s="822">
        <f t="shared" ref="M1941:N1941" ca="1" si="965">M1935*1</f>
        <v>0.18002474498737944</v>
      </c>
      <c r="N1941" s="822">
        <f t="shared" ca="1" si="965"/>
        <v>0.20512186025964635</v>
      </c>
      <c r="O1941" s="41">
        <v>0</v>
      </c>
      <c r="P1941" s="41">
        <v>0</v>
      </c>
      <c r="Q1941" s="1475">
        <f ca="1">L1941*H1940</f>
        <v>89791.510999999999</v>
      </c>
      <c r="R1941" s="1475">
        <f ca="1">M1941*H1940</f>
        <v>60173.911000000007</v>
      </c>
      <c r="S1941" s="1475">
        <f ca="1">N1941*H1940</f>
        <v>68562.71100000001</v>
      </c>
      <c r="T1941" s="1475">
        <f ca="1">O1941*$H1940</f>
        <v>0</v>
      </c>
      <c r="U1941" s="1475">
        <f ca="1">P1941*$H1940</f>
        <v>0</v>
      </c>
      <c r="V1941" s="1475">
        <f t="shared" ca="1" si="958"/>
        <v>218528.13300000003</v>
      </c>
    </row>
    <row r="1942" spans="1:22" s="39" customFormat="1" ht="24" customHeight="1">
      <c r="A1942" s="1860">
        <v>3</v>
      </c>
      <c r="B1942" s="1860"/>
      <c r="C1942" s="1860"/>
      <c r="D1942" s="1860"/>
      <c r="E1942" s="1839"/>
      <c r="F1942" s="1844"/>
      <c r="G1942" s="1593"/>
      <c r="H1942" s="1596"/>
      <c r="I1942" s="1615"/>
      <c r="J1942" s="40" t="s">
        <v>90</v>
      </c>
      <c r="K1942" s="91"/>
      <c r="L1942" s="41">
        <v>0</v>
      </c>
      <c r="M1942" s="41">
        <v>0</v>
      </c>
      <c r="N1942" s="41">
        <v>0</v>
      </c>
      <c r="O1942" s="41">
        <v>0</v>
      </c>
      <c r="P1942" s="41">
        <v>0</v>
      </c>
      <c r="Q1942" s="1475">
        <f ca="1">L1942*$H1940</f>
        <v>0</v>
      </c>
      <c r="R1942" s="1475">
        <f ca="1">M1942*$H1940</f>
        <v>0</v>
      </c>
      <c r="S1942" s="1475">
        <f ca="1">N1942*$H1940</f>
        <v>0</v>
      </c>
      <c r="T1942" s="1475">
        <f ca="1">O1942*$H1940</f>
        <v>0</v>
      </c>
      <c r="U1942" s="1475">
        <f ca="1">P1942*$H1940</f>
        <v>0</v>
      </c>
      <c r="V1942" s="1475">
        <f t="shared" ca="1" si="958"/>
        <v>0</v>
      </c>
    </row>
    <row r="1943" spans="1:22" s="39" customFormat="1" ht="24" customHeight="1">
      <c r="A1943" s="1860">
        <v>3</v>
      </c>
      <c r="B1943" s="1860"/>
      <c r="C1943" s="1860"/>
      <c r="D1943" s="1860"/>
      <c r="E1943" s="1839"/>
      <c r="F1943" s="1844"/>
      <c r="G1943" s="1593"/>
      <c r="H1943" s="1596"/>
      <c r="I1943" s="1615"/>
      <c r="J1943" s="40" t="s">
        <v>83</v>
      </c>
      <c r="K1943" s="91"/>
      <c r="L1943" s="41">
        <v>0</v>
      </c>
      <c r="M1943" s="41">
        <v>0</v>
      </c>
      <c r="N1943" s="41">
        <v>0</v>
      </c>
      <c r="O1943" s="41">
        <v>0</v>
      </c>
      <c r="P1943" s="41">
        <v>0</v>
      </c>
      <c r="Q1943" s="1475">
        <f ca="1">L1943*$H1940</f>
        <v>0</v>
      </c>
      <c r="R1943" s="1475">
        <f ca="1">M1943*$H1940</f>
        <v>0</v>
      </c>
      <c r="S1943" s="1475">
        <f ca="1">N1943*$H1940</f>
        <v>0</v>
      </c>
      <c r="T1943" s="1475">
        <f ca="1">O1943*$H1940</f>
        <v>0</v>
      </c>
      <c r="U1943" s="1475">
        <f ca="1">P1943*$H1940</f>
        <v>0</v>
      </c>
      <c r="V1943" s="1475">
        <f t="shared" ca="1" si="958"/>
        <v>0</v>
      </c>
    </row>
    <row r="1944" spans="1:22" s="39" customFormat="1" ht="24" customHeight="1" thickBot="1">
      <c r="A1944" s="1860">
        <v>3</v>
      </c>
      <c r="B1944" s="1860"/>
      <c r="C1944" s="1860"/>
      <c r="D1944" s="1860"/>
      <c r="E1944" s="1862"/>
      <c r="F1944" s="1845"/>
      <c r="G1944" s="1594"/>
      <c r="H1944" s="1597"/>
      <c r="I1944" s="1616"/>
      <c r="J1944" s="80" t="s">
        <v>84</v>
      </c>
      <c r="K1944" s="824"/>
      <c r="L1944" s="814">
        <f ca="1">L1935-L1936</f>
        <v>0</v>
      </c>
      <c r="M1944" s="814">
        <f ca="1">M1935-M1936</f>
        <v>0</v>
      </c>
      <c r="N1944" s="814">
        <f ca="1">N1935-N1936</f>
        <v>0</v>
      </c>
      <c r="O1944" s="814">
        <f ca="1">O1935-O1936</f>
        <v>0</v>
      </c>
      <c r="P1944" s="814">
        <f ca="1">P1935-P1936</f>
        <v>0</v>
      </c>
      <c r="Q1944" s="1487">
        <f t="shared" ref="Q1944:U1944" ca="1" si="966">Q1935-Q1936</f>
        <v>0</v>
      </c>
      <c r="R1944" s="1487">
        <f t="shared" ca="1" si="966"/>
        <v>0</v>
      </c>
      <c r="S1944" s="1487">
        <f t="shared" ca="1" si="966"/>
        <v>0</v>
      </c>
      <c r="T1944" s="1487">
        <f t="shared" ca="1" si="966"/>
        <v>0</v>
      </c>
      <c r="U1944" s="1487">
        <f t="shared" ca="1" si="966"/>
        <v>0</v>
      </c>
      <c r="V1944" s="1487">
        <f t="shared" ca="1" si="958"/>
        <v>0</v>
      </c>
    </row>
    <row r="1945" spans="1:22" s="45" customFormat="1" ht="24" customHeight="1">
      <c r="A1945" s="1860">
        <v>3</v>
      </c>
      <c r="B1945" s="1860">
        <v>3</v>
      </c>
      <c r="C1945" s="1860">
        <v>2</v>
      </c>
      <c r="D1945" s="1860">
        <v>4</v>
      </c>
      <c r="E1945" s="1861" t="s">
        <v>136</v>
      </c>
      <c r="F1945" s="1846" t="str">
        <f>CONCATENATE(A1945,".",B1945,".",C1945,".",D1945,)</f>
        <v>3.3.2.4</v>
      </c>
      <c r="G1945" s="1592" t="s">
        <v>1084</v>
      </c>
      <c r="H1945" s="1650" t="s">
        <v>1016</v>
      </c>
      <c r="I1945" s="1673" t="s">
        <v>1017</v>
      </c>
      <c r="J1945" s="262" t="s">
        <v>79</v>
      </c>
      <c r="K1945" s="908"/>
      <c r="L1945" s="940">
        <f>'Budget Assumption_Lab Comp2'!G621</f>
        <v>0.15</v>
      </c>
      <c r="M1945" s="940">
        <f>'Budget Assumption_Lab Comp2'!I621</f>
        <v>0.17499999999999999</v>
      </c>
      <c r="N1945" s="940">
        <f>'Budget Assumption_Lab Comp2'!K621</f>
        <v>0.2</v>
      </c>
      <c r="O1945" s="940">
        <f>'Budget Assumption_Lab Comp2'!M621</f>
        <v>0.22500000000000001</v>
      </c>
      <c r="P1945" s="940">
        <f>'Budget Assumption_Lab Comp2'!O621</f>
        <v>0.25</v>
      </c>
      <c r="Q1945" s="1484">
        <f>L1945*H1950</f>
        <v>10272</v>
      </c>
      <c r="R1945" s="1484">
        <f>M1945*H1950</f>
        <v>11984</v>
      </c>
      <c r="S1945" s="1484">
        <f>N1945*H1950</f>
        <v>13696</v>
      </c>
      <c r="T1945" s="1484">
        <f>O1945*H1950</f>
        <v>15408</v>
      </c>
      <c r="U1945" s="1484">
        <f>P1945*H1950</f>
        <v>17120</v>
      </c>
      <c r="V1945" s="1484">
        <f t="shared" si="958"/>
        <v>68480</v>
      </c>
    </row>
    <row r="1946" spans="1:22" s="39" customFormat="1" ht="24" customHeight="1">
      <c r="A1946" s="1860">
        <v>3</v>
      </c>
      <c r="B1946" s="1860"/>
      <c r="C1946" s="1860"/>
      <c r="D1946" s="1860"/>
      <c r="E1946" s="1839"/>
      <c r="F1946" s="1844"/>
      <c r="G1946" s="1593"/>
      <c r="H1946" s="1627"/>
      <c r="I1946" s="1615"/>
      <c r="J1946" s="40" t="s">
        <v>80</v>
      </c>
      <c r="K1946" s="91"/>
      <c r="L1946" s="41">
        <f t="shared" ref="L1946:U1946" si="967">SUM(L1947:L1953)</f>
        <v>0.15</v>
      </c>
      <c r="M1946" s="41">
        <f t="shared" si="967"/>
        <v>0.17499999999999999</v>
      </c>
      <c r="N1946" s="41">
        <f t="shared" si="967"/>
        <v>0.2</v>
      </c>
      <c r="O1946" s="41">
        <f t="shared" si="967"/>
        <v>0.22500000000000001</v>
      </c>
      <c r="P1946" s="41">
        <f t="shared" si="967"/>
        <v>0.25</v>
      </c>
      <c r="Q1946" s="1475">
        <f t="shared" si="967"/>
        <v>10272</v>
      </c>
      <c r="R1946" s="1475">
        <f t="shared" si="967"/>
        <v>11984</v>
      </c>
      <c r="S1946" s="1475">
        <f t="shared" si="967"/>
        <v>13696</v>
      </c>
      <c r="T1946" s="1475">
        <f t="shared" si="967"/>
        <v>15408</v>
      </c>
      <c r="U1946" s="1475">
        <f t="shared" si="967"/>
        <v>17120</v>
      </c>
      <c r="V1946" s="1475">
        <f t="shared" si="958"/>
        <v>68480</v>
      </c>
    </row>
    <row r="1947" spans="1:22" s="39" customFormat="1" ht="24" customHeight="1">
      <c r="A1947" s="1860">
        <v>3</v>
      </c>
      <c r="B1947" s="1860"/>
      <c r="C1947" s="1860"/>
      <c r="D1947" s="1860"/>
      <c r="E1947" s="1839"/>
      <c r="F1947" s="1844"/>
      <c r="G1947" s="1593"/>
      <c r="H1947" s="1627"/>
      <c r="I1947" s="1615"/>
      <c r="J1947" s="40" t="s">
        <v>429</v>
      </c>
      <c r="K1947" s="91"/>
      <c r="L1947" s="41">
        <v>0</v>
      </c>
      <c r="M1947" s="41">
        <v>0</v>
      </c>
      <c r="N1947" s="41">
        <v>0</v>
      </c>
      <c r="O1947" s="822">
        <f>O1945*1</f>
        <v>0.22500000000000001</v>
      </c>
      <c r="P1947" s="822">
        <f>P1945*1</f>
        <v>0.25</v>
      </c>
      <c r="Q1947" s="1475">
        <f>L1947*$H1950</f>
        <v>0</v>
      </c>
      <c r="R1947" s="1475">
        <f>M1947*$H1950</f>
        <v>0</v>
      </c>
      <c r="S1947" s="1475">
        <f>N1947*$H1950</f>
        <v>0</v>
      </c>
      <c r="T1947" s="1475">
        <f>O1947*$H1950</f>
        <v>15408</v>
      </c>
      <c r="U1947" s="1475">
        <f>P1947*$H1950</f>
        <v>17120</v>
      </c>
      <c r="V1947" s="1475">
        <f t="shared" si="958"/>
        <v>32528</v>
      </c>
    </row>
    <row r="1948" spans="1:22" s="39" customFormat="1" ht="24" customHeight="1">
      <c r="A1948" s="1860">
        <v>3</v>
      </c>
      <c r="B1948" s="1860"/>
      <c r="C1948" s="1860"/>
      <c r="D1948" s="1860"/>
      <c r="E1948" s="1839"/>
      <c r="F1948" s="1844"/>
      <c r="G1948" s="1593"/>
      <c r="H1948" s="1627"/>
      <c r="I1948" s="1615"/>
      <c r="J1948" s="40" t="s">
        <v>133</v>
      </c>
      <c r="K1948" s="91"/>
      <c r="L1948" s="41">
        <v>0</v>
      </c>
      <c r="M1948" s="41">
        <v>0</v>
      </c>
      <c r="N1948" s="41">
        <v>0</v>
      </c>
      <c r="O1948" s="41">
        <v>0</v>
      </c>
      <c r="P1948" s="41">
        <v>0</v>
      </c>
      <c r="Q1948" s="1475">
        <f>L1948*$H1950</f>
        <v>0</v>
      </c>
      <c r="R1948" s="1475">
        <f>M1948*$H1950</f>
        <v>0</v>
      </c>
      <c r="S1948" s="1475">
        <f>N1948*$H1950</f>
        <v>0</v>
      </c>
      <c r="T1948" s="1475">
        <f>O1948*$H1950</f>
        <v>0</v>
      </c>
      <c r="U1948" s="1475">
        <f>P1948*$H1950</f>
        <v>0</v>
      </c>
      <c r="V1948" s="1475">
        <f t="shared" si="958"/>
        <v>0</v>
      </c>
    </row>
    <row r="1949" spans="1:22" s="39" customFormat="1" ht="24" customHeight="1">
      <c r="A1949" s="1860">
        <v>3</v>
      </c>
      <c r="B1949" s="1860"/>
      <c r="C1949" s="1860"/>
      <c r="D1949" s="1860"/>
      <c r="E1949" s="1839"/>
      <c r="F1949" s="1844"/>
      <c r="G1949" s="1593"/>
      <c r="H1949" s="1628"/>
      <c r="I1949" s="1615"/>
      <c r="J1949" s="40" t="s">
        <v>81</v>
      </c>
      <c r="K1949" s="42"/>
      <c r="L1949" s="41">
        <v>0</v>
      </c>
      <c r="M1949" s="41">
        <v>0</v>
      </c>
      <c r="N1949" s="41">
        <v>0</v>
      </c>
      <c r="O1949" s="41">
        <v>0</v>
      </c>
      <c r="P1949" s="41">
        <v>0</v>
      </c>
      <c r="Q1949" s="1475">
        <f>L1949*$H1950</f>
        <v>0</v>
      </c>
      <c r="R1949" s="1475">
        <f>M1949*$H1950</f>
        <v>0</v>
      </c>
      <c r="S1949" s="1475">
        <f>N1949*$H1950</f>
        <v>0</v>
      </c>
      <c r="T1949" s="1475">
        <f>O1949*$H1950</f>
        <v>0</v>
      </c>
      <c r="U1949" s="1475">
        <f>P1949*$H1950</f>
        <v>0</v>
      </c>
      <c r="V1949" s="1475">
        <f t="shared" si="958"/>
        <v>0</v>
      </c>
    </row>
    <row r="1950" spans="1:22" s="39" customFormat="1" ht="24" customHeight="1">
      <c r="A1950" s="1860">
        <v>3</v>
      </c>
      <c r="B1950" s="1860"/>
      <c r="C1950" s="1860"/>
      <c r="D1950" s="1860"/>
      <c r="E1950" s="1839"/>
      <c r="F1950" s="1844"/>
      <c r="G1950" s="1593"/>
      <c r="H1950" s="1595">
        <f>'Budget Assumption_Lab Comp2'!P620</f>
        <v>68480</v>
      </c>
      <c r="I1950" s="1615"/>
      <c r="J1950" s="40" t="s">
        <v>134</v>
      </c>
      <c r="K1950" s="42"/>
      <c r="L1950" s="41">
        <v>0</v>
      </c>
      <c r="M1950" s="41">
        <v>0</v>
      </c>
      <c r="N1950" s="41">
        <v>0</v>
      </c>
      <c r="O1950" s="41">
        <v>0</v>
      </c>
      <c r="P1950" s="41">
        <v>0</v>
      </c>
      <c r="Q1950" s="1475">
        <f>L1950*$H1950</f>
        <v>0</v>
      </c>
      <c r="R1950" s="1475">
        <f>M1950*$H1950</f>
        <v>0</v>
      </c>
      <c r="S1950" s="1475">
        <f>N1950*$H1950</f>
        <v>0</v>
      </c>
      <c r="T1950" s="1475">
        <f>O1950*$H1950</f>
        <v>0</v>
      </c>
      <c r="U1950" s="1475">
        <f>P1950*$H1950</f>
        <v>0</v>
      </c>
      <c r="V1950" s="1475">
        <f t="shared" si="958"/>
        <v>0</v>
      </c>
    </row>
    <row r="1951" spans="1:22" s="39" customFormat="1" ht="24" customHeight="1">
      <c r="A1951" s="1860">
        <v>3</v>
      </c>
      <c r="B1951" s="1860"/>
      <c r="C1951" s="1860"/>
      <c r="D1951" s="1860"/>
      <c r="E1951" s="1839"/>
      <c r="F1951" s="1844"/>
      <c r="G1951" s="1593"/>
      <c r="H1951" s="1596"/>
      <c r="I1951" s="1615"/>
      <c r="J1951" s="40" t="s">
        <v>82</v>
      </c>
      <c r="K1951" s="42"/>
      <c r="L1951" s="822">
        <f>L1945*1</f>
        <v>0.15</v>
      </c>
      <c r="M1951" s="822">
        <f t="shared" ref="M1951:N1951" si="968">M1945*1</f>
        <v>0.17499999999999999</v>
      </c>
      <c r="N1951" s="822">
        <f t="shared" si="968"/>
        <v>0.2</v>
      </c>
      <c r="O1951" s="41">
        <v>0</v>
      </c>
      <c r="P1951" s="41">
        <v>0</v>
      </c>
      <c r="Q1951" s="1475">
        <f>L1951*H1950</f>
        <v>10272</v>
      </c>
      <c r="R1951" s="1475">
        <f>M1951*H1950</f>
        <v>11984</v>
      </c>
      <c r="S1951" s="1475">
        <f>N1951*H1950</f>
        <v>13696</v>
      </c>
      <c r="T1951" s="1475">
        <f>O1951*$H1950</f>
        <v>0</v>
      </c>
      <c r="U1951" s="1475">
        <f>P1951*$H1950</f>
        <v>0</v>
      </c>
      <c r="V1951" s="1475">
        <f t="shared" si="958"/>
        <v>35952</v>
      </c>
    </row>
    <row r="1952" spans="1:22" s="39" customFormat="1" ht="24" customHeight="1">
      <c r="A1952" s="1860">
        <v>3</v>
      </c>
      <c r="B1952" s="1860"/>
      <c r="C1952" s="1860"/>
      <c r="D1952" s="1860"/>
      <c r="E1952" s="1839"/>
      <c r="F1952" s="1844"/>
      <c r="G1952" s="1593"/>
      <c r="H1952" s="1596"/>
      <c r="I1952" s="1615"/>
      <c r="J1952" s="40" t="s">
        <v>90</v>
      </c>
      <c r="K1952" s="42"/>
      <c r="L1952" s="41">
        <v>0</v>
      </c>
      <c r="M1952" s="41">
        <v>0</v>
      </c>
      <c r="N1952" s="41">
        <v>0</v>
      </c>
      <c r="O1952" s="41">
        <v>0</v>
      </c>
      <c r="P1952" s="41">
        <v>0</v>
      </c>
      <c r="Q1952" s="1475">
        <f>L1952*$H1950</f>
        <v>0</v>
      </c>
      <c r="R1952" s="1475">
        <f>M1952*$H1950</f>
        <v>0</v>
      </c>
      <c r="S1952" s="1475">
        <f>N1952*$H1950</f>
        <v>0</v>
      </c>
      <c r="T1952" s="1475">
        <f>O1952*$H1950</f>
        <v>0</v>
      </c>
      <c r="U1952" s="1475">
        <f>P1952*$H1950</f>
        <v>0</v>
      </c>
      <c r="V1952" s="1475">
        <f t="shared" si="958"/>
        <v>0</v>
      </c>
    </row>
    <row r="1953" spans="1:22" s="39" customFormat="1" ht="24" customHeight="1">
      <c r="A1953" s="1860">
        <v>3</v>
      </c>
      <c r="B1953" s="1860"/>
      <c r="C1953" s="1860"/>
      <c r="D1953" s="1860"/>
      <c r="E1953" s="1839"/>
      <c r="F1953" s="1844"/>
      <c r="G1953" s="1593"/>
      <c r="H1953" s="1596"/>
      <c r="I1953" s="1615"/>
      <c r="J1953" s="40" t="s">
        <v>83</v>
      </c>
      <c r="K1953" s="42"/>
      <c r="L1953" s="41">
        <v>0</v>
      </c>
      <c r="M1953" s="41">
        <v>0</v>
      </c>
      <c r="N1953" s="41">
        <v>0</v>
      </c>
      <c r="O1953" s="41">
        <v>0</v>
      </c>
      <c r="P1953" s="41">
        <v>0</v>
      </c>
      <c r="Q1953" s="1475">
        <f>L1953*$H1950</f>
        <v>0</v>
      </c>
      <c r="R1953" s="1475">
        <f>M1953*$H1950</f>
        <v>0</v>
      </c>
      <c r="S1953" s="1475">
        <f>N1953*$H1950</f>
        <v>0</v>
      </c>
      <c r="T1953" s="1475">
        <f>O1953*$H1950</f>
        <v>0</v>
      </c>
      <c r="U1953" s="1475">
        <f>P1953*$H1950</f>
        <v>0</v>
      </c>
      <c r="V1953" s="1475">
        <f t="shared" si="958"/>
        <v>0</v>
      </c>
    </row>
    <row r="1954" spans="1:22" s="39" customFormat="1" ht="24" customHeight="1" thickBot="1">
      <c r="A1954" s="1860">
        <v>3</v>
      </c>
      <c r="B1954" s="1860"/>
      <c r="C1954" s="1860"/>
      <c r="D1954" s="1860"/>
      <c r="E1954" s="1862"/>
      <c r="F1954" s="1845"/>
      <c r="G1954" s="1594"/>
      <c r="H1954" s="1597"/>
      <c r="I1954" s="1616"/>
      <c r="J1954" s="80" t="s">
        <v>84</v>
      </c>
      <c r="K1954" s="81"/>
      <c r="L1954" s="814">
        <f>L1945-L1946</f>
        <v>0</v>
      </c>
      <c r="M1954" s="814">
        <f t="shared" ref="M1954:U1954" si="969">M1945-M1946</f>
        <v>0</v>
      </c>
      <c r="N1954" s="814">
        <f t="shared" si="969"/>
        <v>0</v>
      </c>
      <c r="O1954" s="814">
        <f t="shared" si="969"/>
        <v>0</v>
      </c>
      <c r="P1954" s="814">
        <f t="shared" si="969"/>
        <v>0</v>
      </c>
      <c r="Q1954" s="1487">
        <f t="shared" si="969"/>
        <v>0</v>
      </c>
      <c r="R1954" s="1487">
        <f t="shared" si="969"/>
        <v>0</v>
      </c>
      <c r="S1954" s="1487">
        <f t="shared" si="969"/>
        <v>0</v>
      </c>
      <c r="T1954" s="1487">
        <f t="shared" si="969"/>
        <v>0</v>
      </c>
      <c r="U1954" s="1487">
        <f t="shared" si="969"/>
        <v>0</v>
      </c>
      <c r="V1954" s="1487">
        <f t="shared" si="958"/>
        <v>0</v>
      </c>
    </row>
    <row r="1955" spans="1:22" s="63" customFormat="1" ht="24" customHeight="1">
      <c r="A1955" s="75">
        <v>3</v>
      </c>
      <c r="B1955" s="75">
        <v>3</v>
      </c>
      <c r="C1955" s="75">
        <v>3</v>
      </c>
      <c r="D1955" s="75"/>
      <c r="E1955" s="74" t="s">
        <v>135</v>
      </c>
      <c r="F1955" s="1467" t="str">
        <f>CONCATENATE(A1955,".",B1955,".",C1955,)</f>
        <v>3.3.3</v>
      </c>
      <c r="G1955" s="1621" t="s">
        <v>336</v>
      </c>
      <c r="H1955" s="1622"/>
      <c r="I1955" s="1622"/>
      <c r="J1955" s="1623"/>
      <c r="K1955" s="66"/>
      <c r="L1955" s="382"/>
      <c r="M1955" s="382"/>
      <c r="N1955" s="382"/>
      <c r="O1955" s="382"/>
      <c r="P1955" s="382"/>
      <c r="Q1955" s="1499">
        <f>Q1957+Q1967+Q1977</f>
        <v>96086</v>
      </c>
      <c r="R1955" s="1499">
        <f t="shared" ref="R1955:U1955" si="970">R1957+R1967+R1977</f>
        <v>47080</v>
      </c>
      <c r="S1955" s="1499">
        <f t="shared" si="970"/>
        <v>21400</v>
      </c>
      <c r="T1955" s="1499">
        <f t="shared" si="970"/>
        <v>0</v>
      </c>
      <c r="U1955" s="1499">
        <f t="shared" si="970"/>
        <v>0</v>
      </c>
      <c r="V1955" s="1499">
        <f t="shared" si="958"/>
        <v>164566</v>
      </c>
    </row>
    <row r="1956" spans="1:22" s="45" customFormat="1" ht="24" customHeight="1">
      <c r="A1956" s="1860">
        <v>3</v>
      </c>
      <c r="B1956" s="1860">
        <v>3</v>
      </c>
      <c r="C1956" s="1860">
        <v>3</v>
      </c>
      <c r="D1956" s="1860">
        <v>1</v>
      </c>
      <c r="E1956" s="1839" t="s">
        <v>136</v>
      </c>
      <c r="F1956" s="1843" t="str">
        <f>CONCATENATE(A1956,".",B1956,".",C1956,".",D1956,)</f>
        <v>3.3.3.1</v>
      </c>
      <c r="G1956" s="1593" t="s">
        <v>1085</v>
      </c>
      <c r="H1956" s="1627" t="s">
        <v>1016</v>
      </c>
      <c r="I1956" s="1615" t="s">
        <v>1017</v>
      </c>
      <c r="J1956" s="815" t="s">
        <v>79</v>
      </c>
      <c r="K1956" s="897"/>
      <c r="L1956" s="1455">
        <v>0.52</v>
      </c>
      <c r="M1956" s="1455">
        <f>'Budget Assumption_Lab Comp2'!I636</f>
        <v>0</v>
      </c>
      <c r="N1956" s="1455">
        <f>'Budget Assumption_Lab Comp2'!K636</f>
        <v>0</v>
      </c>
      <c r="O1956" s="1455">
        <f>'Budget Assumption_Lab Comp2'!M636</f>
        <v>0</v>
      </c>
      <c r="P1956" s="1455">
        <f>'Budget Assumption_Lab Comp2'!O636</f>
        <v>0.5173913043478261</v>
      </c>
      <c r="Q1956" s="1489">
        <f>L1956*H1961</f>
        <v>63986</v>
      </c>
      <c r="R1956" s="1489">
        <f>M1956*H1961</f>
        <v>0</v>
      </c>
      <c r="S1956" s="1489">
        <f>N1956*H1961</f>
        <v>0</v>
      </c>
      <c r="T1956" s="1489">
        <f>O1956*H1961</f>
        <v>0</v>
      </c>
      <c r="U1956" s="1489">
        <f>P1956*H1961</f>
        <v>63665</v>
      </c>
      <c r="V1956" s="1489">
        <f t="shared" ref="V1956:V1975" si="971">SUM(Q1956:U1956)</f>
        <v>127651</v>
      </c>
    </row>
    <row r="1957" spans="1:22" s="39" customFormat="1" ht="24" customHeight="1">
      <c r="A1957" s="1860">
        <v>3</v>
      </c>
      <c r="B1957" s="1860"/>
      <c r="C1957" s="1860"/>
      <c r="D1957" s="1860"/>
      <c r="E1957" s="1839"/>
      <c r="F1957" s="1844"/>
      <c r="G1957" s="1593"/>
      <c r="H1957" s="1627"/>
      <c r="I1957" s="1615"/>
      <c r="J1957" s="40" t="s">
        <v>80</v>
      </c>
      <c r="K1957" s="91"/>
      <c r="L1957" s="38">
        <f t="shared" ref="L1957:P1957" si="972">SUM(L1958:L1964)</f>
        <v>0.52</v>
      </c>
      <c r="M1957" s="38">
        <f t="shared" si="972"/>
        <v>0</v>
      </c>
      <c r="N1957" s="38">
        <f t="shared" si="972"/>
        <v>0</v>
      </c>
      <c r="O1957" s="38">
        <f t="shared" si="972"/>
        <v>0</v>
      </c>
      <c r="P1957" s="38">
        <f t="shared" si="972"/>
        <v>0</v>
      </c>
      <c r="Q1957" s="1475">
        <f>SUM(Q1958:Q1964)</f>
        <v>63986</v>
      </c>
      <c r="R1957" s="1475">
        <f>SUM(R1958:R1964)</f>
        <v>0</v>
      </c>
      <c r="S1957" s="1475">
        <f>SUM(S1958:S1964)</f>
        <v>0</v>
      </c>
      <c r="T1957" s="1475">
        <f>SUM(T1958:T1964)</f>
        <v>0</v>
      </c>
      <c r="U1957" s="1475">
        <f>SUM(U1958:U1964)</f>
        <v>0</v>
      </c>
      <c r="V1957" s="1475">
        <f>SUM(Q1957:U1957)</f>
        <v>63986</v>
      </c>
    </row>
    <row r="1958" spans="1:22" s="39" customFormat="1" ht="24" customHeight="1">
      <c r="A1958" s="1860">
        <v>3</v>
      </c>
      <c r="B1958" s="1860"/>
      <c r="C1958" s="1860"/>
      <c r="D1958" s="1860"/>
      <c r="E1958" s="1839"/>
      <c r="F1958" s="1844"/>
      <c r="G1958" s="1593"/>
      <c r="H1958" s="1627"/>
      <c r="I1958" s="1615"/>
      <c r="J1958" s="40" t="s">
        <v>429</v>
      </c>
      <c r="K1958" s="91"/>
      <c r="L1958" s="41">
        <v>0</v>
      </c>
      <c r="M1958" s="41">
        <v>0</v>
      </c>
      <c r="N1958" s="41">
        <v>0</v>
      </c>
      <c r="O1958" s="41">
        <v>0</v>
      </c>
      <c r="P1958" s="41">
        <v>0</v>
      </c>
      <c r="Q1958" s="1475">
        <f>L1958*$H1961</f>
        <v>0</v>
      </c>
      <c r="R1958" s="1475">
        <f>M1958*$H1961</f>
        <v>0</v>
      </c>
      <c r="S1958" s="1475">
        <f>N1958*$H1961</f>
        <v>0</v>
      </c>
      <c r="T1958" s="1475">
        <f>O1958*$H1961</f>
        <v>0</v>
      </c>
      <c r="U1958" s="1475">
        <f>P1958*$H1961</f>
        <v>0</v>
      </c>
      <c r="V1958" s="1475">
        <f t="shared" si="971"/>
        <v>0</v>
      </c>
    </row>
    <row r="1959" spans="1:22" s="39" customFormat="1" ht="24" customHeight="1">
      <c r="A1959" s="1860">
        <v>3</v>
      </c>
      <c r="B1959" s="1860"/>
      <c r="C1959" s="1860"/>
      <c r="D1959" s="1860"/>
      <c r="E1959" s="1839"/>
      <c r="F1959" s="1844"/>
      <c r="G1959" s="1593"/>
      <c r="H1959" s="1627"/>
      <c r="I1959" s="1615"/>
      <c r="J1959" s="40" t="s">
        <v>133</v>
      </c>
      <c r="K1959" s="91"/>
      <c r="L1959" s="41">
        <v>0</v>
      </c>
      <c r="M1959" s="41">
        <v>0</v>
      </c>
      <c r="N1959" s="41">
        <v>0</v>
      </c>
      <c r="O1959" s="41">
        <v>0</v>
      </c>
      <c r="P1959" s="41">
        <v>0</v>
      </c>
      <c r="Q1959" s="1475">
        <f>L1959*$H1961</f>
        <v>0</v>
      </c>
      <c r="R1959" s="1475">
        <f>M1959*$H1961</f>
        <v>0</v>
      </c>
      <c r="S1959" s="1475">
        <f>N1959*$H1961</f>
        <v>0</v>
      </c>
      <c r="T1959" s="1475">
        <f>O1959*$H1961</f>
        <v>0</v>
      </c>
      <c r="U1959" s="1475">
        <f>P1959*$H1961</f>
        <v>0</v>
      </c>
      <c r="V1959" s="1475">
        <f t="shared" si="971"/>
        <v>0</v>
      </c>
    </row>
    <row r="1960" spans="1:22" s="39" customFormat="1" ht="24" customHeight="1">
      <c r="A1960" s="1860">
        <v>3</v>
      </c>
      <c r="B1960" s="1860"/>
      <c r="C1960" s="1860"/>
      <c r="D1960" s="1860"/>
      <c r="E1960" s="1839"/>
      <c r="F1960" s="1844"/>
      <c r="G1960" s="1593"/>
      <c r="H1960" s="1628"/>
      <c r="I1960" s="1615"/>
      <c r="J1960" s="40" t="s">
        <v>81</v>
      </c>
      <c r="K1960" s="91"/>
      <c r="L1960" s="41">
        <v>0</v>
      </c>
      <c r="M1960" s="41">
        <v>0</v>
      </c>
      <c r="N1960" s="41">
        <v>0</v>
      </c>
      <c r="O1960" s="41">
        <v>0</v>
      </c>
      <c r="P1960" s="41">
        <v>0</v>
      </c>
      <c r="Q1960" s="1475">
        <f>L1960*$H1961</f>
        <v>0</v>
      </c>
      <c r="R1960" s="1475">
        <f>M1960*$H1961</f>
        <v>0</v>
      </c>
      <c r="S1960" s="1475">
        <f>N1960*$H1961</f>
        <v>0</v>
      </c>
      <c r="T1960" s="1475">
        <f>O1960*$H1961</f>
        <v>0</v>
      </c>
      <c r="U1960" s="1475">
        <f>P1960*$H1961</f>
        <v>0</v>
      </c>
      <c r="V1960" s="1475">
        <f t="shared" si="971"/>
        <v>0</v>
      </c>
    </row>
    <row r="1961" spans="1:22" s="39" customFormat="1" ht="24" customHeight="1">
      <c r="A1961" s="1860">
        <v>3</v>
      </c>
      <c r="B1961" s="1860"/>
      <c r="C1961" s="1860"/>
      <c r="D1961" s="1860"/>
      <c r="E1961" s="1839"/>
      <c r="F1961" s="1844"/>
      <c r="G1961" s="1593"/>
      <c r="H1961" s="1595">
        <f>'Budget Assumption_Lab Comp2'!P635</f>
        <v>123050</v>
      </c>
      <c r="I1961" s="1615"/>
      <c r="J1961" s="40" t="s">
        <v>134</v>
      </c>
      <c r="K1961" s="91"/>
      <c r="L1961" s="41">
        <v>0</v>
      </c>
      <c r="M1961" s="41">
        <v>0</v>
      </c>
      <c r="N1961" s="41">
        <v>0</v>
      </c>
      <c r="O1961" s="41">
        <v>0</v>
      </c>
      <c r="P1961" s="41">
        <v>0</v>
      </c>
      <c r="Q1961" s="1475">
        <f t="shared" ref="Q1961:Q1964" si="973">L1961*$H1962</f>
        <v>0</v>
      </c>
      <c r="R1961" s="1475">
        <f t="shared" ref="R1961:T1961" si="974">M1961*$H1961</f>
        <v>0</v>
      </c>
      <c r="S1961" s="1475">
        <f t="shared" si="974"/>
        <v>0</v>
      </c>
      <c r="T1961" s="1475">
        <f t="shared" si="974"/>
        <v>0</v>
      </c>
      <c r="U1961" s="1475">
        <f t="shared" ref="U1961:U1964" si="975">P1961*$H1962</f>
        <v>0</v>
      </c>
      <c r="V1961" s="1475">
        <f t="shared" si="971"/>
        <v>0</v>
      </c>
    </row>
    <row r="1962" spans="1:22" s="39" customFormat="1" ht="24" customHeight="1">
      <c r="A1962" s="1860">
        <v>3</v>
      </c>
      <c r="B1962" s="1860"/>
      <c r="C1962" s="1860"/>
      <c r="D1962" s="1860"/>
      <c r="E1962" s="1839"/>
      <c r="F1962" s="1844"/>
      <c r="G1962" s="1593"/>
      <c r="H1962" s="1596"/>
      <c r="I1962" s="1615"/>
      <c r="J1962" s="40" t="s">
        <v>82</v>
      </c>
      <c r="K1962" s="91"/>
      <c r="L1962" s="38">
        <v>0.52</v>
      </c>
      <c r="M1962" s="38">
        <v>0</v>
      </c>
      <c r="N1962" s="38">
        <v>0</v>
      </c>
      <c r="O1962" s="38">
        <v>0</v>
      </c>
      <c r="P1962" s="38">
        <v>0</v>
      </c>
      <c r="Q1962" s="1475">
        <f>L1962*H1961</f>
        <v>63986</v>
      </c>
      <c r="R1962" s="1475">
        <f>M1962*H1961</f>
        <v>0</v>
      </c>
      <c r="S1962" s="1475">
        <f>N1962*H1961</f>
        <v>0</v>
      </c>
      <c r="T1962" s="1475">
        <f>O1962*H1961</f>
        <v>0</v>
      </c>
      <c r="U1962" s="1475">
        <f t="shared" si="975"/>
        <v>0</v>
      </c>
      <c r="V1962" s="1475">
        <f t="shared" si="971"/>
        <v>63986</v>
      </c>
    </row>
    <row r="1963" spans="1:22" s="39" customFormat="1" ht="24" customHeight="1">
      <c r="A1963" s="1860">
        <v>3</v>
      </c>
      <c r="B1963" s="1860"/>
      <c r="C1963" s="1860"/>
      <c r="D1963" s="1860"/>
      <c r="E1963" s="1839"/>
      <c r="F1963" s="1844"/>
      <c r="G1963" s="1593"/>
      <c r="H1963" s="1596"/>
      <c r="I1963" s="1615"/>
      <c r="J1963" s="40" t="s">
        <v>90</v>
      </c>
      <c r="K1963" s="91"/>
      <c r="L1963" s="41">
        <v>0</v>
      </c>
      <c r="M1963" s="41">
        <v>0</v>
      </c>
      <c r="N1963" s="41">
        <v>0</v>
      </c>
      <c r="O1963" s="41">
        <v>0</v>
      </c>
      <c r="P1963" s="41">
        <v>0</v>
      </c>
      <c r="Q1963" s="1475">
        <f t="shared" si="973"/>
        <v>0</v>
      </c>
      <c r="R1963" s="1475">
        <f>M1963*$H1961</f>
        <v>0</v>
      </c>
      <c r="S1963" s="1475">
        <f>N1963*$H1961</f>
        <v>0</v>
      </c>
      <c r="T1963" s="1475">
        <f>O1963*$H1961</f>
        <v>0</v>
      </c>
      <c r="U1963" s="1475">
        <f t="shared" si="975"/>
        <v>0</v>
      </c>
      <c r="V1963" s="1475">
        <f t="shared" si="971"/>
        <v>0</v>
      </c>
    </row>
    <row r="1964" spans="1:22" s="39" customFormat="1" ht="24" customHeight="1">
      <c r="A1964" s="1860">
        <v>3</v>
      </c>
      <c r="B1964" s="1860"/>
      <c r="C1964" s="1860"/>
      <c r="D1964" s="1860"/>
      <c r="E1964" s="1839"/>
      <c r="F1964" s="1844"/>
      <c r="G1964" s="1593"/>
      <c r="H1964" s="1596"/>
      <c r="I1964" s="1615"/>
      <c r="J1964" s="40" t="s">
        <v>83</v>
      </c>
      <c r="K1964" s="91"/>
      <c r="L1964" s="41">
        <v>0</v>
      </c>
      <c r="M1964" s="41">
        <v>0</v>
      </c>
      <c r="N1964" s="41">
        <v>0</v>
      </c>
      <c r="O1964" s="41">
        <v>0</v>
      </c>
      <c r="P1964" s="41">
        <v>0</v>
      </c>
      <c r="Q1964" s="1475">
        <f t="shared" si="973"/>
        <v>0</v>
      </c>
      <c r="R1964" s="1475">
        <f>M1964*$H1961</f>
        <v>0</v>
      </c>
      <c r="S1964" s="1475">
        <f>N1964*$H1961</f>
        <v>0</v>
      </c>
      <c r="T1964" s="1475">
        <f>O1964*$H1961</f>
        <v>0</v>
      </c>
      <c r="U1964" s="1475">
        <f t="shared" si="975"/>
        <v>0</v>
      </c>
      <c r="V1964" s="1475">
        <f t="shared" si="971"/>
        <v>0</v>
      </c>
    </row>
    <row r="1965" spans="1:22" s="39" customFormat="1" ht="24" customHeight="1" thickBot="1">
      <c r="A1965" s="1860">
        <v>3</v>
      </c>
      <c r="B1965" s="1860"/>
      <c r="C1965" s="1860"/>
      <c r="D1965" s="1860"/>
      <c r="E1965" s="1862"/>
      <c r="F1965" s="1845"/>
      <c r="G1965" s="1594"/>
      <c r="H1965" s="1597"/>
      <c r="I1965" s="1616"/>
      <c r="J1965" s="80" t="s">
        <v>84</v>
      </c>
      <c r="K1965" s="824"/>
      <c r="L1965" s="83">
        <f>L1956-L1957</f>
        <v>0</v>
      </c>
      <c r="M1965" s="83">
        <f t="shared" ref="M1965:P1965" si="976">M1956-M1957</f>
        <v>0</v>
      </c>
      <c r="N1965" s="83">
        <f t="shared" si="976"/>
        <v>0</v>
      </c>
      <c r="O1965" s="83">
        <f t="shared" si="976"/>
        <v>0</v>
      </c>
      <c r="P1965" s="83">
        <f t="shared" si="976"/>
        <v>0.5173913043478261</v>
      </c>
      <c r="Q1965" s="1487">
        <f t="shared" ref="Q1965:U1965" si="977">Q1956-Q1957</f>
        <v>0</v>
      </c>
      <c r="R1965" s="1487">
        <f t="shared" si="977"/>
        <v>0</v>
      </c>
      <c r="S1965" s="1487">
        <f t="shared" si="977"/>
        <v>0</v>
      </c>
      <c r="T1965" s="1487">
        <f t="shared" si="977"/>
        <v>0</v>
      </c>
      <c r="U1965" s="1487">
        <f t="shared" si="977"/>
        <v>63665</v>
      </c>
      <c r="V1965" s="1487">
        <f t="shared" si="971"/>
        <v>63665</v>
      </c>
    </row>
    <row r="1966" spans="1:22" s="45" customFormat="1" ht="24" customHeight="1">
      <c r="A1966" s="1860">
        <v>3</v>
      </c>
      <c r="B1966" s="1860">
        <v>3</v>
      </c>
      <c r="C1966" s="1860">
        <v>3</v>
      </c>
      <c r="D1966" s="1860">
        <v>2</v>
      </c>
      <c r="E1966" s="1861" t="s">
        <v>136</v>
      </c>
      <c r="F1966" s="1846" t="str">
        <f>CONCATENATE(A1966,".",B1966,".",C1966,".",D1966,)</f>
        <v>3.3.3.2</v>
      </c>
      <c r="G1966" s="1592" t="s">
        <v>1086</v>
      </c>
      <c r="H1966" s="1650" t="s">
        <v>1016</v>
      </c>
      <c r="I1966" s="1673" t="s">
        <v>1017</v>
      </c>
      <c r="J1966" s="262" t="s">
        <v>79</v>
      </c>
      <c r="K1966" s="908"/>
      <c r="L1966" s="931">
        <f>'Budget Assumption_Lab Comp2'!G649</f>
        <v>0</v>
      </c>
      <c r="M1966" s="931">
        <f>'Budget Assumption_Lab Comp2'!I649</f>
        <v>0.5</v>
      </c>
      <c r="N1966" s="931">
        <f>'Budget Assumption_Lab Comp2'!K649</f>
        <v>0</v>
      </c>
      <c r="O1966" s="931">
        <f>'Budget Assumption_Lab Comp2'!M649</f>
        <v>0</v>
      </c>
      <c r="P1966" s="931">
        <f>'Budget Assumption_Lab Comp2'!O649</f>
        <v>0.5</v>
      </c>
      <c r="Q1966" s="1484">
        <f>L1966*H1971</f>
        <v>0</v>
      </c>
      <c r="R1966" s="1484">
        <f>M1966*H1971</f>
        <v>47080</v>
      </c>
      <c r="S1966" s="1484">
        <f>N1966*H1971</f>
        <v>0</v>
      </c>
      <c r="T1966" s="1484">
        <f>O1966*H1971</f>
        <v>0</v>
      </c>
      <c r="U1966" s="1484">
        <f>P1966*H1971</f>
        <v>47080</v>
      </c>
      <c r="V1966" s="1484">
        <f t="shared" si="971"/>
        <v>94160</v>
      </c>
    </row>
    <row r="1967" spans="1:22" s="39" customFormat="1" ht="24" customHeight="1">
      <c r="A1967" s="1860">
        <v>3</v>
      </c>
      <c r="B1967" s="1860"/>
      <c r="C1967" s="1860"/>
      <c r="D1967" s="1860"/>
      <c r="E1967" s="1839"/>
      <c r="F1967" s="1844"/>
      <c r="G1967" s="1593"/>
      <c r="H1967" s="1627"/>
      <c r="I1967" s="1615"/>
      <c r="J1967" s="40" t="s">
        <v>80</v>
      </c>
      <c r="K1967" s="91"/>
      <c r="L1967" s="38">
        <f t="shared" ref="L1967:P1967" si="978">SUM(L1968:L1974)</f>
        <v>0</v>
      </c>
      <c r="M1967" s="38">
        <f t="shared" si="978"/>
        <v>0.5</v>
      </c>
      <c r="N1967" s="38">
        <f t="shared" si="978"/>
        <v>0</v>
      </c>
      <c r="O1967" s="38">
        <f t="shared" si="978"/>
        <v>0</v>
      </c>
      <c r="P1967" s="38">
        <f t="shared" si="978"/>
        <v>0</v>
      </c>
      <c r="Q1967" s="1475">
        <f>SUM(Q1968:Q1974)</f>
        <v>0</v>
      </c>
      <c r="R1967" s="1475">
        <f>SUM(R1968:R1974)</f>
        <v>47080</v>
      </c>
      <c r="S1967" s="1475">
        <f>SUM(S1968:S1974)</f>
        <v>0</v>
      </c>
      <c r="T1967" s="1475">
        <f>SUM(T1968:T1974)</f>
        <v>0</v>
      </c>
      <c r="U1967" s="1475">
        <f>SUM(U1968:U1974)</f>
        <v>0</v>
      </c>
      <c r="V1967" s="1475">
        <f>SUM(Q1967:U1967)</f>
        <v>47080</v>
      </c>
    </row>
    <row r="1968" spans="1:22" s="39" customFormat="1" ht="24" customHeight="1">
      <c r="A1968" s="1860">
        <v>3</v>
      </c>
      <c r="B1968" s="1860"/>
      <c r="C1968" s="1860"/>
      <c r="D1968" s="1860"/>
      <c r="E1968" s="1839"/>
      <c r="F1968" s="1844"/>
      <c r="G1968" s="1593"/>
      <c r="H1968" s="1627"/>
      <c r="I1968" s="1615"/>
      <c r="J1968" s="40" t="s">
        <v>429</v>
      </c>
      <c r="K1968" s="91"/>
      <c r="L1968" s="41">
        <v>0</v>
      </c>
      <c r="M1968" s="41">
        <v>0</v>
      </c>
      <c r="N1968" s="41">
        <v>0</v>
      </c>
      <c r="O1968" s="41">
        <v>0</v>
      </c>
      <c r="P1968" s="41">
        <v>0</v>
      </c>
      <c r="Q1968" s="1475">
        <f>L1968*$H1971</f>
        <v>0</v>
      </c>
      <c r="R1968" s="1475">
        <f>M1968*$H1971</f>
        <v>0</v>
      </c>
      <c r="S1968" s="1475">
        <f>N1968*$H1971</f>
        <v>0</v>
      </c>
      <c r="T1968" s="1475">
        <f>O1968*$H1971</f>
        <v>0</v>
      </c>
      <c r="U1968" s="1475">
        <f>P1968*$H1971</f>
        <v>0</v>
      </c>
      <c r="V1968" s="1475">
        <f t="shared" si="971"/>
        <v>0</v>
      </c>
    </row>
    <row r="1969" spans="1:22" s="39" customFormat="1" ht="24" customHeight="1">
      <c r="A1969" s="1860">
        <v>3</v>
      </c>
      <c r="B1969" s="1860"/>
      <c r="C1969" s="1860"/>
      <c r="D1969" s="1860"/>
      <c r="E1969" s="1839"/>
      <c r="F1969" s="1844"/>
      <c r="G1969" s="1593"/>
      <c r="H1969" s="1627"/>
      <c r="I1969" s="1615"/>
      <c r="J1969" s="40" t="s">
        <v>133</v>
      </c>
      <c r="K1969" s="42"/>
      <c r="L1969" s="41">
        <v>0</v>
      </c>
      <c r="M1969" s="41">
        <v>0</v>
      </c>
      <c r="N1969" s="41">
        <v>0</v>
      </c>
      <c r="O1969" s="41">
        <v>0</v>
      </c>
      <c r="P1969" s="41">
        <v>0</v>
      </c>
      <c r="Q1969" s="1475">
        <f>L1969*$H1971</f>
        <v>0</v>
      </c>
      <c r="R1969" s="1475">
        <f>M1969*$H1971</f>
        <v>0</v>
      </c>
      <c r="S1969" s="1475">
        <f>N1969*$H1971</f>
        <v>0</v>
      </c>
      <c r="T1969" s="1475">
        <f>O1969*$H1971</f>
        <v>0</v>
      </c>
      <c r="U1969" s="1475">
        <f>P1969*$H1971</f>
        <v>0</v>
      </c>
      <c r="V1969" s="1475">
        <f t="shared" si="971"/>
        <v>0</v>
      </c>
    </row>
    <row r="1970" spans="1:22" s="39" customFormat="1" ht="24" customHeight="1">
      <c r="A1970" s="1860">
        <v>3</v>
      </c>
      <c r="B1970" s="1860"/>
      <c r="C1970" s="1860"/>
      <c r="D1970" s="1860"/>
      <c r="E1970" s="1839"/>
      <c r="F1970" s="1844"/>
      <c r="G1970" s="1593"/>
      <c r="H1970" s="1628"/>
      <c r="I1970" s="1615"/>
      <c r="J1970" s="40" t="s">
        <v>81</v>
      </c>
      <c r="K1970" s="42"/>
      <c r="L1970" s="41">
        <v>0</v>
      </c>
      <c r="M1970" s="41">
        <v>0</v>
      </c>
      <c r="N1970" s="41">
        <v>0</v>
      </c>
      <c r="O1970" s="41">
        <v>0</v>
      </c>
      <c r="P1970" s="41">
        <v>0</v>
      </c>
      <c r="Q1970" s="1475">
        <f>L1970*$H1971</f>
        <v>0</v>
      </c>
      <c r="R1970" s="1475">
        <f>M1970*$H1971</f>
        <v>0</v>
      </c>
      <c r="S1970" s="1475">
        <f>N1970*$H1971</f>
        <v>0</v>
      </c>
      <c r="T1970" s="1475">
        <f>O1970*$H1971</f>
        <v>0</v>
      </c>
      <c r="U1970" s="1475">
        <f>P1970*$H1971</f>
        <v>0</v>
      </c>
      <c r="V1970" s="1475">
        <f t="shared" si="971"/>
        <v>0</v>
      </c>
    </row>
    <row r="1971" spans="1:22" s="39" customFormat="1" ht="24" customHeight="1">
      <c r="A1971" s="1860">
        <v>3</v>
      </c>
      <c r="B1971" s="1860"/>
      <c r="C1971" s="1860"/>
      <c r="D1971" s="1860"/>
      <c r="E1971" s="1839"/>
      <c r="F1971" s="1844"/>
      <c r="G1971" s="1593"/>
      <c r="H1971" s="1595">
        <f>'Budget Assumption_Lab Comp2'!P648</f>
        <v>94160</v>
      </c>
      <c r="I1971" s="1615"/>
      <c r="J1971" s="40" t="s">
        <v>134</v>
      </c>
      <c r="K1971" s="42"/>
      <c r="L1971" s="41">
        <v>0</v>
      </c>
      <c r="M1971" s="41">
        <v>0</v>
      </c>
      <c r="N1971" s="41">
        <v>0</v>
      </c>
      <c r="O1971" s="41">
        <v>0</v>
      </c>
      <c r="P1971" s="41">
        <v>0</v>
      </c>
      <c r="Q1971" s="1475">
        <f>L1971*$H1971</f>
        <v>0</v>
      </c>
      <c r="R1971" s="1475">
        <f>M1971*$H1971</f>
        <v>0</v>
      </c>
      <c r="S1971" s="1475">
        <f>N1971*$H1971</f>
        <v>0</v>
      </c>
      <c r="T1971" s="1475">
        <f>O1971*$H1971</f>
        <v>0</v>
      </c>
      <c r="U1971" s="1475">
        <f>P1971*$H1971</f>
        <v>0</v>
      </c>
      <c r="V1971" s="1475">
        <f t="shared" si="971"/>
        <v>0</v>
      </c>
    </row>
    <row r="1972" spans="1:22" s="39" customFormat="1" ht="24" customHeight="1">
      <c r="A1972" s="1860">
        <v>3</v>
      </c>
      <c r="B1972" s="1860"/>
      <c r="C1972" s="1860"/>
      <c r="D1972" s="1860"/>
      <c r="E1972" s="1839"/>
      <c r="F1972" s="1844"/>
      <c r="G1972" s="1593"/>
      <c r="H1972" s="1596"/>
      <c r="I1972" s="1615"/>
      <c r="J1972" s="40" t="s">
        <v>82</v>
      </c>
      <c r="K1972" s="42"/>
      <c r="L1972" s="38">
        <f>'Budget Assumption_Lab Comp2'!G649</f>
        <v>0</v>
      </c>
      <c r="M1972" s="38">
        <f>'Budget Assumption_Lab Comp2'!I649</f>
        <v>0.5</v>
      </c>
      <c r="N1972" s="38">
        <f>'Budget Assumption_Lab Comp2'!K649</f>
        <v>0</v>
      </c>
      <c r="O1972" s="41">
        <v>0</v>
      </c>
      <c r="P1972" s="41">
        <v>0</v>
      </c>
      <c r="Q1972" s="1475">
        <f>L1972*$H1971</f>
        <v>0</v>
      </c>
      <c r="R1972" s="1475">
        <f>M1972*H1971</f>
        <v>47080</v>
      </c>
      <c r="S1972" s="1475">
        <f>N1972*$H1971</f>
        <v>0</v>
      </c>
      <c r="T1972" s="1475">
        <f>O1972*$H1971</f>
        <v>0</v>
      </c>
      <c r="U1972" s="1475">
        <f>P1972*$H1971</f>
        <v>0</v>
      </c>
      <c r="V1972" s="1475">
        <f t="shared" si="971"/>
        <v>47080</v>
      </c>
    </row>
    <row r="1973" spans="1:22" s="39" customFormat="1" ht="24" customHeight="1">
      <c r="A1973" s="1860">
        <v>3</v>
      </c>
      <c r="B1973" s="1860"/>
      <c r="C1973" s="1860"/>
      <c r="D1973" s="1860"/>
      <c r="E1973" s="1839"/>
      <c r="F1973" s="1844"/>
      <c r="G1973" s="1593"/>
      <c r="H1973" s="1596"/>
      <c r="I1973" s="1615"/>
      <c r="J1973" s="40" t="s">
        <v>90</v>
      </c>
      <c r="K1973" s="42"/>
      <c r="L1973" s="41">
        <v>0</v>
      </c>
      <c r="M1973" s="41">
        <v>0</v>
      </c>
      <c r="N1973" s="41">
        <v>0</v>
      </c>
      <c r="O1973" s="41">
        <v>0</v>
      </c>
      <c r="P1973" s="41">
        <v>0</v>
      </c>
      <c r="Q1973" s="1475">
        <f>L1973*$H1971</f>
        <v>0</v>
      </c>
      <c r="R1973" s="1475">
        <f>M1973*$H1971</f>
        <v>0</v>
      </c>
      <c r="S1973" s="1475">
        <f>N1973*$H1971</f>
        <v>0</v>
      </c>
      <c r="T1973" s="1475">
        <f>O1973*$H1971</f>
        <v>0</v>
      </c>
      <c r="U1973" s="1475">
        <f>P1973*$H1971</f>
        <v>0</v>
      </c>
      <c r="V1973" s="1475">
        <f t="shared" si="971"/>
        <v>0</v>
      </c>
    </row>
    <row r="1974" spans="1:22" s="39" customFormat="1" ht="24" customHeight="1">
      <c r="A1974" s="1860">
        <v>3</v>
      </c>
      <c r="B1974" s="1860"/>
      <c r="C1974" s="1860"/>
      <c r="D1974" s="1860"/>
      <c r="E1974" s="1839"/>
      <c r="F1974" s="1844"/>
      <c r="G1974" s="1593"/>
      <c r="H1974" s="1596"/>
      <c r="I1974" s="1615"/>
      <c r="J1974" s="40" t="s">
        <v>83</v>
      </c>
      <c r="K1974" s="42"/>
      <c r="L1974" s="41">
        <v>0</v>
      </c>
      <c r="M1974" s="41">
        <v>0</v>
      </c>
      <c r="N1974" s="41">
        <v>0</v>
      </c>
      <c r="O1974" s="41">
        <v>0</v>
      </c>
      <c r="P1974" s="41">
        <v>0</v>
      </c>
      <c r="Q1974" s="1475">
        <f>L1974*$H1971</f>
        <v>0</v>
      </c>
      <c r="R1974" s="1475">
        <f>M1974*$H1971</f>
        <v>0</v>
      </c>
      <c r="S1974" s="1475">
        <f>N1974*$H1971</f>
        <v>0</v>
      </c>
      <c r="T1974" s="1475">
        <f>O1974*$H1971</f>
        <v>0</v>
      </c>
      <c r="U1974" s="1475">
        <f>P1974*$H1971</f>
        <v>0</v>
      </c>
      <c r="V1974" s="1475">
        <f t="shared" si="971"/>
        <v>0</v>
      </c>
    </row>
    <row r="1975" spans="1:22" s="39" customFormat="1" ht="24" customHeight="1" thickBot="1">
      <c r="A1975" s="1860">
        <v>3</v>
      </c>
      <c r="B1975" s="1860"/>
      <c r="C1975" s="1860"/>
      <c r="D1975" s="1860"/>
      <c r="E1975" s="1862"/>
      <c r="F1975" s="1845"/>
      <c r="G1975" s="1594"/>
      <c r="H1975" s="1597"/>
      <c r="I1975" s="1616"/>
      <c r="J1975" s="80" t="s">
        <v>84</v>
      </c>
      <c r="K1975" s="81"/>
      <c r="L1975" s="83">
        <f>L1966-L1967</f>
        <v>0</v>
      </c>
      <c r="M1975" s="83">
        <v>0</v>
      </c>
      <c r="N1975" s="83">
        <f t="shared" ref="N1975:U1975" si="979">N1966-N1967</f>
        <v>0</v>
      </c>
      <c r="O1975" s="83">
        <f t="shared" si="979"/>
        <v>0</v>
      </c>
      <c r="P1975" s="83">
        <f t="shared" si="979"/>
        <v>0.5</v>
      </c>
      <c r="Q1975" s="1487">
        <f t="shared" si="979"/>
        <v>0</v>
      </c>
      <c r="R1975" s="1487">
        <f t="shared" si="979"/>
        <v>0</v>
      </c>
      <c r="S1975" s="1487">
        <f t="shared" si="979"/>
        <v>0</v>
      </c>
      <c r="T1975" s="1487">
        <f t="shared" si="979"/>
        <v>0</v>
      </c>
      <c r="U1975" s="1487">
        <f t="shared" si="979"/>
        <v>47080</v>
      </c>
      <c r="V1975" s="1487">
        <f t="shared" si="971"/>
        <v>47080</v>
      </c>
    </row>
    <row r="1976" spans="1:22" s="45" customFormat="1" ht="24" customHeight="1">
      <c r="A1976" s="1860">
        <v>3</v>
      </c>
      <c r="B1976" s="1860">
        <v>3</v>
      </c>
      <c r="C1976" s="1860">
        <v>3</v>
      </c>
      <c r="D1976" s="1860">
        <v>3</v>
      </c>
      <c r="E1976" s="1861" t="s">
        <v>136</v>
      </c>
      <c r="F1976" s="1846" t="str">
        <f>CONCATENATE(A1976,".",B1976,".",C1976,".",D1976,)</f>
        <v>3.3.3.3</v>
      </c>
      <c r="G1976" s="1592" t="s">
        <v>1087</v>
      </c>
      <c r="H1976" s="1650" t="s">
        <v>1016</v>
      </c>
      <c r="I1976" s="1673" t="s">
        <v>1017</v>
      </c>
      <c r="J1976" s="262" t="s">
        <v>79</v>
      </c>
      <c r="K1976" s="912"/>
      <c r="L1976" s="931">
        <f>'Budget Assumption_Lab Comp2'!G659</f>
        <v>0.42857142857142855</v>
      </c>
      <c r="M1976" s="931">
        <f>'Budget Assumption_Lab Comp2'!I659</f>
        <v>0</v>
      </c>
      <c r="N1976" s="931">
        <f>'Budget Assumption_Lab Comp2'!K659</f>
        <v>0.2857142857142857</v>
      </c>
      <c r="O1976" s="931">
        <f>'Budget Assumption_Lab Comp2'!M659</f>
        <v>0</v>
      </c>
      <c r="P1976" s="931">
        <f>'Budget Assumption_Lab Comp2'!O659</f>
        <v>0.2857142857142857</v>
      </c>
      <c r="Q1976" s="1484">
        <f>L1976*H1981</f>
        <v>32100</v>
      </c>
      <c r="R1976" s="1484">
        <f>M1976*H1981</f>
        <v>0</v>
      </c>
      <c r="S1976" s="1484">
        <f>N1976*H1981</f>
        <v>21400</v>
      </c>
      <c r="T1976" s="1484">
        <f>O1976*H1981</f>
        <v>0</v>
      </c>
      <c r="U1976" s="1484">
        <f>P1976*H1981</f>
        <v>21400</v>
      </c>
      <c r="V1976" s="1484">
        <f>SUM(Q1976:U1976)</f>
        <v>74900</v>
      </c>
    </row>
    <row r="1977" spans="1:22" s="39" customFormat="1" ht="24" customHeight="1">
      <c r="A1977" s="1860">
        <v>3</v>
      </c>
      <c r="B1977" s="1860"/>
      <c r="C1977" s="1860"/>
      <c r="D1977" s="1860"/>
      <c r="E1977" s="1839"/>
      <c r="F1977" s="1844"/>
      <c r="G1977" s="1593"/>
      <c r="H1977" s="1627"/>
      <c r="I1977" s="1615"/>
      <c r="J1977" s="40" t="s">
        <v>80</v>
      </c>
      <c r="K1977" s="91"/>
      <c r="L1977" s="38">
        <f t="shared" ref="L1977:P1977" si="980">SUM(L1978:L1984)</f>
        <v>0.42857142857142855</v>
      </c>
      <c r="M1977" s="38">
        <f t="shared" si="980"/>
        <v>0</v>
      </c>
      <c r="N1977" s="38">
        <f t="shared" si="980"/>
        <v>0.2857142857142857</v>
      </c>
      <c r="O1977" s="38">
        <f t="shared" si="980"/>
        <v>0</v>
      </c>
      <c r="P1977" s="38">
        <f t="shared" si="980"/>
        <v>0</v>
      </c>
      <c r="Q1977" s="1475">
        <f>SUM(Q1978:Q1984)</f>
        <v>32100</v>
      </c>
      <c r="R1977" s="1475">
        <f>SUM(R1978:R1984)</f>
        <v>0</v>
      </c>
      <c r="S1977" s="1475">
        <f>SUM(S1978:S1984)</f>
        <v>21400</v>
      </c>
      <c r="T1977" s="1475">
        <f>SUM(T1978:T1984)</f>
        <v>0</v>
      </c>
      <c r="U1977" s="1475">
        <f>SUM(U1978:U1984)</f>
        <v>0</v>
      </c>
      <c r="V1977" s="1475">
        <f>SUM(Q1977:U1977)</f>
        <v>53500</v>
      </c>
    </row>
    <row r="1978" spans="1:22" s="39" customFormat="1" ht="24" customHeight="1">
      <c r="A1978" s="1860">
        <v>3</v>
      </c>
      <c r="B1978" s="1860"/>
      <c r="C1978" s="1860"/>
      <c r="D1978" s="1860"/>
      <c r="E1978" s="1839"/>
      <c r="F1978" s="1844"/>
      <c r="G1978" s="1593"/>
      <c r="H1978" s="1627"/>
      <c r="I1978" s="1615"/>
      <c r="J1978" s="40" t="s">
        <v>429</v>
      </c>
      <c r="K1978" s="42"/>
      <c r="L1978" s="41">
        <v>0</v>
      </c>
      <c r="M1978" s="41">
        <v>0</v>
      </c>
      <c r="N1978" s="41">
        <v>0</v>
      </c>
      <c r="O1978" s="41">
        <v>0</v>
      </c>
      <c r="P1978" s="41">
        <v>0</v>
      </c>
      <c r="Q1978" s="1475">
        <f>L1978*$H1981</f>
        <v>0</v>
      </c>
      <c r="R1978" s="1475">
        <f>M1978*$H1981</f>
        <v>0</v>
      </c>
      <c r="S1978" s="1475">
        <f>N1978*$H1981</f>
        <v>0</v>
      </c>
      <c r="T1978" s="1475">
        <f>O1978*$H1981</f>
        <v>0</v>
      </c>
      <c r="U1978" s="1475">
        <f>P1978*$H1981</f>
        <v>0</v>
      </c>
      <c r="V1978" s="1475">
        <f t="shared" ref="V1978:V1985" si="981">SUM(Q1978:U1978)</f>
        <v>0</v>
      </c>
    </row>
    <row r="1979" spans="1:22" s="39" customFormat="1" ht="24" customHeight="1">
      <c r="A1979" s="1860">
        <v>3</v>
      </c>
      <c r="B1979" s="1860"/>
      <c r="C1979" s="1860"/>
      <c r="D1979" s="1860"/>
      <c r="E1979" s="1839"/>
      <c r="F1979" s="1844"/>
      <c r="G1979" s="1593"/>
      <c r="H1979" s="1627"/>
      <c r="I1979" s="1615"/>
      <c r="J1979" s="40" t="s">
        <v>133</v>
      </c>
      <c r="K1979" s="42"/>
      <c r="L1979" s="41">
        <v>0</v>
      </c>
      <c r="M1979" s="41">
        <v>0</v>
      </c>
      <c r="N1979" s="41">
        <v>0</v>
      </c>
      <c r="O1979" s="41">
        <v>0</v>
      </c>
      <c r="P1979" s="41">
        <v>0</v>
      </c>
      <c r="Q1979" s="1475">
        <f>L1979*$H1981</f>
        <v>0</v>
      </c>
      <c r="R1979" s="1475">
        <f>M1979*$H1981</f>
        <v>0</v>
      </c>
      <c r="S1979" s="1475">
        <f>N1979*$H1981</f>
        <v>0</v>
      </c>
      <c r="T1979" s="1475">
        <f>O1979*$H1981</f>
        <v>0</v>
      </c>
      <c r="U1979" s="1475">
        <f>P1979*$H1981</f>
        <v>0</v>
      </c>
      <c r="V1979" s="1475">
        <f t="shared" si="981"/>
        <v>0</v>
      </c>
    </row>
    <row r="1980" spans="1:22" s="39" customFormat="1" ht="24" customHeight="1">
      <c r="A1980" s="1860">
        <v>3</v>
      </c>
      <c r="B1980" s="1860"/>
      <c r="C1980" s="1860"/>
      <c r="D1980" s="1860"/>
      <c r="E1980" s="1839"/>
      <c r="F1980" s="1844"/>
      <c r="G1980" s="1593"/>
      <c r="H1980" s="1628"/>
      <c r="I1980" s="1615"/>
      <c r="J1980" s="40" t="s">
        <v>81</v>
      </c>
      <c r="K1980" s="42"/>
      <c r="L1980" s="41">
        <v>0</v>
      </c>
      <c r="M1980" s="41">
        <v>0</v>
      </c>
      <c r="N1980" s="41">
        <v>0</v>
      </c>
      <c r="O1980" s="41">
        <v>0</v>
      </c>
      <c r="P1980" s="41">
        <v>0</v>
      </c>
      <c r="Q1980" s="1475">
        <f>L1980*$H1981</f>
        <v>0</v>
      </c>
      <c r="R1980" s="1475">
        <f>M1980*$H1981</f>
        <v>0</v>
      </c>
      <c r="S1980" s="1475">
        <f>N1980*$H1981</f>
        <v>0</v>
      </c>
      <c r="T1980" s="1475">
        <f>O1980*$H1981</f>
        <v>0</v>
      </c>
      <c r="U1980" s="1475">
        <f>P1980*$H1981</f>
        <v>0</v>
      </c>
      <c r="V1980" s="1475">
        <f t="shared" si="981"/>
        <v>0</v>
      </c>
    </row>
    <row r="1981" spans="1:22" s="39" customFormat="1" ht="24" customHeight="1">
      <c r="A1981" s="1860">
        <v>3</v>
      </c>
      <c r="B1981" s="1860"/>
      <c r="C1981" s="1860"/>
      <c r="D1981" s="1860"/>
      <c r="E1981" s="1839"/>
      <c r="F1981" s="1844"/>
      <c r="G1981" s="1593"/>
      <c r="H1981" s="1595">
        <f>'Budget Assumption_Lab Comp2'!P658</f>
        <v>74900</v>
      </c>
      <c r="I1981" s="1615"/>
      <c r="J1981" s="40" t="s">
        <v>134</v>
      </c>
      <c r="K1981" s="42"/>
      <c r="L1981" s="41">
        <v>0</v>
      </c>
      <c r="M1981" s="41">
        <v>0</v>
      </c>
      <c r="N1981" s="41">
        <v>0</v>
      </c>
      <c r="O1981" s="41">
        <v>0</v>
      </c>
      <c r="P1981" s="41">
        <v>0</v>
      </c>
      <c r="Q1981" s="1475">
        <f>L1981*$H1981</f>
        <v>0</v>
      </c>
      <c r="R1981" s="1475">
        <f>M1981*$H1981</f>
        <v>0</v>
      </c>
      <c r="S1981" s="1475">
        <f>N1981*$H1981</f>
        <v>0</v>
      </c>
      <c r="T1981" s="1475">
        <f>O1981*$H1981</f>
        <v>0</v>
      </c>
      <c r="U1981" s="1475">
        <f>P1981*$H1981</f>
        <v>0</v>
      </c>
      <c r="V1981" s="1475">
        <f t="shared" si="981"/>
        <v>0</v>
      </c>
    </row>
    <row r="1982" spans="1:22" s="39" customFormat="1" ht="24" customHeight="1">
      <c r="A1982" s="1860">
        <v>3</v>
      </c>
      <c r="B1982" s="1860"/>
      <c r="C1982" s="1860"/>
      <c r="D1982" s="1860"/>
      <c r="E1982" s="1839"/>
      <c r="F1982" s="1844"/>
      <c r="G1982" s="1593"/>
      <c r="H1982" s="1596"/>
      <c r="I1982" s="1615"/>
      <c r="J1982" s="40" t="s">
        <v>82</v>
      </c>
      <c r="K1982" s="42"/>
      <c r="L1982" s="38">
        <f>L1976</f>
        <v>0.42857142857142855</v>
      </c>
      <c r="M1982" s="38">
        <f t="shared" ref="M1982:N1982" si="982">M1976</f>
        <v>0</v>
      </c>
      <c r="N1982" s="38">
        <f t="shared" si="982"/>
        <v>0.2857142857142857</v>
      </c>
      <c r="O1982" s="38">
        <v>0</v>
      </c>
      <c r="P1982" s="38">
        <v>0</v>
      </c>
      <c r="Q1982" s="1475">
        <f>L1982*$H1981</f>
        <v>32100</v>
      </c>
      <c r="R1982" s="1475">
        <f>M1982*H1981</f>
        <v>0</v>
      </c>
      <c r="S1982" s="1475">
        <f>N1982*$H1981</f>
        <v>21400</v>
      </c>
      <c r="T1982" s="1475">
        <f>O1982*$H1981</f>
        <v>0</v>
      </c>
      <c r="U1982" s="1475">
        <f>P1982*$H1981</f>
        <v>0</v>
      </c>
      <c r="V1982" s="1475">
        <f t="shared" si="981"/>
        <v>53500</v>
      </c>
    </row>
    <row r="1983" spans="1:22" s="39" customFormat="1" ht="24" customHeight="1">
      <c r="A1983" s="1860">
        <v>3</v>
      </c>
      <c r="B1983" s="1860"/>
      <c r="C1983" s="1860"/>
      <c r="D1983" s="1860"/>
      <c r="E1983" s="1839"/>
      <c r="F1983" s="1844"/>
      <c r="G1983" s="1593"/>
      <c r="H1983" s="1596"/>
      <c r="I1983" s="1615"/>
      <c r="J1983" s="40" t="s">
        <v>90</v>
      </c>
      <c r="K1983" s="42"/>
      <c r="L1983" s="41">
        <v>0</v>
      </c>
      <c r="M1983" s="41">
        <v>0</v>
      </c>
      <c r="N1983" s="41">
        <v>0</v>
      </c>
      <c r="O1983" s="41">
        <v>0</v>
      </c>
      <c r="P1983" s="41">
        <v>0</v>
      </c>
      <c r="Q1983" s="1475">
        <f>L1983*$H1981</f>
        <v>0</v>
      </c>
      <c r="R1983" s="1475">
        <f>M1983*$H1981</f>
        <v>0</v>
      </c>
      <c r="S1983" s="1475">
        <f>N1983*$H1981</f>
        <v>0</v>
      </c>
      <c r="T1983" s="1475">
        <f>O1983*$H1981</f>
        <v>0</v>
      </c>
      <c r="U1983" s="1475">
        <f>P1983*$H1981</f>
        <v>0</v>
      </c>
      <c r="V1983" s="1475">
        <f t="shared" si="981"/>
        <v>0</v>
      </c>
    </row>
    <row r="1984" spans="1:22" s="39" customFormat="1" ht="24" customHeight="1">
      <c r="A1984" s="1860">
        <v>3</v>
      </c>
      <c r="B1984" s="1860"/>
      <c r="C1984" s="1860"/>
      <c r="D1984" s="1860"/>
      <c r="E1984" s="1839"/>
      <c r="F1984" s="1844"/>
      <c r="G1984" s="1593"/>
      <c r="H1984" s="1596"/>
      <c r="I1984" s="1615"/>
      <c r="J1984" s="40" t="s">
        <v>83</v>
      </c>
      <c r="K1984" s="42"/>
      <c r="L1984" s="41">
        <v>0</v>
      </c>
      <c r="M1984" s="41">
        <v>0</v>
      </c>
      <c r="N1984" s="41">
        <v>0</v>
      </c>
      <c r="O1984" s="41">
        <v>0</v>
      </c>
      <c r="P1984" s="41">
        <v>0</v>
      </c>
      <c r="Q1984" s="1475">
        <f>L1984*$H1981</f>
        <v>0</v>
      </c>
      <c r="R1984" s="1475">
        <f>M1984*$H1981</f>
        <v>0</v>
      </c>
      <c r="S1984" s="1475">
        <f>N1984*$H1981</f>
        <v>0</v>
      </c>
      <c r="T1984" s="1475">
        <f>O1984*$H1981</f>
        <v>0</v>
      </c>
      <c r="U1984" s="1475">
        <f>P1984*$H1981</f>
        <v>0</v>
      </c>
      <c r="V1984" s="1475">
        <f t="shared" si="981"/>
        <v>0</v>
      </c>
    </row>
    <row r="1985" spans="1:22" s="39" customFormat="1" ht="24" customHeight="1" thickBot="1">
      <c r="A1985" s="1860">
        <v>3</v>
      </c>
      <c r="B1985" s="1860"/>
      <c r="C1985" s="1860"/>
      <c r="D1985" s="1860"/>
      <c r="E1985" s="1862"/>
      <c r="F1985" s="1845"/>
      <c r="G1985" s="1594"/>
      <c r="H1985" s="1597"/>
      <c r="I1985" s="1616"/>
      <c r="J1985" s="80" t="s">
        <v>84</v>
      </c>
      <c r="K1985" s="81"/>
      <c r="L1985" s="83">
        <f>L1976-L1977</f>
        <v>0</v>
      </c>
      <c r="M1985" s="83">
        <f t="shared" ref="M1985:T1985" si="983">M1976-M1977</f>
        <v>0</v>
      </c>
      <c r="N1985" s="83">
        <f t="shared" si="983"/>
        <v>0</v>
      </c>
      <c r="O1985" s="83">
        <f t="shared" si="983"/>
        <v>0</v>
      </c>
      <c r="P1985" s="83">
        <f t="shared" si="983"/>
        <v>0.2857142857142857</v>
      </c>
      <c r="Q1985" s="1487">
        <f t="shared" si="983"/>
        <v>0</v>
      </c>
      <c r="R1985" s="1487">
        <f t="shared" si="983"/>
        <v>0</v>
      </c>
      <c r="S1985" s="1487">
        <f t="shared" si="983"/>
        <v>0</v>
      </c>
      <c r="T1985" s="1487">
        <f t="shared" si="983"/>
        <v>0</v>
      </c>
      <c r="U1985" s="1487">
        <f>U1976-U1977</f>
        <v>21400</v>
      </c>
      <c r="V1985" s="1487">
        <f t="shared" si="981"/>
        <v>21400</v>
      </c>
    </row>
    <row r="1986" spans="1:22" s="63" customFormat="1" ht="24" customHeight="1">
      <c r="A1986" s="75">
        <v>3</v>
      </c>
      <c r="B1986" s="75">
        <v>3</v>
      </c>
      <c r="C1986" s="75">
        <v>4</v>
      </c>
      <c r="D1986" s="75"/>
      <c r="E1986" s="74" t="s">
        <v>135</v>
      </c>
      <c r="F1986" s="1467" t="str">
        <f>CONCATENATE(A1986,".",B1986,".",C1986,)</f>
        <v>3.3.4</v>
      </c>
      <c r="G1986" s="1621" t="s">
        <v>337</v>
      </c>
      <c r="H1986" s="1622"/>
      <c r="I1986" s="1622"/>
      <c r="J1986" s="1623"/>
      <c r="K1986" s="66"/>
      <c r="L1986" s="382"/>
      <c r="M1986" s="382"/>
      <c r="N1986" s="382"/>
      <c r="O1986" s="382"/>
      <c r="P1986" s="382"/>
      <c r="Q1986" s="1499">
        <f ca="1">Q1988+Q1998</f>
        <v>130604.20000000001</v>
      </c>
      <c r="R1986" s="1499">
        <f t="shared" ref="R1986:V1986" ca="1" si="984">R1988+R1998</f>
        <v>92544.299999999988</v>
      </c>
      <c r="S1986" s="1499">
        <f t="shared" ca="1" si="984"/>
        <v>133889.09999999998</v>
      </c>
      <c r="T1986" s="1499">
        <f t="shared" ca="1" si="984"/>
        <v>0</v>
      </c>
      <c r="U1986" s="1499">
        <f t="shared" ca="1" si="984"/>
        <v>0</v>
      </c>
      <c r="V1986" s="1499">
        <f t="shared" ca="1" si="984"/>
        <v>357037.6</v>
      </c>
    </row>
    <row r="1987" spans="1:22" s="45" customFormat="1" ht="24" customHeight="1">
      <c r="A1987" s="1860">
        <v>3</v>
      </c>
      <c r="B1987" s="1860">
        <v>3</v>
      </c>
      <c r="C1987" s="1860">
        <v>4</v>
      </c>
      <c r="D1987" s="1860">
        <v>1</v>
      </c>
      <c r="E1987" s="1839" t="s">
        <v>136</v>
      </c>
      <c r="F1987" s="1843" t="str">
        <f>CONCATENATE(A1987,".",B1987,".",C1987,".",D1987,)</f>
        <v>3.3.4.1</v>
      </c>
      <c r="G1987" s="1593" t="s">
        <v>1213</v>
      </c>
      <c r="H1987" s="1628" t="s">
        <v>1031</v>
      </c>
      <c r="I1987" s="1615" t="s">
        <v>1017</v>
      </c>
      <c r="J1987" s="815" t="s">
        <v>79</v>
      </c>
      <c r="K1987" s="898"/>
      <c r="L1987" s="939">
        <f>'Budget Assumption_Lab Comp2'!G671</f>
        <v>0.33333333333333337</v>
      </c>
      <c r="M1987" s="939">
        <f>'Budget Assumption_Lab Comp2'!I671</f>
        <v>8.3333333333333343E-2</v>
      </c>
      <c r="N1987" s="939">
        <f>'Budget Assumption_Lab Comp2'!K671</f>
        <v>0.25</v>
      </c>
      <c r="O1987" s="939">
        <f>'Budget Assumption_Lab Comp2'!M671</f>
        <v>8.3333333333333343E-2</v>
      </c>
      <c r="P1987" s="939">
        <f>'Budget Assumption_Lab Comp2'!O671</f>
        <v>0.25</v>
      </c>
      <c r="Q1987" s="1489">
        <f>L1987*H1992</f>
        <v>82689.600000000006</v>
      </c>
      <c r="R1987" s="1489">
        <f>M1987*H1992</f>
        <v>20672.400000000001</v>
      </c>
      <c r="S1987" s="1489">
        <f>N1987*H1992</f>
        <v>62017.2</v>
      </c>
      <c r="T1987" s="1489">
        <f>O1987*H1992</f>
        <v>20672.400000000001</v>
      </c>
      <c r="U1987" s="1489">
        <f>P1987*H1992</f>
        <v>62017.2</v>
      </c>
      <c r="V1987" s="1489">
        <f>SUM(Q1987:U1987)</f>
        <v>248068.8</v>
      </c>
    </row>
    <row r="1988" spans="1:22" s="39" customFormat="1" ht="24" customHeight="1">
      <c r="A1988" s="1860">
        <v>3</v>
      </c>
      <c r="B1988" s="1860"/>
      <c r="C1988" s="1860"/>
      <c r="D1988" s="1860"/>
      <c r="E1988" s="1839"/>
      <c r="F1988" s="1844"/>
      <c r="G1988" s="1593"/>
      <c r="H1988" s="1601"/>
      <c r="I1988" s="1615"/>
      <c r="J1988" s="40" t="s">
        <v>80</v>
      </c>
      <c r="K1988" s="91"/>
      <c r="L1988" s="822">
        <f t="shared" ref="L1988:U1988" si="985">SUM(L1989:L1995)</f>
        <v>0.33333333333333337</v>
      </c>
      <c r="M1988" s="822">
        <f t="shared" si="985"/>
        <v>8.3333333333333343E-2</v>
      </c>
      <c r="N1988" s="822">
        <f t="shared" si="985"/>
        <v>0.25</v>
      </c>
      <c r="O1988" s="822">
        <f t="shared" si="985"/>
        <v>0</v>
      </c>
      <c r="P1988" s="822">
        <f t="shared" si="985"/>
        <v>0</v>
      </c>
      <c r="Q1988" s="1475">
        <f t="shared" si="985"/>
        <v>82689.600000000006</v>
      </c>
      <c r="R1988" s="1475">
        <f t="shared" si="985"/>
        <v>20672.400000000001</v>
      </c>
      <c r="S1988" s="1475">
        <f t="shared" si="985"/>
        <v>62017.2</v>
      </c>
      <c r="T1988" s="1475">
        <f t="shared" si="985"/>
        <v>0</v>
      </c>
      <c r="U1988" s="1475">
        <f t="shared" si="985"/>
        <v>0</v>
      </c>
      <c r="V1988" s="1475">
        <f>SUM(Q1988:U1988)</f>
        <v>165379.20000000001</v>
      </c>
    </row>
    <row r="1989" spans="1:22" s="39" customFormat="1" ht="24" customHeight="1">
      <c r="A1989" s="1860">
        <v>3</v>
      </c>
      <c r="B1989" s="1860"/>
      <c r="C1989" s="1860"/>
      <c r="D1989" s="1860"/>
      <c r="E1989" s="1839"/>
      <c r="F1989" s="1844"/>
      <c r="G1989" s="1593"/>
      <c r="H1989" s="1601"/>
      <c r="I1989" s="1615"/>
      <c r="J1989" s="40" t="s">
        <v>429</v>
      </c>
      <c r="K1989" s="91"/>
      <c r="L1989" s="41">
        <v>0</v>
      </c>
      <c r="M1989" s="41">
        <v>0</v>
      </c>
      <c r="N1989" s="41">
        <v>0</v>
      </c>
      <c r="O1989" s="41">
        <v>0</v>
      </c>
      <c r="P1989" s="41">
        <v>0</v>
      </c>
      <c r="Q1989" s="1475">
        <f>L1989*$H1992</f>
        <v>0</v>
      </c>
      <c r="R1989" s="1475">
        <f>M1989*$H1992</f>
        <v>0</v>
      </c>
      <c r="S1989" s="1475">
        <f>N1989*$H1992</f>
        <v>0</v>
      </c>
      <c r="T1989" s="1475">
        <v>0</v>
      </c>
      <c r="U1989" s="1475">
        <v>0</v>
      </c>
      <c r="V1989" s="1475">
        <f t="shared" ref="V1989:V1997" si="986">SUM(Q1989:U1989)</f>
        <v>0</v>
      </c>
    </row>
    <row r="1990" spans="1:22" s="39" customFormat="1" ht="24" customHeight="1">
      <c r="A1990" s="1860">
        <v>3</v>
      </c>
      <c r="B1990" s="1860"/>
      <c r="C1990" s="1860"/>
      <c r="D1990" s="1860"/>
      <c r="E1990" s="1839"/>
      <c r="F1990" s="1844"/>
      <c r="G1990" s="1593"/>
      <c r="H1990" s="1601"/>
      <c r="I1990" s="1615"/>
      <c r="J1990" s="40" t="s">
        <v>133</v>
      </c>
      <c r="K1990" s="91"/>
      <c r="L1990" s="41">
        <v>0</v>
      </c>
      <c r="M1990" s="41">
        <v>0</v>
      </c>
      <c r="N1990" s="41">
        <v>0</v>
      </c>
      <c r="O1990" s="41">
        <v>0</v>
      </c>
      <c r="P1990" s="41">
        <v>0</v>
      </c>
      <c r="Q1990" s="1475">
        <f>L1990*$H1992</f>
        <v>0</v>
      </c>
      <c r="R1990" s="1475">
        <f>M1990*$H1992</f>
        <v>0</v>
      </c>
      <c r="S1990" s="1475">
        <f>N1990*$H1992</f>
        <v>0</v>
      </c>
      <c r="T1990" s="1475">
        <f>O1990*$H1992</f>
        <v>0</v>
      </c>
      <c r="U1990" s="1475">
        <f>P1990*$H1992</f>
        <v>0</v>
      </c>
      <c r="V1990" s="1475">
        <f t="shared" si="986"/>
        <v>0</v>
      </c>
    </row>
    <row r="1991" spans="1:22" s="39" customFormat="1" ht="24" customHeight="1">
      <c r="A1991" s="1860">
        <v>3</v>
      </c>
      <c r="B1991" s="1860"/>
      <c r="C1991" s="1860"/>
      <c r="D1991" s="1860"/>
      <c r="E1991" s="1839"/>
      <c r="F1991" s="1844"/>
      <c r="G1991" s="1593"/>
      <c r="H1991" s="1601"/>
      <c r="I1991" s="1615"/>
      <c r="J1991" s="40" t="s">
        <v>81</v>
      </c>
      <c r="K1991" s="91"/>
      <c r="L1991" s="41">
        <v>0</v>
      </c>
      <c r="M1991" s="41">
        <v>0</v>
      </c>
      <c r="N1991" s="41">
        <v>0</v>
      </c>
      <c r="O1991" s="41">
        <v>0</v>
      </c>
      <c r="P1991" s="41">
        <v>0</v>
      </c>
      <c r="Q1991" s="1475">
        <f>L1991*$H1992</f>
        <v>0</v>
      </c>
      <c r="R1991" s="1475">
        <f>M1991*$H1992</f>
        <v>0</v>
      </c>
      <c r="S1991" s="1475">
        <f>N1991*$H1992</f>
        <v>0</v>
      </c>
      <c r="T1991" s="1475">
        <f>O1991*$H1992</f>
        <v>0</v>
      </c>
      <c r="U1991" s="1475">
        <f>P1991*$H1992</f>
        <v>0</v>
      </c>
      <c r="V1991" s="1475">
        <f t="shared" si="986"/>
        <v>0</v>
      </c>
    </row>
    <row r="1992" spans="1:22" s="39" customFormat="1" ht="24" customHeight="1">
      <c r="A1992" s="1860">
        <v>3</v>
      </c>
      <c r="B1992" s="1860"/>
      <c r="C1992" s="1860"/>
      <c r="D1992" s="1860"/>
      <c r="E1992" s="1839"/>
      <c r="F1992" s="1844"/>
      <c r="G1992" s="1593"/>
      <c r="H1992" s="1595">
        <f>'Budget Assumption_Lab Comp2'!P670</f>
        <v>248068.8</v>
      </c>
      <c r="I1992" s="1615"/>
      <c r="J1992" s="40" t="s">
        <v>134</v>
      </c>
      <c r="K1992" s="91"/>
      <c r="L1992" s="41">
        <v>0</v>
      </c>
      <c r="M1992" s="41">
        <v>0</v>
      </c>
      <c r="N1992" s="41">
        <v>0</v>
      </c>
      <c r="O1992" s="41">
        <v>0</v>
      </c>
      <c r="P1992" s="41">
        <v>0</v>
      </c>
      <c r="Q1992" s="1475">
        <f>L1992*$H1992</f>
        <v>0</v>
      </c>
      <c r="R1992" s="1475">
        <f>M1992*$H1992</f>
        <v>0</v>
      </c>
      <c r="S1992" s="1475">
        <f>N1992*$H1992</f>
        <v>0</v>
      </c>
      <c r="T1992" s="1475">
        <f>O1992*$H1992</f>
        <v>0</v>
      </c>
      <c r="U1992" s="1475">
        <f>P1992*$H1992</f>
        <v>0</v>
      </c>
      <c r="V1992" s="1475">
        <f t="shared" si="986"/>
        <v>0</v>
      </c>
    </row>
    <row r="1993" spans="1:22" s="39" customFormat="1" ht="24" customHeight="1">
      <c r="A1993" s="1860">
        <v>3</v>
      </c>
      <c r="B1993" s="1860"/>
      <c r="C1993" s="1860"/>
      <c r="D1993" s="1860"/>
      <c r="E1993" s="1839"/>
      <c r="F1993" s="1844"/>
      <c r="G1993" s="1593"/>
      <c r="H1993" s="1596"/>
      <c r="I1993" s="1615"/>
      <c r="J1993" s="40" t="s">
        <v>82</v>
      </c>
      <c r="K1993" s="91"/>
      <c r="L1993" s="822">
        <f>L1987*1</f>
        <v>0.33333333333333337</v>
      </c>
      <c r="M1993" s="822">
        <f t="shared" ref="M1993:N1993" si="987">M1987*1</f>
        <v>8.3333333333333343E-2</v>
      </c>
      <c r="N1993" s="822">
        <f t="shared" si="987"/>
        <v>0.25</v>
      </c>
      <c r="O1993" s="41">
        <v>0</v>
      </c>
      <c r="P1993" s="41">
        <v>0</v>
      </c>
      <c r="Q1993" s="1475">
        <f>L1993*H1992</f>
        <v>82689.600000000006</v>
      </c>
      <c r="R1993" s="1475">
        <f>M1993*H1992</f>
        <v>20672.400000000001</v>
      </c>
      <c r="S1993" s="1475">
        <f>N1993*H1992</f>
        <v>62017.2</v>
      </c>
      <c r="T1993" s="1475">
        <f>O1993*$H1992</f>
        <v>0</v>
      </c>
      <c r="U1993" s="1475">
        <f>P1993*$H1992</f>
        <v>0</v>
      </c>
      <c r="V1993" s="1475">
        <f t="shared" si="986"/>
        <v>165379.20000000001</v>
      </c>
    </row>
    <row r="1994" spans="1:22" s="39" customFormat="1" ht="24" customHeight="1">
      <c r="A1994" s="1860">
        <v>3</v>
      </c>
      <c r="B1994" s="1860"/>
      <c r="C1994" s="1860"/>
      <c r="D1994" s="1860"/>
      <c r="E1994" s="1839"/>
      <c r="F1994" s="1844"/>
      <c r="G1994" s="1593"/>
      <c r="H1994" s="1596"/>
      <c r="I1994" s="1615"/>
      <c r="J1994" s="40" t="s">
        <v>90</v>
      </c>
      <c r="K1994" s="91"/>
      <c r="L1994" s="41">
        <v>0</v>
      </c>
      <c r="M1994" s="41">
        <v>0</v>
      </c>
      <c r="N1994" s="41">
        <v>0</v>
      </c>
      <c r="O1994" s="41">
        <v>0</v>
      </c>
      <c r="P1994" s="41">
        <v>0</v>
      </c>
      <c r="Q1994" s="1475">
        <f>L1994*$H1992</f>
        <v>0</v>
      </c>
      <c r="R1994" s="1475">
        <f>M1994*$H1992</f>
        <v>0</v>
      </c>
      <c r="S1994" s="1475">
        <f>N1994*$H1992</f>
        <v>0</v>
      </c>
      <c r="T1994" s="1475">
        <f>O1994*$H1992</f>
        <v>0</v>
      </c>
      <c r="U1994" s="1475">
        <f>P1994*$H1992</f>
        <v>0</v>
      </c>
      <c r="V1994" s="1475">
        <f t="shared" si="986"/>
        <v>0</v>
      </c>
    </row>
    <row r="1995" spans="1:22" s="39" customFormat="1" ht="24" customHeight="1">
      <c r="A1995" s="1860">
        <v>3</v>
      </c>
      <c r="B1995" s="1860"/>
      <c r="C1995" s="1860"/>
      <c r="D1995" s="1860"/>
      <c r="E1995" s="1839"/>
      <c r="F1995" s="1844"/>
      <c r="G1995" s="1593"/>
      <c r="H1995" s="1596"/>
      <c r="I1995" s="1615"/>
      <c r="J1995" s="40" t="s">
        <v>83</v>
      </c>
      <c r="K1995" s="91"/>
      <c r="L1995" s="41">
        <v>0</v>
      </c>
      <c r="M1995" s="41">
        <v>0</v>
      </c>
      <c r="N1995" s="41">
        <v>0</v>
      </c>
      <c r="O1995" s="41">
        <v>0</v>
      </c>
      <c r="P1995" s="41">
        <v>0</v>
      </c>
      <c r="Q1995" s="1475">
        <f>L1995*$H1992</f>
        <v>0</v>
      </c>
      <c r="R1995" s="1475">
        <f>M1995*$H1992</f>
        <v>0</v>
      </c>
      <c r="S1995" s="1475">
        <f>N1995*$H1992</f>
        <v>0</v>
      </c>
      <c r="T1995" s="1475">
        <f>O1995*$H1992</f>
        <v>0</v>
      </c>
      <c r="U1995" s="1475">
        <f>P1995*$H1992</f>
        <v>0</v>
      </c>
      <c r="V1995" s="1475">
        <f t="shared" si="986"/>
        <v>0</v>
      </c>
    </row>
    <row r="1996" spans="1:22" s="39" customFormat="1" ht="24" customHeight="1" thickBot="1">
      <c r="A1996" s="1860">
        <v>3</v>
      </c>
      <c r="B1996" s="1860"/>
      <c r="C1996" s="1860"/>
      <c r="D1996" s="1860"/>
      <c r="E1996" s="1862"/>
      <c r="F1996" s="1845"/>
      <c r="G1996" s="1594"/>
      <c r="H1996" s="1597"/>
      <c r="I1996" s="1616"/>
      <c r="J1996" s="80" t="s">
        <v>84</v>
      </c>
      <c r="K1996" s="824"/>
      <c r="L1996" s="823">
        <f>L1987-L1988</f>
        <v>0</v>
      </c>
      <c r="M1996" s="823">
        <f t="shared" ref="M1996:U1996" si="988">M1987-M1988</f>
        <v>0</v>
      </c>
      <c r="N1996" s="823">
        <f t="shared" si="988"/>
        <v>0</v>
      </c>
      <c r="O1996" s="823">
        <f t="shared" si="988"/>
        <v>8.3333333333333343E-2</v>
      </c>
      <c r="P1996" s="823">
        <f t="shared" si="988"/>
        <v>0.25</v>
      </c>
      <c r="Q1996" s="1487">
        <f t="shared" si="988"/>
        <v>0</v>
      </c>
      <c r="R1996" s="1487">
        <f t="shared" si="988"/>
        <v>0</v>
      </c>
      <c r="S1996" s="1487">
        <f t="shared" si="988"/>
        <v>0</v>
      </c>
      <c r="T1996" s="1487">
        <f t="shared" si="988"/>
        <v>20672.400000000001</v>
      </c>
      <c r="U1996" s="1487">
        <f t="shared" si="988"/>
        <v>62017.2</v>
      </c>
      <c r="V1996" s="1487">
        <f t="shared" si="986"/>
        <v>82689.600000000006</v>
      </c>
    </row>
    <row r="1997" spans="1:22" s="45" customFormat="1" ht="24" customHeight="1">
      <c r="A1997" s="1860">
        <v>3</v>
      </c>
      <c r="B1997" s="1860">
        <v>3</v>
      </c>
      <c r="C1997" s="1860">
        <v>4</v>
      </c>
      <c r="D1997" s="1860">
        <v>2</v>
      </c>
      <c r="E1997" s="1861" t="s">
        <v>136</v>
      </c>
      <c r="F1997" s="1846" t="str">
        <f>CONCATENATE(A1997,".",B1997,".",C1997,".",D1997,)</f>
        <v>3.3.4.2</v>
      </c>
      <c r="G1997" s="1592" t="s">
        <v>1088</v>
      </c>
      <c r="H1997" s="1679" t="s">
        <v>1160</v>
      </c>
      <c r="I1997" s="1673" t="s">
        <v>1017</v>
      </c>
      <c r="J1997" s="262" t="s">
        <v>79</v>
      </c>
      <c r="K1997" s="908"/>
      <c r="L1997" s="940">
        <f ca="1">'Budget Assumption_Lab Comp2'!G677</f>
        <v>0.14285714285714288</v>
      </c>
      <c r="M1997" s="940">
        <f ca="1">'Budget Assumption_Lab Comp2'!I677</f>
        <v>0.2142857142857143</v>
      </c>
      <c r="N1997" s="940">
        <f ca="1">'Budget Assumption_Lab Comp2'!K677</f>
        <v>0.2142857142857143</v>
      </c>
      <c r="O1997" s="940">
        <f ca="1">'Budget Assumption_Lab Comp2'!M677</f>
        <v>0.2142857142857143</v>
      </c>
      <c r="P1997" s="940">
        <f ca="1">'Budget Assumption_Lab Comp2'!O677</f>
        <v>0.2142857142857143</v>
      </c>
      <c r="Q1997" s="1484">
        <f ca="1">L1997*H2002</f>
        <v>47914.6</v>
      </c>
      <c r="R1997" s="1484">
        <f ca="1">M1997*H2002</f>
        <v>71871.899999999994</v>
      </c>
      <c r="S1997" s="1484">
        <f ca="1">N1997*H2002</f>
        <v>71871.899999999994</v>
      </c>
      <c r="T1997" s="1484">
        <f ca="1">O1997*H2002</f>
        <v>71871.899999999994</v>
      </c>
      <c r="U1997" s="1484">
        <f ca="1">P1997*H2002</f>
        <v>71871.899999999994</v>
      </c>
      <c r="V1997" s="1484">
        <f t="shared" ca="1" si="986"/>
        <v>335402.19999999995</v>
      </c>
    </row>
    <row r="1998" spans="1:22" s="39" customFormat="1" ht="24" customHeight="1">
      <c r="A1998" s="1860">
        <v>3</v>
      </c>
      <c r="B1998" s="1860"/>
      <c r="C1998" s="1860"/>
      <c r="D1998" s="1860"/>
      <c r="E1998" s="1839"/>
      <c r="F1998" s="1844"/>
      <c r="G1998" s="1593"/>
      <c r="H1998" s="1601"/>
      <c r="I1998" s="1615"/>
      <c r="J1998" s="40" t="s">
        <v>80</v>
      </c>
      <c r="K1998" s="91"/>
      <c r="L1998" s="822">
        <f t="shared" ref="L1998:U1998" ca="1" si="989">SUM(L1999:L2005)</f>
        <v>0.14285714285714288</v>
      </c>
      <c r="M1998" s="822">
        <f t="shared" ca="1" si="989"/>
        <v>0.2142857142857143</v>
      </c>
      <c r="N1998" s="822">
        <f t="shared" ca="1" si="989"/>
        <v>0.2142857142857143</v>
      </c>
      <c r="O1998" s="822">
        <f t="shared" ca="1" si="989"/>
        <v>0.2142857142857143</v>
      </c>
      <c r="P1998" s="822">
        <f t="shared" ca="1" si="989"/>
        <v>0.2142857142857143</v>
      </c>
      <c r="Q1998" s="1475">
        <f t="shared" ca="1" si="989"/>
        <v>47914.6</v>
      </c>
      <c r="R1998" s="1475">
        <f t="shared" ca="1" si="989"/>
        <v>71871.899999999994</v>
      </c>
      <c r="S1998" s="1475">
        <f t="shared" ca="1" si="989"/>
        <v>71871.899999999994</v>
      </c>
      <c r="T1998" s="1475">
        <f t="shared" ca="1" si="989"/>
        <v>0</v>
      </c>
      <c r="U1998" s="1475">
        <f t="shared" ca="1" si="989"/>
        <v>0</v>
      </c>
      <c r="V1998" s="1475">
        <f ca="1">SUM(Q1998:U1998)</f>
        <v>191658.4</v>
      </c>
    </row>
    <row r="1999" spans="1:22" s="39" customFormat="1" ht="24" customHeight="1">
      <c r="A1999" s="1860">
        <v>3</v>
      </c>
      <c r="B1999" s="1860"/>
      <c r="C1999" s="1860"/>
      <c r="D1999" s="1860"/>
      <c r="E1999" s="1839"/>
      <c r="F1999" s="1844"/>
      <c r="G1999" s="1593"/>
      <c r="H1999" s="1601"/>
      <c r="I1999" s="1615"/>
      <c r="J1999" s="40" t="s">
        <v>429</v>
      </c>
      <c r="K1999" s="91"/>
      <c r="L1999" s="41">
        <v>0</v>
      </c>
      <c r="M1999" s="41">
        <v>0</v>
      </c>
      <c r="N1999" s="41">
        <v>0</v>
      </c>
      <c r="O1999" s="38">
        <f ca="1">O1997*1</f>
        <v>0.2142857142857143</v>
      </c>
      <c r="P1999" s="38">
        <f ca="1">P1997*1</f>
        <v>0.2142857142857143</v>
      </c>
      <c r="Q1999" s="1475">
        <f ca="1">L1999*$H2002</f>
        <v>0</v>
      </c>
      <c r="R1999" s="1475">
        <f ca="1">M1999*$H2002</f>
        <v>0</v>
      </c>
      <c r="S1999" s="1475">
        <f ca="1">N1999*$H2002</f>
        <v>0</v>
      </c>
      <c r="T1999" s="1475">
        <v>0</v>
      </c>
      <c r="U1999" s="1475">
        <v>0</v>
      </c>
      <c r="V1999" s="1475">
        <f t="shared" ref="V1999:V2006" ca="1" si="990">SUM(Q1999:U1999)</f>
        <v>0</v>
      </c>
    </row>
    <row r="2000" spans="1:22" s="39" customFormat="1" ht="24" customHeight="1">
      <c r="A2000" s="1860">
        <v>3</v>
      </c>
      <c r="B2000" s="1860"/>
      <c r="C2000" s="1860"/>
      <c r="D2000" s="1860"/>
      <c r="E2000" s="1839"/>
      <c r="F2000" s="1844"/>
      <c r="G2000" s="1593"/>
      <c r="H2000" s="1601"/>
      <c r="I2000" s="1615"/>
      <c r="J2000" s="40" t="s">
        <v>133</v>
      </c>
      <c r="K2000" s="91"/>
      <c r="L2000" s="41">
        <v>0</v>
      </c>
      <c r="M2000" s="41">
        <v>0</v>
      </c>
      <c r="N2000" s="41">
        <v>0</v>
      </c>
      <c r="O2000" s="41">
        <v>0</v>
      </c>
      <c r="P2000" s="41">
        <v>0</v>
      </c>
      <c r="Q2000" s="1475">
        <f ca="1">L2000*$H2002</f>
        <v>0</v>
      </c>
      <c r="R2000" s="1475">
        <f ca="1">M2000*$H2002</f>
        <v>0</v>
      </c>
      <c r="S2000" s="1475">
        <f ca="1">N2000*$H2002</f>
        <v>0</v>
      </c>
      <c r="T2000" s="1475">
        <f ca="1">O2000*$H2002</f>
        <v>0</v>
      </c>
      <c r="U2000" s="1475">
        <f ca="1">P2000*$H2002</f>
        <v>0</v>
      </c>
      <c r="V2000" s="1475">
        <f t="shared" ca="1" si="990"/>
        <v>0</v>
      </c>
    </row>
    <row r="2001" spans="1:22" s="39" customFormat="1" ht="24" customHeight="1">
      <c r="A2001" s="1860">
        <v>3</v>
      </c>
      <c r="B2001" s="1860"/>
      <c r="C2001" s="1860"/>
      <c r="D2001" s="1860"/>
      <c r="E2001" s="1839"/>
      <c r="F2001" s="1844"/>
      <c r="G2001" s="1593"/>
      <c r="H2001" s="1601"/>
      <c r="I2001" s="1615"/>
      <c r="J2001" s="40" t="s">
        <v>81</v>
      </c>
      <c r="K2001" s="91"/>
      <c r="L2001" s="41">
        <v>0</v>
      </c>
      <c r="M2001" s="41">
        <v>0</v>
      </c>
      <c r="N2001" s="41">
        <v>0</v>
      </c>
      <c r="O2001" s="41">
        <v>0</v>
      </c>
      <c r="P2001" s="41">
        <v>0</v>
      </c>
      <c r="Q2001" s="1475">
        <f ca="1">L2001*$H2002</f>
        <v>0</v>
      </c>
      <c r="R2001" s="1475">
        <f ca="1">M2001*$H2002</f>
        <v>0</v>
      </c>
      <c r="S2001" s="1475">
        <f ca="1">N2001*$H2002</f>
        <v>0</v>
      </c>
      <c r="T2001" s="1475">
        <f ca="1">O2001*$H2002</f>
        <v>0</v>
      </c>
      <c r="U2001" s="1475">
        <f ca="1">P2001*$H2002</f>
        <v>0</v>
      </c>
      <c r="V2001" s="1475">
        <f t="shared" ca="1" si="990"/>
        <v>0</v>
      </c>
    </row>
    <row r="2002" spans="1:22" s="39" customFormat="1" ht="24" customHeight="1">
      <c r="A2002" s="1860">
        <v>3</v>
      </c>
      <c r="B2002" s="1860"/>
      <c r="C2002" s="1860"/>
      <c r="D2002" s="1860"/>
      <c r="E2002" s="1839"/>
      <c r="F2002" s="1844"/>
      <c r="G2002" s="1593"/>
      <c r="H2002" s="1595">
        <f ca="1">'Budget Assumption_Lab Comp2'!P676</f>
        <v>335402.19999999995</v>
      </c>
      <c r="I2002" s="1615"/>
      <c r="J2002" s="40" t="s">
        <v>134</v>
      </c>
      <c r="K2002" s="91"/>
      <c r="L2002" s="41">
        <v>0</v>
      </c>
      <c r="M2002" s="41">
        <v>0</v>
      </c>
      <c r="N2002" s="41">
        <v>0</v>
      </c>
      <c r="O2002" s="41">
        <v>0</v>
      </c>
      <c r="P2002" s="41">
        <v>0</v>
      </c>
      <c r="Q2002" s="1475">
        <f ca="1">L2002*$H2002</f>
        <v>0</v>
      </c>
      <c r="R2002" s="1475">
        <f ca="1">M2002*$H2002</f>
        <v>0</v>
      </c>
      <c r="S2002" s="1475">
        <f ca="1">N2002*$H2002</f>
        <v>0</v>
      </c>
      <c r="T2002" s="1475">
        <f ca="1">O2002*$H2002</f>
        <v>0</v>
      </c>
      <c r="U2002" s="1475">
        <f ca="1">P2002*$H2002</f>
        <v>0</v>
      </c>
      <c r="V2002" s="1475">
        <f t="shared" ca="1" si="990"/>
        <v>0</v>
      </c>
    </row>
    <row r="2003" spans="1:22" s="39" customFormat="1" ht="24" customHeight="1">
      <c r="A2003" s="1860">
        <v>3</v>
      </c>
      <c r="B2003" s="1860"/>
      <c r="C2003" s="1860"/>
      <c r="D2003" s="1860"/>
      <c r="E2003" s="1839"/>
      <c r="F2003" s="1844"/>
      <c r="G2003" s="1593"/>
      <c r="H2003" s="1596"/>
      <c r="I2003" s="1615"/>
      <c r="J2003" s="40" t="s">
        <v>82</v>
      </c>
      <c r="K2003" s="91"/>
      <c r="L2003" s="822">
        <f ca="1">L1997*1</f>
        <v>0.14285714285714288</v>
      </c>
      <c r="M2003" s="822">
        <f t="shared" ref="M2003:N2003" ca="1" si="991">M1997*1</f>
        <v>0.2142857142857143</v>
      </c>
      <c r="N2003" s="822">
        <f t="shared" ca="1" si="991"/>
        <v>0.2142857142857143</v>
      </c>
      <c r="O2003" s="41">
        <v>0</v>
      </c>
      <c r="P2003" s="41">
        <v>0</v>
      </c>
      <c r="Q2003" s="1475">
        <f ca="1">L2003*H2002</f>
        <v>47914.6</v>
      </c>
      <c r="R2003" s="1475">
        <f ca="1">M2003*H2002</f>
        <v>71871.899999999994</v>
      </c>
      <c r="S2003" s="1475">
        <f ca="1">N2003*H2002</f>
        <v>71871.899999999994</v>
      </c>
      <c r="T2003" s="1475">
        <f ca="1">O2003*$H2002</f>
        <v>0</v>
      </c>
      <c r="U2003" s="1475">
        <f ca="1">P2003*$H2002</f>
        <v>0</v>
      </c>
      <c r="V2003" s="1475">
        <f t="shared" ca="1" si="990"/>
        <v>191658.4</v>
      </c>
    </row>
    <row r="2004" spans="1:22" s="39" customFormat="1" ht="24" customHeight="1">
      <c r="A2004" s="1860">
        <v>3</v>
      </c>
      <c r="B2004" s="1860"/>
      <c r="C2004" s="1860"/>
      <c r="D2004" s="1860"/>
      <c r="E2004" s="1839"/>
      <c r="F2004" s="1844"/>
      <c r="G2004" s="1593"/>
      <c r="H2004" s="1596"/>
      <c r="I2004" s="1615"/>
      <c r="J2004" s="40" t="s">
        <v>90</v>
      </c>
      <c r="K2004" s="91"/>
      <c r="L2004" s="41">
        <v>0</v>
      </c>
      <c r="M2004" s="41">
        <v>0</v>
      </c>
      <c r="N2004" s="41">
        <v>0</v>
      </c>
      <c r="O2004" s="41">
        <v>0</v>
      </c>
      <c r="P2004" s="41">
        <v>0</v>
      </c>
      <c r="Q2004" s="1475">
        <f ca="1">L2004*$H2002</f>
        <v>0</v>
      </c>
      <c r="R2004" s="1475">
        <f ca="1">M2004*$H2002</f>
        <v>0</v>
      </c>
      <c r="S2004" s="1475">
        <f ca="1">N2004*$H2002</f>
        <v>0</v>
      </c>
      <c r="T2004" s="1475">
        <f ca="1">O2004*$H2002</f>
        <v>0</v>
      </c>
      <c r="U2004" s="1475">
        <f ca="1">P2004*$H2002</f>
        <v>0</v>
      </c>
      <c r="V2004" s="1475">
        <f t="shared" ca="1" si="990"/>
        <v>0</v>
      </c>
    </row>
    <row r="2005" spans="1:22" s="39" customFormat="1" ht="24" customHeight="1">
      <c r="A2005" s="1860">
        <v>3</v>
      </c>
      <c r="B2005" s="1860"/>
      <c r="C2005" s="1860"/>
      <c r="D2005" s="1860"/>
      <c r="E2005" s="1839"/>
      <c r="F2005" s="1844"/>
      <c r="G2005" s="1593"/>
      <c r="H2005" s="1596"/>
      <c r="I2005" s="1615"/>
      <c r="J2005" s="40" t="s">
        <v>83</v>
      </c>
      <c r="K2005" s="42"/>
      <c r="L2005" s="41">
        <v>0</v>
      </c>
      <c r="M2005" s="41">
        <v>0</v>
      </c>
      <c r="N2005" s="41">
        <v>0</v>
      </c>
      <c r="O2005" s="41">
        <v>0</v>
      </c>
      <c r="P2005" s="41">
        <v>0</v>
      </c>
      <c r="Q2005" s="1475">
        <f ca="1">L2005*$H2002</f>
        <v>0</v>
      </c>
      <c r="R2005" s="1475">
        <f ca="1">M2005*$H2002</f>
        <v>0</v>
      </c>
      <c r="S2005" s="1475">
        <f ca="1">N2005*$H2002</f>
        <v>0</v>
      </c>
      <c r="T2005" s="1475">
        <f ca="1">O2005*$H2002</f>
        <v>0</v>
      </c>
      <c r="U2005" s="1475">
        <f ca="1">P2005*$H2002</f>
        <v>0</v>
      </c>
      <c r="V2005" s="1475">
        <f t="shared" ca="1" si="990"/>
        <v>0</v>
      </c>
    </row>
    <row r="2006" spans="1:22" s="39" customFormat="1" ht="24" customHeight="1" thickBot="1">
      <c r="A2006" s="1860">
        <v>3</v>
      </c>
      <c r="B2006" s="1860"/>
      <c r="C2006" s="1860"/>
      <c r="D2006" s="1860"/>
      <c r="E2006" s="1862"/>
      <c r="F2006" s="1845"/>
      <c r="G2006" s="1594"/>
      <c r="H2006" s="1597"/>
      <c r="I2006" s="1616"/>
      <c r="J2006" s="80" t="s">
        <v>84</v>
      </c>
      <c r="K2006" s="81"/>
      <c r="L2006" s="823">
        <f ca="1">L1997-L1998</f>
        <v>0</v>
      </c>
      <c r="M2006" s="823">
        <f t="shared" ref="M2006:U2006" ca="1" si="992">M1997-M1998</f>
        <v>0</v>
      </c>
      <c r="N2006" s="823">
        <f t="shared" ca="1" si="992"/>
        <v>0</v>
      </c>
      <c r="O2006" s="823">
        <f t="shared" ca="1" si="992"/>
        <v>0</v>
      </c>
      <c r="P2006" s="823">
        <f t="shared" ca="1" si="992"/>
        <v>0</v>
      </c>
      <c r="Q2006" s="1487">
        <f t="shared" ca="1" si="992"/>
        <v>0</v>
      </c>
      <c r="R2006" s="1487">
        <f t="shared" ca="1" si="992"/>
        <v>0</v>
      </c>
      <c r="S2006" s="1487">
        <f t="shared" ca="1" si="992"/>
        <v>0</v>
      </c>
      <c r="T2006" s="1487">
        <f t="shared" ca="1" si="992"/>
        <v>71871.899999999994</v>
      </c>
      <c r="U2006" s="1487">
        <f t="shared" ca="1" si="992"/>
        <v>71871.899999999994</v>
      </c>
      <c r="V2006" s="1487">
        <f t="shared" ca="1" si="990"/>
        <v>143743.79999999999</v>
      </c>
    </row>
    <row r="2007" spans="1:22" s="39" customFormat="1" ht="28.35" customHeight="1">
      <c r="A2007" s="75">
        <v>3</v>
      </c>
      <c r="B2007" s="75">
        <v>4</v>
      </c>
      <c r="C2007" s="75"/>
      <c r="D2007" s="75"/>
      <c r="E2007" s="74" t="s">
        <v>12</v>
      </c>
      <c r="F2007" s="1467" t="str">
        <f>CONCATENATE(A2007,".",B2007)</f>
        <v>3.4</v>
      </c>
      <c r="G2007" s="1585" t="s">
        <v>228</v>
      </c>
      <c r="H2007" s="1586"/>
      <c r="I2007" s="1586"/>
      <c r="J2007" s="1587"/>
      <c r="K2007" s="915"/>
      <c r="L2007" s="916"/>
      <c r="M2007" s="916"/>
      <c r="N2007" s="916"/>
      <c r="O2007" s="916"/>
      <c r="P2007" s="916"/>
      <c r="Q2007" s="1514">
        <f>Q2008+Q2039</f>
        <v>0</v>
      </c>
      <c r="R2007" s="1514">
        <f t="shared" ref="R2007:U2007" si="993">R2008+R2039</f>
        <v>1935953.1580000001</v>
      </c>
      <c r="S2007" s="1514">
        <f t="shared" si="993"/>
        <v>213894</v>
      </c>
      <c r="T2007" s="1514">
        <f t="shared" si="993"/>
        <v>0</v>
      </c>
      <c r="U2007" s="1514">
        <f t="shared" si="993"/>
        <v>0</v>
      </c>
      <c r="V2007" s="1514">
        <f t="shared" ref="V2007:V2079" si="994">SUM(Q2007:U2007)</f>
        <v>2149847.1579999998</v>
      </c>
    </row>
    <row r="2008" spans="1:22" s="39" customFormat="1" ht="29.1" customHeight="1" thickBot="1">
      <c r="A2008" s="75">
        <v>3</v>
      </c>
      <c r="B2008" s="75">
        <v>4</v>
      </c>
      <c r="C2008" s="75">
        <v>1</v>
      </c>
      <c r="D2008" s="75"/>
      <c r="E2008" s="74" t="s">
        <v>13</v>
      </c>
      <c r="F2008" s="919" t="str">
        <f>CONCATENATE(A2008,".",B2008,".",C2008,)</f>
        <v>3.4.1</v>
      </c>
      <c r="G2008" s="1605" t="s">
        <v>230</v>
      </c>
      <c r="H2008" s="1606"/>
      <c r="I2008" s="1606"/>
      <c r="J2008" s="1607"/>
      <c r="K2008" s="66"/>
      <c r="L2008" s="382"/>
      <c r="M2008" s="382"/>
      <c r="N2008" s="382"/>
      <c r="O2008" s="382"/>
      <c r="P2008" s="382"/>
      <c r="Q2008" s="1521">
        <f>Q2010+Q2020+Q2030</f>
        <v>0</v>
      </c>
      <c r="R2008" s="1521">
        <f t="shared" ref="R2008:U2008" si="995">R2010+R2020+R2030</f>
        <v>0</v>
      </c>
      <c r="S2008" s="1521">
        <f t="shared" si="995"/>
        <v>133894</v>
      </c>
      <c r="T2008" s="1521">
        <f t="shared" si="995"/>
        <v>0</v>
      </c>
      <c r="U2008" s="1521">
        <f t="shared" si="995"/>
        <v>0</v>
      </c>
      <c r="V2008" s="1521">
        <f t="shared" si="994"/>
        <v>133894</v>
      </c>
    </row>
    <row r="2009" spans="1:22" s="39" customFormat="1" ht="24" customHeight="1">
      <c r="A2009" s="1860">
        <v>3</v>
      </c>
      <c r="B2009" s="1860">
        <v>4</v>
      </c>
      <c r="C2009" s="1860">
        <v>1</v>
      </c>
      <c r="D2009" s="1860">
        <v>1</v>
      </c>
      <c r="E2009" s="1839" t="s">
        <v>15</v>
      </c>
      <c r="F2009" s="1844" t="str">
        <f>CONCATENATE(A2009,".",B2009,".",C2009,".",D2009,)</f>
        <v>3.4.1.1</v>
      </c>
      <c r="G2009" s="1624" t="s">
        <v>231</v>
      </c>
      <c r="H2009" s="1601" t="s">
        <v>195</v>
      </c>
      <c r="I2009" s="1614" t="s">
        <v>1102</v>
      </c>
      <c r="J2009" s="36" t="s">
        <v>79</v>
      </c>
      <c r="K2009" s="896"/>
      <c r="L2009" s="383">
        <v>0</v>
      </c>
      <c r="M2009" s="383">
        <v>0</v>
      </c>
      <c r="N2009" s="383">
        <v>30</v>
      </c>
      <c r="O2009" s="383">
        <v>0</v>
      </c>
      <c r="P2009" s="383">
        <v>0</v>
      </c>
      <c r="Q2009" s="1475">
        <f>L2009*H2014</f>
        <v>0</v>
      </c>
      <c r="R2009" s="1475">
        <f>M2009*H2014</f>
        <v>0</v>
      </c>
      <c r="S2009" s="1475">
        <f>N2009*H2014</f>
        <v>60000</v>
      </c>
      <c r="T2009" s="1475">
        <f>O2009*H2014</f>
        <v>0</v>
      </c>
      <c r="U2009" s="1475">
        <f>P2009*H2014</f>
        <v>0</v>
      </c>
      <c r="V2009" s="1475">
        <f t="shared" si="994"/>
        <v>60000</v>
      </c>
    </row>
    <row r="2010" spans="1:22" s="39" customFormat="1" ht="24" customHeight="1">
      <c r="A2010" s="1860">
        <v>3</v>
      </c>
      <c r="B2010" s="1860"/>
      <c r="C2010" s="1860"/>
      <c r="D2010" s="1860"/>
      <c r="E2010" s="1839"/>
      <c r="F2010" s="1844"/>
      <c r="G2010" s="1562"/>
      <c r="H2010" s="1601"/>
      <c r="I2010" s="1615"/>
      <c r="J2010" s="40" t="s">
        <v>80</v>
      </c>
      <c r="K2010" s="91"/>
      <c r="L2010" s="364">
        <f t="shared" ref="L2010:U2010" si="996">SUM(L2011:L2017)</f>
        <v>0</v>
      </c>
      <c r="M2010" s="364">
        <f t="shared" si="996"/>
        <v>0</v>
      </c>
      <c r="N2010" s="364">
        <f t="shared" si="996"/>
        <v>30</v>
      </c>
      <c r="O2010" s="364">
        <f t="shared" si="996"/>
        <v>0</v>
      </c>
      <c r="P2010" s="364">
        <f t="shared" si="996"/>
        <v>0</v>
      </c>
      <c r="Q2010" s="1475">
        <f t="shared" si="996"/>
        <v>0</v>
      </c>
      <c r="R2010" s="1475">
        <f t="shared" si="996"/>
        <v>0</v>
      </c>
      <c r="S2010" s="1475">
        <f t="shared" si="996"/>
        <v>60000</v>
      </c>
      <c r="T2010" s="1475">
        <f t="shared" si="996"/>
        <v>0</v>
      </c>
      <c r="U2010" s="1475">
        <f t="shared" si="996"/>
        <v>0</v>
      </c>
      <c r="V2010" s="1475">
        <f t="shared" si="994"/>
        <v>60000</v>
      </c>
    </row>
    <row r="2011" spans="1:22" s="39" customFormat="1" ht="24" customHeight="1">
      <c r="A2011" s="1860">
        <v>3</v>
      </c>
      <c r="B2011" s="1860"/>
      <c r="C2011" s="1860"/>
      <c r="D2011" s="1860"/>
      <c r="E2011" s="1839"/>
      <c r="F2011" s="1844"/>
      <c r="G2011" s="1562"/>
      <c r="H2011" s="1601"/>
      <c r="I2011" s="1615"/>
      <c r="J2011" s="40" t="s">
        <v>429</v>
      </c>
      <c r="K2011" s="91"/>
      <c r="L2011" s="364">
        <v>0</v>
      </c>
      <c r="M2011" s="364">
        <v>0</v>
      </c>
      <c r="N2011" s="364">
        <v>0</v>
      </c>
      <c r="O2011" s="364">
        <v>0</v>
      </c>
      <c r="P2011" s="364">
        <v>0</v>
      </c>
      <c r="Q2011" s="1475">
        <f>L2011*$H2014</f>
        <v>0</v>
      </c>
      <c r="R2011" s="1475">
        <f>M2011*$H2014</f>
        <v>0</v>
      </c>
      <c r="S2011" s="1475">
        <f>N2011*$H2014</f>
        <v>0</v>
      </c>
      <c r="T2011" s="1475">
        <f>O2011*$H2014</f>
        <v>0</v>
      </c>
      <c r="U2011" s="1475">
        <f>P2011*$H2014</f>
        <v>0</v>
      </c>
      <c r="V2011" s="1475">
        <f t="shared" si="994"/>
        <v>0</v>
      </c>
    </row>
    <row r="2012" spans="1:22" s="39" customFormat="1" ht="24" customHeight="1">
      <c r="A2012" s="1860">
        <v>3</v>
      </c>
      <c r="B2012" s="1860"/>
      <c r="C2012" s="1860"/>
      <c r="D2012" s="1860"/>
      <c r="E2012" s="1839"/>
      <c r="F2012" s="1844"/>
      <c r="G2012" s="1562"/>
      <c r="H2012" s="1601"/>
      <c r="I2012" s="1615"/>
      <c r="J2012" s="40" t="s">
        <v>133</v>
      </c>
      <c r="K2012" s="91"/>
      <c r="L2012" s="364">
        <v>0</v>
      </c>
      <c r="M2012" s="364">
        <v>0</v>
      </c>
      <c r="N2012" s="364">
        <v>0</v>
      </c>
      <c r="O2012" s="364">
        <v>0</v>
      </c>
      <c r="P2012" s="364">
        <v>0</v>
      </c>
      <c r="Q2012" s="1475">
        <f>L2012*$H2014</f>
        <v>0</v>
      </c>
      <c r="R2012" s="1475">
        <f>M2012*$H2014</f>
        <v>0</v>
      </c>
      <c r="S2012" s="1475">
        <f>N2012*$H2014</f>
        <v>0</v>
      </c>
      <c r="T2012" s="1475">
        <f>O2012*$H2014</f>
        <v>0</v>
      </c>
      <c r="U2012" s="1475">
        <f>P2012*$H2014</f>
        <v>0</v>
      </c>
      <c r="V2012" s="1475">
        <f t="shared" si="994"/>
        <v>0</v>
      </c>
    </row>
    <row r="2013" spans="1:22" s="39" customFormat="1" ht="24" customHeight="1">
      <c r="A2013" s="1860">
        <v>3</v>
      </c>
      <c r="B2013" s="1860"/>
      <c r="C2013" s="1860"/>
      <c r="D2013" s="1860"/>
      <c r="E2013" s="1839"/>
      <c r="F2013" s="1844"/>
      <c r="G2013" s="1562"/>
      <c r="H2013" s="1601"/>
      <c r="I2013" s="1615"/>
      <c r="J2013" s="40" t="s">
        <v>81</v>
      </c>
      <c r="K2013" s="91"/>
      <c r="L2013" s="364">
        <v>0</v>
      </c>
      <c r="M2013" s="364">
        <v>0</v>
      </c>
      <c r="N2013" s="364">
        <v>0</v>
      </c>
      <c r="O2013" s="364">
        <v>0</v>
      </c>
      <c r="P2013" s="364">
        <v>0</v>
      </c>
      <c r="Q2013" s="1475">
        <f>L2013*$H2014</f>
        <v>0</v>
      </c>
      <c r="R2013" s="1475">
        <f>M2013*$H2014</f>
        <v>0</v>
      </c>
      <c r="S2013" s="1475">
        <f>N2013*$H2014</f>
        <v>0</v>
      </c>
      <c r="T2013" s="1475">
        <f>O2013*$H2014</f>
        <v>0</v>
      </c>
      <c r="U2013" s="1475">
        <f>P2013*$H2014</f>
        <v>0</v>
      </c>
      <c r="V2013" s="1475">
        <f t="shared" si="994"/>
        <v>0</v>
      </c>
    </row>
    <row r="2014" spans="1:22" s="39" customFormat="1" ht="24" customHeight="1">
      <c r="A2014" s="1860">
        <v>3</v>
      </c>
      <c r="B2014" s="1860"/>
      <c r="C2014" s="1860"/>
      <c r="D2014" s="1860"/>
      <c r="E2014" s="1839"/>
      <c r="F2014" s="1844"/>
      <c r="G2014" s="1562"/>
      <c r="H2014" s="1598">
        <f>'Budget assumption'!$C$4</f>
        <v>2000</v>
      </c>
      <c r="I2014" s="1615"/>
      <c r="J2014" s="40" t="s">
        <v>134</v>
      </c>
      <c r="K2014" s="91"/>
      <c r="L2014" s="364">
        <v>0</v>
      </c>
      <c r="M2014" s="364">
        <v>0</v>
      </c>
      <c r="N2014" s="364">
        <v>0</v>
      </c>
      <c r="O2014" s="364">
        <v>0</v>
      </c>
      <c r="P2014" s="364">
        <v>0</v>
      </c>
      <c r="Q2014" s="1475">
        <f>L2014*$H2014</f>
        <v>0</v>
      </c>
      <c r="R2014" s="1475">
        <f>M2014*$H2014</f>
        <v>0</v>
      </c>
      <c r="S2014" s="1475">
        <f>N2014*$H2014</f>
        <v>0</v>
      </c>
      <c r="T2014" s="1475">
        <f>O2014*$H2014</f>
        <v>0</v>
      </c>
      <c r="U2014" s="1475">
        <f>P2014*$H2014</f>
        <v>0</v>
      </c>
      <c r="V2014" s="1475">
        <f t="shared" si="994"/>
        <v>0</v>
      </c>
    </row>
    <row r="2015" spans="1:22" s="39" customFormat="1" ht="24" customHeight="1">
      <c r="A2015" s="1860">
        <v>3</v>
      </c>
      <c r="B2015" s="1860"/>
      <c r="C2015" s="1860"/>
      <c r="D2015" s="1860"/>
      <c r="E2015" s="1839"/>
      <c r="F2015" s="1844"/>
      <c r="G2015" s="1562"/>
      <c r="H2015" s="1599"/>
      <c r="I2015" s="1615"/>
      <c r="J2015" s="40" t="s">
        <v>82</v>
      </c>
      <c r="K2015" s="91"/>
      <c r="L2015" s="364">
        <v>0</v>
      </c>
      <c r="M2015" s="364">
        <v>0</v>
      </c>
      <c r="N2015" s="364">
        <v>30</v>
      </c>
      <c r="O2015" s="364">
        <v>0</v>
      </c>
      <c r="P2015" s="364">
        <v>0</v>
      </c>
      <c r="Q2015" s="1475">
        <f>L2015*$H2014</f>
        <v>0</v>
      </c>
      <c r="R2015" s="1475">
        <f>M2015*$H2014</f>
        <v>0</v>
      </c>
      <c r="S2015" s="1475">
        <f>N2015*$H2014</f>
        <v>60000</v>
      </c>
      <c r="T2015" s="1475">
        <f>O2015*$H2014</f>
        <v>0</v>
      </c>
      <c r="U2015" s="1475">
        <f>P2015*$H2014</f>
        <v>0</v>
      </c>
      <c r="V2015" s="1475">
        <f t="shared" si="994"/>
        <v>60000</v>
      </c>
    </row>
    <row r="2016" spans="1:22" s="39" customFormat="1" ht="24" customHeight="1">
      <c r="A2016" s="1860">
        <v>3</v>
      </c>
      <c r="B2016" s="1860"/>
      <c r="C2016" s="1860"/>
      <c r="D2016" s="1860"/>
      <c r="E2016" s="1839"/>
      <c r="F2016" s="1844"/>
      <c r="G2016" s="1562"/>
      <c r="H2016" s="1599"/>
      <c r="I2016" s="1615"/>
      <c r="J2016" s="40" t="s">
        <v>90</v>
      </c>
      <c r="K2016" s="91"/>
      <c r="L2016" s="364">
        <v>0</v>
      </c>
      <c r="M2016" s="364">
        <v>0</v>
      </c>
      <c r="N2016" s="364">
        <v>0</v>
      </c>
      <c r="O2016" s="364">
        <v>0</v>
      </c>
      <c r="P2016" s="364">
        <v>0</v>
      </c>
      <c r="Q2016" s="1475">
        <f>L2016*$H2014</f>
        <v>0</v>
      </c>
      <c r="R2016" s="1475">
        <f>M2016*$H2014</f>
        <v>0</v>
      </c>
      <c r="S2016" s="1475">
        <f>N2016*$H2014</f>
        <v>0</v>
      </c>
      <c r="T2016" s="1475">
        <f>O2016*$H2014</f>
        <v>0</v>
      </c>
      <c r="U2016" s="1475">
        <f>P2016*$H2014</f>
        <v>0</v>
      </c>
      <c r="V2016" s="1475">
        <f t="shared" si="994"/>
        <v>0</v>
      </c>
    </row>
    <row r="2017" spans="1:22" s="39" customFormat="1" ht="24" customHeight="1">
      <c r="A2017" s="1860">
        <v>3</v>
      </c>
      <c r="B2017" s="1860"/>
      <c r="C2017" s="1860"/>
      <c r="D2017" s="1860"/>
      <c r="E2017" s="1839"/>
      <c r="F2017" s="1844"/>
      <c r="G2017" s="1562"/>
      <c r="H2017" s="1599"/>
      <c r="I2017" s="1615"/>
      <c r="J2017" s="40" t="s">
        <v>83</v>
      </c>
      <c r="K2017" s="91"/>
      <c r="L2017" s="364">
        <v>0</v>
      </c>
      <c r="M2017" s="364">
        <v>0</v>
      </c>
      <c r="N2017" s="364">
        <v>0</v>
      </c>
      <c r="O2017" s="364">
        <v>0</v>
      </c>
      <c r="P2017" s="364">
        <v>0</v>
      </c>
      <c r="Q2017" s="1475">
        <f>L2017*$H2014</f>
        <v>0</v>
      </c>
      <c r="R2017" s="1475">
        <f>M2017*$H2014</f>
        <v>0</v>
      </c>
      <c r="S2017" s="1475">
        <f>N2017*$H2014</f>
        <v>0</v>
      </c>
      <c r="T2017" s="1475">
        <f>O2017*$H2014</f>
        <v>0</v>
      </c>
      <c r="U2017" s="1475">
        <f>P2017*$H2014</f>
        <v>0</v>
      </c>
      <c r="V2017" s="1475">
        <f t="shared" si="994"/>
        <v>0</v>
      </c>
    </row>
    <row r="2018" spans="1:22" s="39" customFormat="1" ht="24" customHeight="1" thickBot="1">
      <c r="A2018" s="1860">
        <v>3</v>
      </c>
      <c r="B2018" s="1860"/>
      <c r="C2018" s="1860"/>
      <c r="D2018" s="1860"/>
      <c r="E2018" s="1839"/>
      <c r="F2018" s="1844"/>
      <c r="G2018" s="1563"/>
      <c r="H2018" s="1600"/>
      <c r="I2018" s="1617"/>
      <c r="J2018" s="40" t="s">
        <v>84</v>
      </c>
      <c r="K2018" s="91"/>
      <c r="L2018" s="364">
        <f>L2009-L2010</f>
        <v>0</v>
      </c>
      <c r="M2018" s="364">
        <f t="shared" ref="M2018:U2018" si="997">M2009-M2010</f>
        <v>0</v>
      </c>
      <c r="N2018" s="364">
        <f t="shared" si="997"/>
        <v>0</v>
      </c>
      <c r="O2018" s="364">
        <f t="shared" si="997"/>
        <v>0</v>
      </c>
      <c r="P2018" s="364">
        <f t="shared" si="997"/>
        <v>0</v>
      </c>
      <c r="Q2018" s="1475">
        <f t="shared" si="997"/>
        <v>0</v>
      </c>
      <c r="R2018" s="1475">
        <f t="shared" si="997"/>
        <v>0</v>
      </c>
      <c r="S2018" s="1475">
        <f t="shared" si="997"/>
        <v>0</v>
      </c>
      <c r="T2018" s="1475">
        <f t="shared" si="997"/>
        <v>0</v>
      </c>
      <c r="U2018" s="1475">
        <f t="shared" si="997"/>
        <v>0</v>
      </c>
      <c r="V2018" s="1475">
        <f t="shared" si="994"/>
        <v>0</v>
      </c>
    </row>
    <row r="2019" spans="1:22" s="39" customFormat="1" ht="24" customHeight="1">
      <c r="A2019" s="1860">
        <v>3</v>
      </c>
      <c r="B2019" s="1860">
        <v>4</v>
      </c>
      <c r="C2019" s="1860">
        <v>1</v>
      </c>
      <c r="D2019" s="1860">
        <v>2</v>
      </c>
      <c r="E2019" s="1966" t="s">
        <v>15</v>
      </c>
      <c r="F2019" s="1844" t="str">
        <f>CONCATENATE(A2019,".",B2019,".",C2019,".",D2019,)</f>
        <v>3.4.1.2</v>
      </c>
      <c r="G2019" s="1624" t="s">
        <v>232</v>
      </c>
      <c r="H2019" s="1629" t="s">
        <v>1161</v>
      </c>
      <c r="I2019" s="1557" t="s">
        <v>1162</v>
      </c>
      <c r="J2019" s="979" t="s">
        <v>79</v>
      </c>
      <c r="K2019" s="919"/>
      <c r="L2019" s="893">
        <v>0</v>
      </c>
      <c r="M2019" s="383">
        <v>0</v>
      </c>
      <c r="N2019" s="383">
        <v>20</v>
      </c>
      <c r="O2019" s="383">
        <v>0</v>
      </c>
      <c r="P2019" s="383">
        <v>0</v>
      </c>
      <c r="Q2019" s="1475">
        <f>L2019*H2024</f>
        <v>0</v>
      </c>
      <c r="R2019" s="1475">
        <f>M2019*H2024</f>
        <v>0</v>
      </c>
      <c r="S2019" s="1475">
        <f>'Budget assumption'!F411</f>
        <v>111468</v>
      </c>
      <c r="T2019" s="1475">
        <f>O2019*H2024</f>
        <v>0</v>
      </c>
      <c r="U2019" s="1475">
        <f>P2019*H2024</f>
        <v>0</v>
      </c>
      <c r="V2019" s="1475">
        <f t="shared" si="994"/>
        <v>111468</v>
      </c>
    </row>
    <row r="2020" spans="1:22" s="39" customFormat="1" ht="24" customHeight="1">
      <c r="A2020" s="1860">
        <v>3</v>
      </c>
      <c r="B2020" s="1860"/>
      <c r="C2020" s="1860"/>
      <c r="D2020" s="1860"/>
      <c r="E2020" s="1966"/>
      <c r="F2020" s="1844"/>
      <c r="G2020" s="1562"/>
      <c r="H2020" s="1629"/>
      <c r="I2020" s="1558"/>
      <c r="J2020" s="846" t="s">
        <v>80</v>
      </c>
      <c r="K2020" s="980"/>
      <c r="L2020" s="365">
        <f t="shared" ref="L2020:U2020" si="998">SUM(L2021:L2027)</f>
        <v>0</v>
      </c>
      <c r="M2020" s="364">
        <f t="shared" si="998"/>
        <v>0</v>
      </c>
      <c r="N2020" s="364">
        <f t="shared" si="998"/>
        <v>20</v>
      </c>
      <c r="O2020" s="364">
        <f t="shared" si="998"/>
        <v>0</v>
      </c>
      <c r="P2020" s="364">
        <f t="shared" si="998"/>
        <v>0</v>
      </c>
      <c r="Q2020" s="1475">
        <f t="shared" si="998"/>
        <v>0</v>
      </c>
      <c r="R2020" s="1475">
        <f t="shared" si="998"/>
        <v>0</v>
      </c>
      <c r="S2020" s="1475">
        <f t="shared" si="998"/>
        <v>40000</v>
      </c>
      <c r="T2020" s="1475">
        <f t="shared" si="998"/>
        <v>0</v>
      </c>
      <c r="U2020" s="1475">
        <f t="shared" si="998"/>
        <v>0</v>
      </c>
      <c r="V2020" s="1475">
        <f t="shared" si="994"/>
        <v>40000</v>
      </c>
    </row>
    <row r="2021" spans="1:22" s="39" customFormat="1" ht="24" customHeight="1">
      <c r="A2021" s="1860">
        <v>3</v>
      </c>
      <c r="B2021" s="1860"/>
      <c r="C2021" s="1860"/>
      <c r="D2021" s="1860"/>
      <c r="E2021" s="1966"/>
      <c r="F2021" s="1844"/>
      <c r="G2021" s="1562"/>
      <c r="H2021" s="1629"/>
      <c r="I2021" s="1558"/>
      <c r="J2021" s="846" t="s">
        <v>429</v>
      </c>
      <c r="K2021" s="980"/>
      <c r="L2021" s="365">
        <v>0</v>
      </c>
      <c r="M2021" s="364">
        <v>0</v>
      </c>
      <c r="N2021" s="364">
        <v>0</v>
      </c>
      <c r="O2021" s="364">
        <v>0</v>
      </c>
      <c r="P2021" s="364">
        <v>0</v>
      </c>
      <c r="Q2021" s="1475">
        <f>L2021*$H2024</f>
        <v>0</v>
      </c>
      <c r="R2021" s="1475">
        <f>M2021*$H2024</f>
        <v>0</v>
      </c>
      <c r="S2021" s="1475">
        <f>N2021*$H2024</f>
        <v>0</v>
      </c>
      <c r="T2021" s="1475">
        <f>O2021*$H2024</f>
        <v>0</v>
      </c>
      <c r="U2021" s="1475">
        <f>P2021*$H2024</f>
        <v>0</v>
      </c>
      <c r="V2021" s="1475">
        <f t="shared" si="994"/>
        <v>0</v>
      </c>
    </row>
    <row r="2022" spans="1:22" s="39" customFormat="1" ht="24" customHeight="1">
      <c r="A2022" s="1860">
        <v>3</v>
      </c>
      <c r="B2022" s="1860"/>
      <c r="C2022" s="1860"/>
      <c r="D2022" s="1860"/>
      <c r="E2022" s="1966"/>
      <c r="F2022" s="1844"/>
      <c r="G2022" s="1562"/>
      <c r="H2022" s="1629"/>
      <c r="I2022" s="1558"/>
      <c r="J2022" s="846" t="s">
        <v>133</v>
      </c>
      <c r="K2022" s="980"/>
      <c r="L2022" s="365">
        <v>0</v>
      </c>
      <c r="M2022" s="364">
        <v>0</v>
      </c>
      <c r="N2022" s="364">
        <v>0</v>
      </c>
      <c r="O2022" s="364">
        <v>0</v>
      </c>
      <c r="P2022" s="364">
        <v>0</v>
      </c>
      <c r="Q2022" s="1475">
        <f>L2022*$H2024</f>
        <v>0</v>
      </c>
      <c r="R2022" s="1475">
        <f>M2022*$H2024</f>
        <v>0</v>
      </c>
      <c r="S2022" s="1475">
        <f>N2022*$H2024</f>
        <v>0</v>
      </c>
      <c r="T2022" s="1475">
        <f>O2022*$H2024</f>
        <v>0</v>
      </c>
      <c r="U2022" s="1475">
        <f>P2022*$H2024</f>
        <v>0</v>
      </c>
      <c r="V2022" s="1475">
        <f t="shared" si="994"/>
        <v>0</v>
      </c>
    </row>
    <row r="2023" spans="1:22" s="39" customFormat="1" ht="24" customHeight="1">
      <c r="A2023" s="1860">
        <v>3</v>
      </c>
      <c r="B2023" s="1860"/>
      <c r="C2023" s="1860"/>
      <c r="D2023" s="1860"/>
      <c r="E2023" s="1966"/>
      <c r="F2023" s="1844"/>
      <c r="G2023" s="1562"/>
      <c r="H2023" s="1629"/>
      <c r="I2023" s="1558"/>
      <c r="J2023" s="846" t="s">
        <v>81</v>
      </c>
      <c r="K2023" s="980"/>
      <c r="L2023" s="365">
        <v>0</v>
      </c>
      <c r="M2023" s="364">
        <v>0</v>
      </c>
      <c r="N2023" s="364">
        <v>0</v>
      </c>
      <c r="O2023" s="364">
        <v>0</v>
      </c>
      <c r="P2023" s="364">
        <v>0</v>
      </c>
      <c r="Q2023" s="1475">
        <f>L2023*$H2024</f>
        <v>0</v>
      </c>
      <c r="R2023" s="1475">
        <f>M2023*$H2024</f>
        <v>0</v>
      </c>
      <c r="S2023" s="1475">
        <f>N2023*$H2024</f>
        <v>0</v>
      </c>
      <c r="T2023" s="1475">
        <f>O2023*$H2024</f>
        <v>0</v>
      </c>
      <c r="U2023" s="1475">
        <f>P2023*$H2024</f>
        <v>0</v>
      </c>
      <c r="V2023" s="1475">
        <f t="shared" si="994"/>
        <v>0</v>
      </c>
    </row>
    <row r="2024" spans="1:22" s="39" customFormat="1" ht="24" customHeight="1">
      <c r="A2024" s="1860">
        <v>3</v>
      </c>
      <c r="B2024" s="1860"/>
      <c r="C2024" s="1860"/>
      <c r="D2024" s="1860"/>
      <c r="E2024" s="1966"/>
      <c r="F2024" s="1844"/>
      <c r="G2024" s="1562"/>
      <c r="H2024" s="1602">
        <f>'Budget assumption'!C4</f>
        <v>2000</v>
      </c>
      <c r="I2024" s="1558"/>
      <c r="J2024" s="846" t="s">
        <v>134</v>
      </c>
      <c r="K2024" s="980"/>
      <c r="L2024" s="365">
        <f>L2015*30%</f>
        <v>0</v>
      </c>
      <c r="M2024" s="364">
        <f>M2015*30%</f>
        <v>0</v>
      </c>
      <c r="N2024" s="364">
        <v>0</v>
      </c>
      <c r="O2024" s="364">
        <f>O2015*30%</f>
        <v>0</v>
      </c>
      <c r="P2024" s="364">
        <f>P2015*30%</f>
        <v>0</v>
      </c>
      <c r="Q2024" s="1475">
        <f>L2024*$H2024</f>
        <v>0</v>
      </c>
      <c r="R2024" s="1475">
        <f>M2024*$H2024</f>
        <v>0</v>
      </c>
      <c r="S2024" s="1475">
        <f>N2024*$H2024</f>
        <v>0</v>
      </c>
      <c r="T2024" s="1475">
        <f>O2024*$H2024</f>
        <v>0</v>
      </c>
      <c r="U2024" s="1475">
        <f>P2024*$H2024</f>
        <v>0</v>
      </c>
      <c r="V2024" s="1475">
        <f t="shared" si="994"/>
        <v>0</v>
      </c>
    </row>
    <row r="2025" spans="1:22" s="39" customFormat="1" ht="24" customHeight="1">
      <c r="A2025" s="1860">
        <v>3</v>
      </c>
      <c r="B2025" s="1860"/>
      <c r="C2025" s="1860"/>
      <c r="D2025" s="1860"/>
      <c r="E2025" s="1966"/>
      <c r="F2025" s="1844"/>
      <c r="G2025" s="1562"/>
      <c r="H2025" s="1603"/>
      <c r="I2025" s="1558"/>
      <c r="J2025" s="846" t="s">
        <v>82</v>
      </c>
      <c r="K2025" s="980"/>
      <c r="L2025" s="365">
        <v>0</v>
      </c>
      <c r="M2025" s="364">
        <v>0</v>
      </c>
      <c r="N2025" s="364">
        <v>20</v>
      </c>
      <c r="O2025" s="364">
        <v>0</v>
      </c>
      <c r="P2025" s="364">
        <v>0</v>
      </c>
      <c r="Q2025" s="1475">
        <f>L2025*$H2024</f>
        <v>0</v>
      </c>
      <c r="R2025" s="1475">
        <f>M2025*$H2024</f>
        <v>0</v>
      </c>
      <c r="S2025" s="1475">
        <f>N2025*$H2024</f>
        <v>40000</v>
      </c>
      <c r="T2025" s="1475">
        <f>O2025*$H2024</f>
        <v>0</v>
      </c>
      <c r="U2025" s="1475">
        <f>P2025*$H2024</f>
        <v>0</v>
      </c>
      <c r="V2025" s="1475">
        <f t="shared" si="994"/>
        <v>40000</v>
      </c>
    </row>
    <row r="2026" spans="1:22" s="39" customFormat="1" ht="24" customHeight="1">
      <c r="A2026" s="1860">
        <v>3</v>
      </c>
      <c r="B2026" s="1860"/>
      <c r="C2026" s="1860"/>
      <c r="D2026" s="1860"/>
      <c r="E2026" s="1966"/>
      <c r="F2026" s="1844"/>
      <c r="G2026" s="1562"/>
      <c r="H2026" s="1603"/>
      <c r="I2026" s="1558"/>
      <c r="J2026" s="846" t="s">
        <v>90</v>
      </c>
      <c r="K2026" s="980"/>
      <c r="L2026" s="365">
        <v>0</v>
      </c>
      <c r="M2026" s="364">
        <v>0</v>
      </c>
      <c r="N2026" s="364">
        <v>0</v>
      </c>
      <c r="O2026" s="364">
        <v>0</v>
      </c>
      <c r="P2026" s="364">
        <v>0</v>
      </c>
      <c r="Q2026" s="1475">
        <f>L2026*$H2024</f>
        <v>0</v>
      </c>
      <c r="R2026" s="1475">
        <f>M2026*$H2024</f>
        <v>0</v>
      </c>
      <c r="S2026" s="1475">
        <f>N2026*$H2024</f>
        <v>0</v>
      </c>
      <c r="T2026" s="1475">
        <f>O2026*$H2024</f>
        <v>0</v>
      </c>
      <c r="U2026" s="1475">
        <f>P2026*$H2024</f>
        <v>0</v>
      </c>
      <c r="V2026" s="1475">
        <f t="shared" si="994"/>
        <v>0</v>
      </c>
    </row>
    <row r="2027" spans="1:22" s="39" customFormat="1" ht="24" customHeight="1">
      <c r="A2027" s="1860">
        <v>3</v>
      </c>
      <c r="B2027" s="1860"/>
      <c r="C2027" s="1860"/>
      <c r="D2027" s="1860"/>
      <c r="E2027" s="1966"/>
      <c r="F2027" s="1844"/>
      <c r="G2027" s="1562"/>
      <c r="H2027" s="1603"/>
      <c r="I2027" s="1558"/>
      <c r="J2027" s="846" t="s">
        <v>83</v>
      </c>
      <c r="K2027" s="980"/>
      <c r="L2027" s="365">
        <v>0</v>
      </c>
      <c r="M2027" s="364">
        <v>0</v>
      </c>
      <c r="N2027" s="364">
        <v>0</v>
      </c>
      <c r="O2027" s="364">
        <v>0</v>
      </c>
      <c r="P2027" s="364">
        <v>0</v>
      </c>
      <c r="Q2027" s="1475">
        <f>L2027*$H2024</f>
        <v>0</v>
      </c>
      <c r="R2027" s="1475">
        <f>M2027*$H2024</f>
        <v>0</v>
      </c>
      <c r="S2027" s="1475">
        <f>N2027*$H2024</f>
        <v>0</v>
      </c>
      <c r="T2027" s="1475">
        <f>O2027*$H2024</f>
        <v>0</v>
      </c>
      <c r="U2027" s="1475">
        <f>P2027*$H2024</f>
        <v>0</v>
      </c>
      <c r="V2027" s="1475">
        <f t="shared" si="994"/>
        <v>0</v>
      </c>
    </row>
    <row r="2028" spans="1:22" s="39" customFormat="1" ht="24" customHeight="1">
      <c r="A2028" s="1860">
        <v>3</v>
      </c>
      <c r="B2028" s="1860"/>
      <c r="C2028" s="1860"/>
      <c r="D2028" s="1860"/>
      <c r="E2028" s="1966"/>
      <c r="F2028" s="1844"/>
      <c r="G2028" s="1563"/>
      <c r="H2028" s="1604"/>
      <c r="I2028" s="1559"/>
      <c r="J2028" s="846" t="s">
        <v>84</v>
      </c>
      <c r="K2028" s="980"/>
      <c r="L2028" s="365">
        <f>L2019-L2020</f>
        <v>0</v>
      </c>
      <c r="M2028" s="364">
        <f t="shared" ref="M2028:U2028" si="999">M2019-M2020</f>
        <v>0</v>
      </c>
      <c r="N2028" s="364">
        <f t="shared" si="999"/>
        <v>0</v>
      </c>
      <c r="O2028" s="364">
        <f t="shared" si="999"/>
        <v>0</v>
      </c>
      <c r="P2028" s="364">
        <f t="shared" si="999"/>
        <v>0</v>
      </c>
      <c r="Q2028" s="1475">
        <f t="shared" si="999"/>
        <v>0</v>
      </c>
      <c r="R2028" s="1475">
        <f t="shared" si="999"/>
        <v>0</v>
      </c>
      <c r="S2028" s="1475">
        <f t="shared" si="999"/>
        <v>71468</v>
      </c>
      <c r="T2028" s="1475">
        <f t="shared" si="999"/>
        <v>0</v>
      </c>
      <c r="U2028" s="1475">
        <f t="shared" si="999"/>
        <v>0</v>
      </c>
      <c r="V2028" s="1475">
        <f t="shared" si="994"/>
        <v>71468</v>
      </c>
    </row>
    <row r="2029" spans="1:22" s="39" customFormat="1" ht="24" customHeight="1">
      <c r="A2029" s="1860">
        <v>3</v>
      </c>
      <c r="B2029" s="1860">
        <v>4</v>
      </c>
      <c r="C2029" s="1860">
        <v>1</v>
      </c>
      <c r="D2029" s="1860">
        <v>3</v>
      </c>
      <c r="E2029" s="1839" t="s">
        <v>15</v>
      </c>
      <c r="F2029" s="1841" t="str">
        <f>CONCATENATE(A2029,".",B2029,".",C2029,".",D2029,)</f>
        <v>3.4.1.3</v>
      </c>
      <c r="G2029" s="1642" t="s">
        <v>203</v>
      </c>
      <c r="H2029" s="1601" t="s">
        <v>142</v>
      </c>
      <c r="I2029" s="1614"/>
      <c r="J2029" s="36" t="s">
        <v>79</v>
      </c>
      <c r="K2029" s="896"/>
      <c r="L2029" s="383">
        <v>0</v>
      </c>
      <c r="M2029" s="383">
        <v>0</v>
      </c>
      <c r="N2029" s="383">
        <v>2</v>
      </c>
      <c r="O2029" s="383">
        <v>0</v>
      </c>
      <c r="P2029" s="383">
        <v>0</v>
      </c>
      <c r="Q2029" s="1475">
        <f>L2029*H2034</f>
        <v>0</v>
      </c>
      <c r="R2029" s="1475">
        <f>M2029*H2034</f>
        <v>0</v>
      </c>
      <c r="S2029" s="1475">
        <f>N2029*H2034</f>
        <v>33894</v>
      </c>
      <c r="T2029" s="1475">
        <f>O2029*H2034</f>
        <v>0</v>
      </c>
      <c r="U2029" s="1475">
        <f>P2029*H2034</f>
        <v>0</v>
      </c>
      <c r="V2029" s="1475">
        <f t="shared" ref="V2029:V2038" si="1000">SUM(Q2029:U2029)</f>
        <v>33894</v>
      </c>
    </row>
    <row r="2030" spans="1:22" s="39" customFormat="1" ht="24" customHeight="1">
      <c r="A2030" s="1860">
        <v>2</v>
      </c>
      <c r="B2030" s="1860"/>
      <c r="C2030" s="1860"/>
      <c r="D2030" s="1860"/>
      <c r="E2030" s="1839"/>
      <c r="F2030" s="1841"/>
      <c r="G2030" s="1643"/>
      <c r="H2030" s="1601"/>
      <c r="I2030" s="1615"/>
      <c r="J2030" s="40" t="s">
        <v>80</v>
      </c>
      <c r="K2030" s="91"/>
      <c r="L2030" s="364">
        <f t="shared" ref="L2030:U2030" si="1001">SUM(L2031:L2037)</f>
        <v>0</v>
      </c>
      <c r="M2030" s="364">
        <f t="shared" si="1001"/>
        <v>0</v>
      </c>
      <c r="N2030" s="364">
        <f t="shared" si="1001"/>
        <v>2</v>
      </c>
      <c r="O2030" s="364">
        <f t="shared" si="1001"/>
        <v>0</v>
      </c>
      <c r="P2030" s="364">
        <f t="shared" si="1001"/>
        <v>0</v>
      </c>
      <c r="Q2030" s="1475">
        <f t="shared" si="1001"/>
        <v>0</v>
      </c>
      <c r="R2030" s="1475">
        <f t="shared" si="1001"/>
        <v>0</v>
      </c>
      <c r="S2030" s="1475">
        <f t="shared" si="1001"/>
        <v>33894</v>
      </c>
      <c r="T2030" s="1475">
        <f t="shared" si="1001"/>
        <v>0</v>
      </c>
      <c r="U2030" s="1475">
        <f t="shared" si="1001"/>
        <v>0</v>
      </c>
      <c r="V2030" s="1475">
        <f t="shared" si="1000"/>
        <v>33894</v>
      </c>
    </row>
    <row r="2031" spans="1:22" s="39" customFormat="1" ht="24" customHeight="1">
      <c r="A2031" s="1860">
        <v>2</v>
      </c>
      <c r="B2031" s="1860"/>
      <c r="C2031" s="1860"/>
      <c r="D2031" s="1860"/>
      <c r="E2031" s="1839"/>
      <c r="F2031" s="1841"/>
      <c r="G2031" s="1643"/>
      <c r="H2031" s="1601"/>
      <c r="I2031" s="1615"/>
      <c r="J2031" s="40" t="s">
        <v>429</v>
      </c>
      <c r="K2031" s="91"/>
      <c r="L2031" s="364">
        <v>0</v>
      </c>
      <c r="M2031" s="364">
        <v>0</v>
      </c>
      <c r="N2031" s="364">
        <v>0</v>
      </c>
      <c r="O2031" s="364">
        <v>0</v>
      </c>
      <c r="P2031" s="364">
        <v>0</v>
      </c>
      <c r="Q2031" s="1475">
        <f>L2031*$H2034</f>
        <v>0</v>
      </c>
      <c r="R2031" s="1475">
        <f>M2031*$H2034</f>
        <v>0</v>
      </c>
      <c r="S2031" s="1475">
        <f>N2031*$H2034</f>
        <v>0</v>
      </c>
      <c r="T2031" s="1475">
        <f>O2031*$H2034</f>
        <v>0</v>
      </c>
      <c r="U2031" s="1475">
        <f>P2031*$H2034</f>
        <v>0</v>
      </c>
      <c r="V2031" s="1475">
        <f t="shared" si="1000"/>
        <v>0</v>
      </c>
    </row>
    <row r="2032" spans="1:22" s="39" customFormat="1" ht="24" customHeight="1">
      <c r="A2032" s="1860">
        <v>2</v>
      </c>
      <c r="B2032" s="1860"/>
      <c r="C2032" s="1860"/>
      <c r="D2032" s="1860"/>
      <c r="E2032" s="1839"/>
      <c r="F2032" s="1841"/>
      <c r="G2032" s="1643"/>
      <c r="H2032" s="1601"/>
      <c r="I2032" s="1615"/>
      <c r="J2032" s="40" t="s">
        <v>133</v>
      </c>
      <c r="K2032" s="91"/>
      <c r="L2032" s="364">
        <v>0</v>
      </c>
      <c r="M2032" s="364">
        <v>0</v>
      </c>
      <c r="N2032" s="364">
        <v>0</v>
      </c>
      <c r="O2032" s="364">
        <v>0</v>
      </c>
      <c r="P2032" s="364">
        <v>0</v>
      </c>
      <c r="Q2032" s="1475">
        <f>L2032*$H2034</f>
        <v>0</v>
      </c>
      <c r="R2032" s="1475">
        <f>M2032*$H2034</f>
        <v>0</v>
      </c>
      <c r="S2032" s="1475">
        <f>N2032*$H2034</f>
        <v>0</v>
      </c>
      <c r="T2032" s="1475">
        <f>O2032*$H2034</f>
        <v>0</v>
      </c>
      <c r="U2032" s="1475">
        <f>P2032*$H2034</f>
        <v>0</v>
      </c>
      <c r="V2032" s="1475">
        <f t="shared" si="1000"/>
        <v>0</v>
      </c>
    </row>
    <row r="2033" spans="1:22" s="39" customFormat="1" ht="24" customHeight="1">
      <c r="A2033" s="1860">
        <v>2</v>
      </c>
      <c r="B2033" s="1860"/>
      <c r="C2033" s="1860"/>
      <c r="D2033" s="1860"/>
      <c r="E2033" s="1839"/>
      <c r="F2033" s="1841"/>
      <c r="G2033" s="1643"/>
      <c r="H2033" s="1601"/>
      <c r="I2033" s="1615"/>
      <c r="J2033" s="40" t="s">
        <v>81</v>
      </c>
      <c r="K2033" s="91"/>
      <c r="L2033" s="364">
        <v>0</v>
      </c>
      <c r="M2033" s="364">
        <v>0</v>
      </c>
      <c r="N2033" s="364">
        <v>0</v>
      </c>
      <c r="O2033" s="364">
        <v>0</v>
      </c>
      <c r="P2033" s="364">
        <v>0</v>
      </c>
      <c r="Q2033" s="1475">
        <f>L2033*$H2034</f>
        <v>0</v>
      </c>
      <c r="R2033" s="1475">
        <f>M2033*$H2034</f>
        <v>0</v>
      </c>
      <c r="S2033" s="1475">
        <f>N2033*$H2034</f>
        <v>0</v>
      </c>
      <c r="T2033" s="1475">
        <f>O2033*$H2034</f>
        <v>0</v>
      </c>
      <c r="U2033" s="1475">
        <f>P2033*$H2034</f>
        <v>0</v>
      </c>
      <c r="V2033" s="1475">
        <f t="shared" si="1000"/>
        <v>0</v>
      </c>
    </row>
    <row r="2034" spans="1:22" s="39" customFormat="1" ht="24" customHeight="1">
      <c r="A2034" s="1860">
        <v>2</v>
      </c>
      <c r="B2034" s="1860"/>
      <c r="C2034" s="1860"/>
      <c r="D2034" s="1860"/>
      <c r="E2034" s="1839"/>
      <c r="F2034" s="1841"/>
      <c r="G2034" s="1643"/>
      <c r="H2034" s="1598">
        <f>'Budget assumption'!H28</f>
        <v>16947</v>
      </c>
      <c r="I2034" s="1615"/>
      <c r="J2034" s="40" t="s">
        <v>134</v>
      </c>
      <c r="K2034" s="91"/>
      <c r="L2034" s="364">
        <v>0</v>
      </c>
      <c r="M2034" s="364">
        <v>0</v>
      </c>
      <c r="N2034" s="364">
        <v>0</v>
      </c>
      <c r="O2034" s="364">
        <v>0</v>
      </c>
      <c r="P2034" s="364">
        <v>0</v>
      </c>
      <c r="Q2034" s="1475">
        <f>L2034*$H2034</f>
        <v>0</v>
      </c>
      <c r="R2034" s="1475">
        <f>M2034*$H2034</f>
        <v>0</v>
      </c>
      <c r="S2034" s="1475">
        <f>N2034*$H2034</f>
        <v>0</v>
      </c>
      <c r="T2034" s="1475">
        <f>O2034*$H2034</f>
        <v>0</v>
      </c>
      <c r="U2034" s="1475">
        <f>P2034*$H2034</f>
        <v>0</v>
      </c>
      <c r="V2034" s="1475">
        <f t="shared" si="1000"/>
        <v>0</v>
      </c>
    </row>
    <row r="2035" spans="1:22" s="39" customFormat="1" ht="24" customHeight="1">
      <c r="A2035" s="1860">
        <v>2</v>
      </c>
      <c r="B2035" s="1860"/>
      <c r="C2035" s="1860"/>
      <c r="D2035" s="1860"/>
      <c r="E2035" s="1839"/>
      <c r="F2035" s="1841"/>
      <c r="G2035" s="1643"/>
      <c r="H2035" s="1599"/>
      <c r="I2035" s="1615"/>
      <c r="J2035" s="40" t="s">
        <v>82</v>
      </c>
      <c r="K2035" s="91"/>
      <c r="L2035" s="364">
        <v>0</v>
      </c>
      <c r="M2035" s="364">
        <v>0</v>
      </c>
      <c r="N2035" s="364">
        <v>2</v>
      </c>
      <c r="O2035" s="364">
        <v>0</v>
      </c>
      <c r="P2035" s="364">
        <v>0</v>
      </c>
      <c r="Q2035" s="1475">
        <f>L2035*$H2034</f>
        <v>0</v>
      </c>
      <c r="R2035" s="1475">
        <f>M2035*$H2034</f>
        <v>0</v>
      </c>
      <c r="S2035" s="1475">
        <f>N2035*$H2034</f>
        <v>33894</v>
      </c>
      <c r="T2035" s="1475">
        <f>O2035*$H2034</f>
        <v>0</v>
      </c>
      <c r="U2035" s="1475">
        <f>P2035*$H2034</f>
        <v>0</v>
      </c>
      <c r="V2035" s="1475">
        <f t="shared" si="1000"/>
        <v>33894</v>
      </c>
    </row>
    <row r="2036" spans="1:22" s="39" customFormat="1" ht="24" customHeight="1">
      <c r="A2036" s="1860">
        <v>2</v>
      </c>
      <c r="B2036" s="1860"/>
      <c r="C2036" s="1860"/>
      <c r="D2036" s="1860"/>
      <c r="E2036" s="1839"/>
      <c r="F2036" s="1841"/>
      <c r="G2036" s="1643"/>
      <c r="H2036" s="1599"/>
      <c r="I2036" s="1615"/>
      <c r="J2036" s="40" t="s">
        <v>90</v>
      </c>
      <c r="K2036" s="91"/>
      <c r="L2036" s="364">
        <v>0</v>
      </c>
      <c r="M2036" s="364">
        <v>0</v>
      </c>
      <c r="N2036" s="364">
        <v>0</v>
      </c>
      <c r="O2036" s="364">
        <v>0</v>
      </c>
      <c r="P2036" s="364">
        <v>0</v>
      </c>
      <c r="Q2036" s="1475">
        <f>L2036*$H2034</f>
        <v>0</v>
      </c>
      <c r="R2036" s="1475">
        <f>M2036*$H2034</f>
        <v>0</v>
      </c>
      <c r="S2036" s="1475">
        <f>N2036*$H2034</f>
        <v>0</v>
      </c>
      <c r="T2036" s="1475">
        <f>O2036*$H2034</f>
        <v>0</v>
      </c>
      <c r="U2036" s="1475">
        <f>P2036*$H2034</f>
        <v>0</v>
      </c>
      <c r="V2036" s="1475">
        <f t="shared" si="1000"/>
        <v>0</v>
      </c>
    </row>
    <row r="2037" spans="1:22" s="39" customFormat="1" ht="24" customHeight="1">
      <c r="A2037" s="1860">
        <v>2</v>
      </c>
      <c r="B2037" s="1860"/>
      <c r="C2037" s="1860"/>
      <c r="D2037" s="1860"/>
      <c r="E2037" s="1839"/>
      <c r="F2037" s="1841"/>
      <c r="G2037" s="1643"/>
      <c r="H2037" s="1599"/>
      <c r="I2037" s="1615"/>
      <c r="J2037" s="40" t="s">
        <v>83</v>
      </c>
      <c r="K2037" s="91"/>
      <c r="L2037" s="364">
        <v>0</v>
      </c>
      <c r="M2037" s="364">
        <v>0</v>
      </c>
      <c r="N2037" s="364">
        <v>0</v>
      </c>
      <c r="O2037" s="364">
        <v>0</v>
      </c>
      <c r="P2037" s="364">
        <v>0</v>
      </c>
      <c r="Q2037" s="1475">
        <f>L2037*$H2034</f>
        <v>0</v>
      </c>
      <c r="R2037" s="1475">
        <f>M2037*$H2034</f>
        <v>0</v>
      </c>
      <c r="S2037" s="1475">
        <f>N2037*$H2034</f>
        <v>0</v>
      </c>
      <c r="T2037" s="1475">
        <f>O2037*$H2034</f>
        <v>0</v>
      </c>
      <c r="U2037" s="1475">
        <f>P2037*$H2034</f>
        <v>0</v>
      </c>
      <c r="V2037" s="1475">
        <f t="shared" si="1000"/>
        <v>0</v>
      </c>
    </row>
    <row r="2038" spans="1:22" s="39" customFormat="1" ht="24" customHeight="1">
      <c r="A2038" s="1860">
        <v>2</v>
      </c>
      <c r="B2038" s="1860"/>
      <c r="C2038" s="1860"/>
      <c r="D2038" s="1860"/>
      <c r="E2038" s="1839"/>
      <c r="F2038" s="1841"/>
      <c r="G2038" s="1644"/>
      <c r="H2038" s="1600"/>
      <c r="I2038" s="1617"/>
      <c r="J2038" s="40" t="s">
        <v>84</v>
      </c>
      <c r="K2038" s="91"/>
      <c r="L2038" s="364">
        <f>L2029-L2030</f>
        <v>0</v>
      </c>
      <c r="M2038" s="364">
        <f t="shared" ref="M2038:U2038" si="1002">M2029-M2030</f>
        <v>0</v>
      </c>
      <c r="N2038" s="364">
        <f t="shared" si="1002"/>
        <v>0</v>
      </c>
      <c r="O2038" s="364">
        <f t="shared" si="1002"/>
        <v>0</v>
      </c>
      <c r="P2038" s="364">
        <f t="shared" si="1002"/>
        <v>0</v>
      </c>
      <c r="Q2038" s="1475">
        <f t="shared" si="1002"/>
        <v>0</v>
      </c>
      <c r="R2038" s="1475">
        <f t="shared" si="1002"/>
        <v>0</v>
      </c>
      <c r="S2038" s="1475">
        <f t="shared" si="1002"/>
        <v>0</v>
      </c>
      <c r="T2038" s="1475">
        <f t="shared" si="1002"/>
        <v>0</v>
      </c>
      <c r="U2038" s="1475">
        <f t="shared" si="1002"/>
        <v>0</v>
      </c>
      <c r="V2038" s="1475">
        <f t="shared" si="1000"/>
        <v>0</v>
      </c>
    </row>
    <row r="2039" spans="1:22" s="39" customFormat="1" ht="24" customHeight="1" thickBot="1">
      <c r="A2039" s="75">
        <v>3</v>
      </c>
      <c r="B2039" s="75">
        <v>4</v>
      </c>
      <c r="C2039" s="75">
        <v>2</v>
      </c>
      <c r="D2039" s="75"/>
      <c r="E2039" s="74" t="s">
        <v>13</v>
      </c>
      <c r="F2039" s="71" t="str">
        <f>CONCATENATE(A2039,".",B2039,".",C2039,)</f>
        <v>3.4.2</v>
      </c>
      <c r="G2039" s="1605" t="s">
        <v>233</v>
      </c>
      <c r="H2039" s="1606"/>
      <c r="I2039" s="1606"/>
      <c r="J2039" s="1607"/>
      <c r="K2039" s="66"/>
      <c r="L2039" s="382"/>
      <c r="M2039" s="382"/>
      <c r="N2039" s="382"/>
      <c r="O2039" s="382"/>
      <c r="P2039" s="382"/>
      <c r="Q2039" s="1521">
        <f>Q2041+Q2051+Q2061</f>
        <v>0</v>
      </c>
      <c r="R2039" s="1521">
        <f t="shared" ref="R2039:U2039" si="1003">R2041+R2051+R2061</f>
        <v>1935953.1580000001</v>
      </c>
      <c r="S2039" s="1521">
        <f t="shared" si="1003"/>
        <v>80000</v>
      </c>
      <c r="T2039" s="1521">
        <f t="shared" si="1003"/>
        <v>0</v>
      </c>
      <c r="U2039" s="1521">
        <f t="shared" si="1003"/>
        <v>0</v>
      </c>
      <c r="V2039" s="1521">
        <f t="shared" ref="V2039:V2049" si="1004">SUM(Q2039:U2039)</f>
        <v>2015953.1580000001</v>
      </c>
    </row>
    <row r="2040" spans="1:22" s="39" customFormat="1" ht="24" customHeight="1">
      <c r="A2040" s="1860">
        <v>3</v>
      </c>
      <c r="B2040" s="1860">
        <v>4</v>
      </c>
      <c r="C2040" s="1860">
        <v>2</v>
      </c>
      <c r="D2040" s="1860">
        <v>1</v>
      </c>
      <c r="E2040" s="1839" t="s">
        <v>15</v>
      </c>
      <c r="F2040" s="1841" t="str">
        <f>CONCATENATE(A2040,".",B2040,".",C2040,".",D2040,)</f>
        <v>3.4.2.1</v>
      </c>
      <c r="G2040" s="1624" t="s">
        <v>234</v>
      </c>
      <c r="H2040" s="1601" t="s">
        <v>195</v>
      </c>
      <c r="I2040" s="1614" t="s">
        <v>682</v>
      </c>
      <c r="J2040" s="36" t="s">
        <v>79</v>
      </c>
      <c r="K2040" s="896"/>
      <c r="L2040" s="383">
        <v>0</v>
      </c>
      <c r="M2040" s="383">
        <v>0</v>
      </c>
      <c r="N2040" s="383">
        <v>40</v>
      </c>
      <c r="O2040" s="383">
        <v>0</v>
      </c>
      <c r="P2040" s="383">
        <v>0</v>
      </c>
      <c r="Q2040" s="1475">
        <f>L2040*H2045</f>
        <v>0</v>
      </c>
      <c r="R2040" s="1475">
        <f>M2040*H2045</f>
        <v>0</v>
      </c>
      <c r="S2040" s="1475">
        <f>N2040*H2045</f>
        <v>80000</v>
      </c>
      <c r="T2040" s="1475">
        <f>O2040*H2045</f>
        <v>0</v>
      </c>
      <c r="U2040" s="1475">
        <f>P2040*H2045</f>
        <v>0</v>
      </c>
      <c r="V2040" s="1475">
        <f t="shared" si="1004"/>
        <v>80000</v>
      </c>
    </row>
    <row r="2041" spans="1:22" s="39" customFormat="1" ht="24" customHeight="1">
      <c r="A2041" s="1860">
        <v>3</v>
      </c>
      <c r="B2041" s="1860"/>
      <c r="C2041" s="1860"/>
      <c r="D2041" s="1860"/>
      <c r="E2041" s="1839"/>
      <c r="F2041" s="1841"/>
      <c r="G2041" s="1562"/>
      <c r="H2041" s="1601"/>
      <c r="I2041" s="1615"/>
      <c r="J2041" s="40" t="s">
        <v>80</v>
      </c>
      <c r="K2041" s="91"/>
      <c r="L2041" s="364">
        <f t="shared" ref="L2041" si="1005">SUM(L2042:L2048)</f>
        <v>0</v>
      </c>
      <c r="M2041" s="364">
        <f t="shared" ref="M2041" si="1006">SUM(M2042:M2048)</f>
        <v>0</v>
      </c>
      <c r="N2041" s="364">
        <f t="shared" ref="N2041" si="1007">SUM(N2042:N2048)</f>
        <v>40</v>
      </c>
      <c r="O2041" s="364">
        <f t="shared" ref="O2041" si="1008">SUM(O2042:O2048)</f>
        <v>0</v>
      </c>
      <c r="P2041" s="364">
        <f t="shared" ref="P2041" si="1009">SUM(P2042:P2048)</f>
        <v>0</v>
      </c>
      <c r="Q2041" s="1475">
        <f t="shared" ref="Q2041" si="1010">SUM(Q2042:Q2048)</f>
        <v>0</v>
      </c>
      <c r="R2041" s="1475">
        <f t="shared" ref="R2041" si="1011">SUM(R2042:R2048)</f>
        <v>0</v>
      </c>
      <c r="S2041" s="1475">
        <f t="shared" ref="S2041" si="1012">SUM(S2042:S2048)</f>
        <v>80000</v>
      </c>
      <c r="T2041" s="1475">
        <f t="shared" ref="T2041" si="1013">SUM(T2042:T2048)</f>
        <v>0</v>
      </c>
      <c r="U2041" s="1475">
        <f t="shared" ref="U2041" si="1014">SUM(U2042:U2048)</f>
        <v>0</v>
      </c>
      <c r="V2041" s="1475">
        <f t="shared" si="1004"/>
        <v>80000</v>
      </c>
    </row>
    <row r="2042" spans="1:22" s="39" customFormat="1" ht="24" customHeight="1">
      <c r="A2042" s="1860">
        <v>3</v>
      </c>
      <c r="B2042" s="1860"/>
      <c r="C2042" s="1860"/>
      <c r="D2042" s="1860"/>
      <c r="E2042" s="1839"/>
      <c r="F2042" s="1841"/>
      <c r="G2042" s="1562"/>
      <c r="H2042" s="1601"/>
      <c r="I2042" s="1615"/>
      <c r="J2042" s="40" t="s">
        <v>429</v>
      </c>
      <c r="K2042" s="91"/>
      <c r="L2042" s="364">
        <v>0</v>
      </c>
      <c r="M2042" s="364">
        <v>0</v>
      </c>
      <c r="N2042" s="364">
        <v>0</v>
      </c>
      <c r="O2042" s="364">
        <v>0</v>
      </c>
      <c r="P2042" s="364">
        <v>0</v>
      </c>
      <c r="Q2042" s="1475">
        <f>L2042*$H2045</f>
        <v>0</v>
      </c>
      <c r="R2042" s="1475">
        <f>M2042*$H2045</f>
        <v>0</v>
      </c>
      <c r="S2042" s="1475">
        <f>N2042*$H2045</f>
        <v>0</v>
      </c>
      <c r="T2042" s="1475">
        <f>O2042*$H2045</f>
        <v>0</v>
      </c>
      <c r="U2042" s="1475">
        <f>P2042*$H2045</f>
        <v>0</v>
      </c>
      <c r="V2042" s="1475">
        <f t="shared" si="1004"/>
        <v>0</v>
      </c>
    </row>
    <row r="2043" spans="1:22" s="39" customFormat="1" ht="24" customHeight="1">
      <c r="A2043" s="1860">
        <v>3</v>
      </c>
      <c r="B2043" s="1860"/>
      <c r="C2043" s="1860"/>
      <c r="D2043" s="1860"/>
      <c r="E2043" s="1839"/>
      <c r="F2043" s="1841"/>
      <c r="G2043" s="1562"/>
      <c r="H2043" s="1601"/>
      <c r="I2043" s="1615"/>
      <c r="J2043" s="40" t="s">
        <v>133</v>
      </c>
      <c r="K2043" s="91"/>
      <c r="L2043" s="364">
        <v>0</v>
      </c>
      <c r="M2043" s="364">
        <v>0</v>
      </c>
      <c r="N2043" s="364">
        <v>0</v>
      </c>
      <c r="O2043" s="364">
        <v>0</v>
      </c>
      <c r="P2043" s="364">
        <v>0</v>
      </c>
      <c r="Q2043" s="1475">
        <f>L2043*$H2045</f>
        <v>0</v>
      </c>
      <c r="R2043" s="1475">
        <f>M2043*$H2045</f>
        <v>0</v>
      </c>
      <c r="S2043" s="1475">
        <f>N2043*$H2045</f>
        <v>0</v>
      </c>
      <c r="T2043" s="1475">
        <f>O2043*$H2045</f>
        <v>0</v>
      </c>
      <c r="U2043" s="1475">
        <f>P2043*$H2045</f>
        <v>0</v>
      </c>
      <c r="V2043" s="1475">
        <f t="shared" si="1004"/>
        <v>0</v>
      </c>
    </row>
    <row r="2044" spans="1:22" s="39" customFormat="1" ht="24" customHeight="1">
      <c r="A2044" s="1860">
        <v>3</v>
      </c>
      <c r="B2044" s="1860"/>
      <c r="C2044" s="1860"/>
      <c r="D2044" s="1860"/>
      <c r="E2044" s="1839"/>
      <c r="F2044" s="1841"/>
      <c r="G2044" s="1562"/>
      <c r="H2044" s="1601"/>
      <c r="I2044" s="1615"/>
      <c r="J2044" s="40" t="s">
        <v>81</v>
      </c>
      <c r="K2044" s="91"/>
      <c r="L2044" s="364">
        <v>0</v>
      </c>
      <c r="M2044" s="364">
        <v>0</v>
      </c>
      <c r="N2044" s="364">
        <v>0</v>
      </c>
      <c r="O2044" s="364">
        <v>0</v>
      </c>
      <c r="P2044" s="364">
        <v>0</v>
      </c>
      <c r="Q2044" s="1475">
        <f>L2044*$H2045</f>
        <v>0</v>
      </c>
      <c r="R2044" s="1475">
        <f>M2044*$H2045</f>
        <v>0</v>
      </c>
      <c r="S2044" s="1475">
        <f>N2044*$H2045</f>
        <v>0</v>
      </c>
      <c r="T2044" s="1475">
        <f>O2044*$H2045</f>
        <v>0</v>
      </c>
      <c r="U2044" s="1475">
        <f>P2044*$H2045</f>
        <v>0</v>
      </c>
      <c r="V2044" s="1475">
        <f t="shared" si="1004"/>
        <v>0</v>
      </c>
    </row>
    <row r="2045" spans="1:22" s="39" customFormat="1" ht="24" customHeight="1">
      <c r="A2045" s="1860">
        <v>3</v>
      </c>
      <c r="B2045" s="1860"/>
      <c r="C2045" s="1860"/>
      <c r="D2045" s="1860"/>
      <c r="E2045" s="1839"/>
      <c r="F2045" s="1841"/>
      <c r="G2045" s="1562"/>
      <c r="H2045" s="1598">
        <f>'Budget assumption'!$C$4</f>
        <v>2000</v>
      </c>
      <c r="I2045" s="1615"/>
      <c r="J2045" s="40" t="s">
        <v>134</v>
      </c>
      <c r="K2045" s="91"/>
      <c r="L2045" s="364">
        <v>0</v>
      </c>
      <c r="M2045" s="364">
        <v>0</v>
      </c>
      <c r="N2045" s="364">
        <v>0</v>
      </c>
      <c r="O2045" s="364">
        <v>0</v>
      </c>
      <c r="P2045" s="364">
        <v>0</v>
      </c>
      <c r="Q2045" s="1475">
        <f>L2045*$H2045</f>
        <v>0</v>
      </c>
      <c r="R2045" s="1475">
        <f>M2045*$H2045</f>
        <v>0</v>
      </c>
      <c r="S2045" s="1475">
        <f>N2045*$H2045</f>
        <v>0</v>
      </c>
      <c r="T2045" s="1475">
        <f>O2045*$H2045</f>
        <v>0</v>
      </c>
      <c r="U2045" s="1475">
        <f>P2045*$H2045</f>
        <v>0</v>
      </c>
      <c r="V2045" s="1475">
        <f t="shared" si="1004"/>
        <v>0</v>
      </c>
    </row>
    <row r="2046" spans="1:22" s="39" customFormat="1" ht="24" customHeight="1">
      <c r="A2046" s="1860">
        <v>3</v>
      </c>
      <c r="B2046" s="1860"/>
      <c r="C2046" s="1860"/>
      <c r="D2046" s="1860"/>
      <c r="E2046" s="1839"/>
      <c r="F2046" s="1841"/>
      <c r="G2046" s="1562"/>
      <c r="H2046" s="1599"/>
      <c r="I2046" s="1615"/>
      <c r="J2046" s="40" t="s">
        <v>82</v>
      </c>
      <c r="K2046" s="91"/>
      <c r="L2046" s="364">
        <v>0</v>
      </c>
      <c r="M2046" s="364">
        <v>0</v>
      </c>
      <c r="N2046" s="364">
        <v>40</v>
      </c>
      <c r="O2046" s="364">
        <v>0</v>
      </c>
      <c r="P2046" s="364">
        <v>0</v>
      </c>
      <c r="Q2046" s="1475">
        <f>L2046*$H2045</f>
        <v>0</v>
      </c>
      <c r="R2046" s="1475">
        <f>M2046*$H2045</f>
        <v>0</v>
      </c>
      <c r="S2046" s="1475">
        <f>N2046*$H2045</f>
        <v>80000</v>
      </c>
      <c r="T2046" s="1475">
        <f>O2046*$H2045</f>
        <v>0</v>
      </c>
      <c r="U2046" s="1475">
        <f>P2046*$H2045</f>
        <v>0</v>
      </c>
      <c r="V2046" s="1475">
        <f t="shared" si="1004"/>
        <v>80000</v>
      </c>
    </row>
    <row r="2047" spans="1:22" s="39" customFormat="1" ht="24" customHeight="1">
      <c r="A2047" s="1860">
        <v>3</v>
      </c>
      <c r="B2047" s="1860"/>
      <c r="C2047" s="1860"/>
      <c r="D2047" s="1860"/>
      <c r="E2047" s="1839"/>
      <c r="F2047" s="1841"/>
      <c r="G2047" s="1562"/>
      <c r="H2047" s="1599"/>
      <c r="I2047" s="1615"/>
      <c r="J2047" s="40" t="s">
        <v>90</v>
      </c>
      <c r="K2047" s="91"/>
      <c r="L2047" s="364">
        <v>0</v>
      </c>
      <c r="M2047" s="364">
        <v>0</v>
      </c>
      <c r="N2047" s="364">
        <v>0</v>
      </c>
      <c r="O2047" s="364">
        <v>0</v>
      </c>
      <c r="P2047" s="364">
        <v>0</v>
      </c>
      <c r="Q2047" s="1475">
        <f>L2047*$H2045</f>
        <v>0</v>
      </c>
      <c r="R2047" s="1475">
        <f>M2047*$H2045</f>
        <v>0</v>
      </c>
      <c r="S2047" s="1475">
        <f>N2047*$H2045</f>
        <v>0</v>
      </c>
      <c r="T2047" s="1475">
        <f>O2047*$H2045</f>
        <v>0</v>
      </c>
      <c r="U2047" s="1475">
        <f>P2047*$H2045</f>
        <v>0</v>
      </c>
      <c r="V2047" s="1475">
        <f t="shared" si="1004"/>
        <v>0</v>
      </c>
    </row>
    <row r="2048" spans="1:22" s="39" customFormat="1" ht="24" customHeight="1">
      <c r="A2048" s="1860">
        <v>3</v>
      </c>
      <c r="B2048" s="1860"/>
      <c r="C2048" s="1860"/>
      <c r="D2048" s="1860"/>
      <c r="E2048" s="1839"/>
      <c r="F2048" s="1841"/>
      <c r="G2048" s="1562"/>
      <c r="H2048" s="1599"/>
      <c r="I2048" s="1615"/>
      <c r="J2048" s="40" t="s">
        <v>83</v>
      </c>
      <c r="K2048" s="91"/>
      <c r="L2048" s="364">
        <v>0</v>
      </c>
      <c r="M2048" s="364">
        <v>0</v>
      </c>
      <c r="N2048" s="364">
        <v>0</v>
      </c>
      <c r="O2048" s="364">
        <v>0</v>
      </c>
      <c r="P2048" s="364">
        <v>0</v>
      </c>
      <c r="Q2048" s="1475">
        <f>L2048*$H2045</f>
        <v>0</v>
      </c>
      <c r="R2048" s="1475">
        <f>M2048*$H2045</f>
        <v>0</v>
      </c>
      <c r="S2048" s="1475">
        <f>N2048*$H2045</f>
        <v>0</v>
      </c>
      <c r="T2048" s="1475">
        <f>O2048*$H2045</f>
        <v>0</v>
      </c>
      <c r="U2048" s="1475">
        <f>P2048*$H2045</f>
        <v>0</v>
      </c>
      <c r="V2048" s="1475">
        <f t="shared" si="1004"/>
        <v>0</v>
      </c>
    </row>
    <row r="2049" spans="1:22" s="39" customFormat="1" ht="24" customHeight="1">
      <c r="A2049" s="1860">
        <v>3</v>
      </c>
      <c r="B2049" s="1860"/>
      <c r="C2049" s="1860"/>
      <c r="D2049" s="1860"/>
      <c r="E2049" s="1839"/>
      <c r="F2049" s="1841"/>
      <c r="G2049" s="1563"/>
      <c r="H2049" s="1600"/>
      <c r="I2049" s="1617"/>
      <c r="J2049" s="40" t="s">
        <v>84</v>
      </c>
      <c r="K2049" s="91"/>
      <c r="L2049" s="364">
        <f>L2040-L2041</f>
        <v>0</v>
      </c>
      <c r="M2049" s="364">
        <f t="shared" ref="M2049:U2049" si="1015">M2040-M2041</f>
        <v>0</v>
      </c>
      <c r="N2049" s="364">
        <f t="shared" si="1015"/>
        <v>0</v>
      </c>
      <c r="O2049" s="364">
        <f t="shared" si="1015"/>
        <v>0</v>
      </c>
      <c r="P2049" s="364">
        <f t="shared" si="1015"/>
        <v>0</v>
      </c>
      <c r="Q2049" s="1475">
        <f t="shared" si="1015"/>
        <v>0</v>
      </c>
      <c r="R2049" s="1475">
        <f t="shared" si="1015"/>
        <v>0</v>
      </c>
      <c r="S2049" s="1475">
        <f t="shared" si="1015"/>
        <v>0</v>
      </c>
      <c r="T2049" s="1475">
        <f t="shared" si="1015"/>
        <v>0</v>
      </c>
      <c r="U2049" s="1475">
        <f t="shared" si="1015"/>
        <v>0</v>
      </c>
      <c r="V2049" s="1475">
        <f t="shared" si="1004"/>
        <v>0</v>
      </c>
    </row>
    <row r="2050" spans="1:22" s="39" customFormat="1" ht="24" customHeight="1">
      <c r="A2050" s="1860">
        <v>3</v>
      </c>
      <c r="B2050" s="1860">
        <v>4</v>
      </c>
      <c r="C2050" s="1860">
        <v>2</v>
      </c>
      <c r="D2050" s="1860">
        <v>2</v>
      </c>
      <c r="E2050" s="1839" t="s">
        <v>15</v>
      </c>
      <c r="F2050" s="1841" t="str">
        <f>CONCATENATE(A2050,".",B2050,".",C2050,".",D2050,)</f>
        <v>3.4.2.2</v>
      </c>
      <c r="G2050" s="1642" t="s">
        <v>235</v>
      </c>
      <c r="H2050" s="1601" t="s">
        <v>144</v>
      </c>
      <c r="I2050" s="1614" t="s">
        <v>683</v>
      </c>
      <c r="J2050" s="36" t="s">
        <v>79</v>
      </c>
      <c r="K2050" s="896"/>
      <c r="L2050" s="383">
        <v>0</v>
      </c>
      <c r="M2050" s="383">
        <v>1</v>
      </c>
      <c r="N2050" s="383">
        <v>0</v>
      </c>
      <c r="O2050" s="383">
        <v>0</v>
      </c>
      <c r="P2050" s="383">
        <v>0</v>
      </c>
      <c r="Q2050" s="1475">
        <f>L2050*H2055</f>
        <v>0</v>
      </c>
      <c r="R2050" s="1475">
        <f>M2050*H2055</f>
        <v>289903.158</v>
      </c>
      <c r="S2050" s="1475">
        <f>N2050*H2055</f>
        <v>0</v>
      </c>
      <c r="T2050" s="1475">
        <f>O2050*H2055</f>
        <v>0</v>
      </c>
      <c r="U2050" s="1475">
        <f>P2050*H2055</f>
        <v>0</v>
      </c>
      <c r="V2050" s="1475">
        <f t="shared" ref="V2050:V2069" si="1016">SUM(Q2050:U2050)</f>
        <v>289903.158</v>
      </c>
    </row>
    <row r="2051" spans="1:22" s="39" customFormat="1" ht="24" customHeight="1">
      <c r="A2051" s="1860">
        <v>2</v>
      </c>
      <c r="B2051" s="1860"/>
      <c r="C2051" s="1860"/>
      <c r="D2051" s="1860"/>
      <c r="E2051" s="1839"/>
      <c r="F2051" s="1841"/>
      <c r="G2051" s="1643"/>
      <c r="H2051" s="1601"/>
      <c r="I2051" s="1615"/>
      <c r="J2051" s="40" t="s">
        <v>80</v>
      </c>
      <c r="K2051" s="91"/>
      <c r="L2051" s="364">
        <f t="shared" ref="L2051" si="1017">SUM(L2052:L2058)</f>
        <v>0</v>
      </c>
      <c r="M2051" s="364">
        <f t="shared" ref="M2051:P2051" si="1018">SUM(M2052:M2058)</f>
        <v>1</v>
      </c>
      <c r="N2051" s="364">
        <f t="shared" si="1018"/>
        <v>0</v>
      </c>
      <c r="O2051" s="364">
        <f t="shared" si="1018"/>
        <v>0</v>
      </c>
      <c r="P2051" s="364">
        <f t="shared" si="1018"/>
        <v>0</v>
      </c>
      <c r="Q2051" s="1475">
        <f t="shared" ref="Q2051:U2051" si="1019">SUM(Q2052:Q2058)</f>
        <v>0</v>
      </c>
      <c r="R2051" s="1475">
        <f t="shared" si="1019"/>
        <v>289903.158</v>
      </c>
      <c r="S2051" s="1475">
        <f t="shared" si="1019"/>
        <v>0</v>
      </c>
      <c r="T2051" s="1475">
        <f t="shared" si="1019"/>
        <v>0</v>
      </c>
      <c r="U2051" s="1475">
        <f t="shared" si="1019"/>
        <v>0</v>
      </c>
      <c r="V2051" s="1475">
        <f t="shared" si="1016"/>
        <v>289903.158</v>
      </c>
    </row>
    <row r="2052" spans="1:22" s="39" customFormat="1" ht="24" customHeight="1">
      <c r="A2052" s="1860">
        <v>2</v>
      </c>
      <c r="B2052" s="1860"/>
      <c r="C2052" s="1860"/>
      <c r="D2052" s="1860"/>
      <c r="E2052" s="1839"/>
      <c r="F2052" s="1841"/>
      <c r="G2052" s="1643"/>
      <c r="H2052" s="1601"/>
      <c r="I2052" s="1615"/>
      <c r="J2052" s="40" t="s">
        <v>429</v>
      </c>
      <c r="K2052" s="91"/>
      <c r="L2052" s="364">
        <v>0</v>
      </c>
      <c r="M2052" s="364">
        <v>0</v>
      </c>
      <c r="N2052" s="364">
        <v>0</v>
      </c>
      <c r="O2052" s="364">
        <v>0</v>
      </c>
      <c r="P2052" s="364">
        <v>0</v>
      </c>
      <c r="Q2052" s="1475">
        <f>L2052*$H2055</f>
        <v>0</v>
      </c>
      <c r="R2052" s="1475">
        <f>M2052*$H2055</f>
        <v>0</v>
      </c>
      <c r="S2052" s="1475">
        <f>N2052*$H2055</f>
        <v>0</v>
      </c>
      <c r="T2052" s="1475">
        <f>O2052*$H2055</f>
        <v>0</v>
      </c>
      <c r="U2052" s="1475">
        <f>P2052*$H2055</f>
        <v>0</v>
      </c>
      <c r="V2052" s="1475">
        <f t="shared" si="1016"/>
        <v>0</v>
      </c>
    </row>
    <row r="2053" spans="1:22" s="39" customFormat="1" ht="24" customHeight="1">
      <c r="A2053" s="1860">
        <v>2</v>
      </c>
      <c r="B2053" s="1860"/>
      <c r="C2053" s="1860"/>
      <c r="D2053" s="1860"/>
      <c r="E2053" s="1839"/>
      <c r="F2053" s="1841"/>
      <c r="G2053" s="1643"/>
      <c r="H2053" s="1601"/>
      <c r="I2053" s="1615"/>
      <c r="J2053" s="40" t="s">
        <v>133</v>
      </c>
      <c r="K2053" s="91"/>
      <c r="L2053" s="364">
        <v>0</v>
      </c>
      <c r="M2053" s="364">
        <v>0</v>
      </c>
      <c r="N2053" s="364">
        <v>0</v>
      </c>
      <c r="O2053" s="364">
        <v>0</v>
      </c>
      <c r="P2053" s="364">
        <v>0</v>
      </c>
      <c r="Q2053" s="1475">
        <f>L2053*$H2055</f>
        <v>0</v>
      </c>
      <c r="R2053" s="1475">
        <f>M2053*$H2055</f>
        <v>0</v>
      </c>
      <c r="S2053" s="1475">
        <f>N2053*$H2055</f>
        <v>0</v>
      </c>
      <c r="T2053" s="1475">
        <f>O2053*$H2055</f>
        <v>0</v>
      </c>
      <c r="U2053" s="1475">
        <f>P2053*$H2055</f>
        <v>0</v>
      </c>
      <c r="V2053" s="1475">
        <f t="shared" si="1016"/>
        <v>0</v>
      </c>
    </row>
    <row r="2054" spans="1:22" s="39" customFormat="1" ht="24" customHeight="1">
      <c r="A2054" s="1860">
        <v>2</v>
      </c>
      <c r="B2054" s="1860"/>
      <c r="C2054" s="1860"/>
      <c r="D2054" s="1860"/>
      <c r="E2054" s="1839"/>
      <c r="F2054" s="1841"/>
      <c r="G2054" s="1643"/>
      <c r="H2054" s="1601"/>
      <c r="I2054" s="1615"/>
      <c r="J2054" s="40" t="s">
        <v>81</v>
      </c>
      <c r="K2054" s="91"/>
      <c r="L2054" s="364">
        <v>0</v>
      </c>
      <c r="M2054" s="364">
        <v>0</v>
      </c>
      <c r="N2054" s="364">
        <v>0</v>
      </c>
      <c r="O2054" s="364">
        <v>0</v>
      </c>
      <c r="P2054" s="364">
        <v>0</v>
      </c>
      <c r="Q2054" s="1475">
        <f>L2054*$H2055</f>
        <v>0</v>
      </c>
      <c r="R2054" s="1475">
        <f>M2054*$H2055</f>
        <v>0</v>
      </c>
      <c r="S2054" s="1475">
        <f>N2054*$H2055</f>
        <v>0</v>
      </c>
      <c r="T2054" s="1475">
        <f>O2054*$H2055</f>
        <v>0</v>
      </c>
      <c r="U2054" s="1475">
        <f>P2054*$H2055</f>
        <v>0</v>
      </c>
      <c r="V2054" s="1475">
        <f t="shared" si="1016"/>
        <v>0</v>
      </c>
    </row>
    <row r="2055" spans="1:22" s="39" customFormat="1" ht="24" customHeight="1">
      <c r="A2055" s="1860">
        <v>2</v>
      </c>
      <c r="B2055" s="1860"/>
      <c r="C2055" s="1860"/>
      <c r="D2055" s="1860"/>
      <c r="E2055" s="1839"/>
      <c r="F2055" s="1841"/>
      <c r="G2055" s="1643"/>
      <c r="H2055" s="1598">
        <f>'Budget assumption'!F414</f>
        <v>289903.158</v>
      </c>
      <c r="I2055" s="1615"/>
      <c r="J2055" s="40" t="s">
        <v>134</v>
      </c>
      <c r="K2055" s="91"/>
      <c r="L2055" s="364">
        <v>0</v>
      </c>
      <c r="M2055" s="364">
        <v>0</v>
      </c>
      <c r="N2055" s="364">
        <v>0</v>
      </c>
      <c r="O2055" s="364">
        <v>0</v>
      </c>
      <c r="P2055" s="364">
        <v>0</v>
      </c>
      <c r="Q2055" s="1475">
        <f>L2055*$H2055</f>
        <v>0</v>
      </c>
      <c r="R2055" s="1475">
        <f>M2055*$H2055</f>
        <v>0</v>
      </c>
      <c r="S2055" s="1475">
        <f>N2055*$H2055</f>
        <v>0</v>
      </c>
      <c r="T2055" s="1475">
        <f>O2055*$H2055</f>
        <v>0</v>
      </c>
      <c r="U2055" s="1475">
        <f>P2055*$H2055</f>
        <v>0</v>
      </c>
      <c r="V2055" s="1475">
        <f t="shared" si="1016"/>
        <v>0</v>
      </c>
    </row>
    <row r="2056" spans="1:22" s="39" customFormat="1" ht="24" customHeight="1">
      <c r="A2056" s="1860">
        <v>2</v>
      </c>
      <c r="B2056" s="1860"/>
      <c r="C2056" s="1860"/>
      <c r="D2056" s="1860"/>
      <c r="E2056" s="1839"/>
      <c r="F2056" s="1841"/>
      <c r="G2056" s="1643"/>
      <c r="H2056" s="1599"/>
      <c r="I2056" s="1615"/>
      <c r="J2056" s="40" t="s">
        <v>82</v>
      </c>
      <c r="K2056" s="91"/>
      <c r="L2056" s="364">
        <v>0</v>
      </c>
      <c r="M2056" s="364">
        <v>1</v>
      </c>
      <c r="N2056" s="364">
        <v>0</v>
      </c>
      <c r="O2056" s="364">
        <v>0</v>
      </c>
      <c r="P2056" s="364">
        <v>0</v>
      </c>
      <c r="Q2056" s="1475">
        <f>L2056*$H2055</f>
        <v>0</v>
      </c>
      <c r="R2056" s="1475">
        <f>M2056*$H2055</f>
        <v>289903.158</v>
      </c>
      <c r="S2056" s="1475">
        <f>N2056*$H2055</f>
        <v>0</v>
      </c>
      <c r="T2056" s="1475">
        <f>O2056*$H2055</f>
        <v>0</v>
      </c>
      <c r="U2056" s="1475">
        <f>P2056*$H2055</f>
        <v>0</v>
      </c>
      <c r="V2056" s="1475">
        <f t="shared" si="1016"/>
        <v>289903.158</v>
      </c>
    </row>
    <row r="2057" spans="1:22" s="39" customFormat="1" ht="24" customHeight="1">
      <c r="A2057" s="1860">
        <v>2</v>
      </c>
      <c r="B2057" s="1860"/>
      <c r="C2057" s="1860"/>
      <c r="D2057" s="1860"/>
      <c r="E2057" s="1839"/>
      <c r="F2057" s="1841"/>
      <c r="G2057" s="1643"/>
      <c r="H2057" s="1599"/>
      <c r="I2057" s="1615"/>
      <c r="J2057" s="40" t="s">
        <v>90</v>
      </c>
      <c r="K2057" s="91"/>
      <c r="L2057" s="364">
        <v>0</v>
      </c>
      <c r="M2057" s="364">
        <v>0</v>
      </c>
      <c r="N2057" s="364">
        <v>0</v>
      </c>
      <c r="O2057" s="364">
        <v>0</v>
      </c>
      <c r="P2057" s="364">
        <v>0</v>
      </c>
      <c r="Q2057" s="1475">
        <f>L2057*$H2055</f>
        <v>0</v>
      </c>
      <c r="R2057" s="1475">
        <f>M2057*$H2055</f>
        <v>0</v>
      </c>
      <c r="S2057" s="1475">
        <f>N2057*$H2055</f>
        <v>0</v>
      </c>
      <c r="T2057" s="1475">
        <f>O2057*$H2055</f>
        <v>0</v>
      </c>
      <c r="U2057" s="1475">
        <f>P2057*$H2055</f>
        <v>0</v>
      </c>
      <c r="V2057" s="1475">
        <f t="shared" si="1016"/>
        <v>0</v>
      </c>
    </row>
    <row r="2058" spans="1:22" s="39" customFormat="1" ht="24" customHeight="1">
      <c r="A2058" s="1860">
        <v>2</v>
      </c>
      <c r="B2058" s="1860"/>
      <c r="C2058" s="1860"/>
      <c r="D2058" s="1860"/>
      <c r="E2058" s="1839"/>
      <c r="F2058" s="1841"/>
      <c r="G2058" s="1643"/>
      <c r="H2058" s="1599"/>
      <c r="I2058" s="1615"/>
      <c r="J2058" s="40" t="s">
        <v>83</v>
      </c>
      <c r="K2058" s="91"/>
      <c r="L2058" s="364">
        <v>0</v>
      </c>
      <c r="M2058" s="364">
        <v>0</v>
      </c>
      <c r="N2058" s="364">
        <v>0</v>
      </c>
      <c r="O2058" s="364">
        <v>0</v>
      </c>
      <c r="P2058" s="364">
        <v>0</v>
      </c>
      <c r="Q2058" s="1475">
        <f>L2058*$H2055</f>
        <v>0</v>
      </c>
      <c r="R2058" s="1475">
        <f>M2058*$H2055</f>
        <v>0</v>
      </c>
      <c r="S2058" s="1475">
        <f>N2058*$H2055</f>
        <v>0</v>
      </c>
      <c r="T2058" s="1475">
        <f>O2058*$H2055</f>
        <v>0</v>
      </c>
      <c r="U2058" s="1475">
        <f>P2058*$H2055</f>
        <v>0</v>
      </c>
      <c r="V2058" s="1475">
        <f t="shared" si="1016"/>
        <v>0</v>
      </c>
    </row>
    <row r="2059" spans="1:22" s="39" customFormat="1" ht="24" customHeight="1">
      <c r="A2059" s="1860">
        <v>2</v>
      </c>
      <c r="B2059" s="1860"/>
      <c r="C2059" s="1860"/>
      <c r="D2059" s="1860"/>
      <c r="E2059" s="1839"/>
      <c r="F2059" s="1841"/>
      <c r="G2059" s="1644"/>
      <c r="H2059" s="1600"/>
      <c r="I2059" s="1617"/>
      <c r="J2059" s="40" t="s">
        <v>84</v>
      </c>
      <c r="K2059" s="91"/>
      <c r="L2059" s="364">
        <f>L2050-L2051</f>
        <v>0</v>
      </c>
      <c r="M2059" s="364">
        <f t="shared" ref="M2059:P2059" si="1020">M2050-M2051</f>
        <v>0</v>
      </c>
      <c r="N2059" s="364">
        <f t="shared" si="1020"/>
        <v>0</v>
      </c>
      <c r="O2059" s="364">
        <f t="shared" si="1020"/>
        <v>0</v>
      </c>
      <c r="P2059" s="364">
        <f t="shared" si="1020"/>
        <v>0</v>
      </c>
      <c r="Q2059" s="1475">
        <f t="shared" ref="Q2059:U2059" si="1021">Q2050-Q2051</f>
        <v>0</v>
      </c>
      <c r="R2059" s="1475">
        <f t="shared" si="1021"/>
        <v>0</v>
      </c>
      <c r="S2059" s="1475">
        <f t="shared" si="1021"/>
        <v>0</v>
      </c>
      <c r="T2059" s="1475">
        <f t="shared" si="1021"/>
        <v>0</v>
      </c>
      <c r="U2059" s="1475">
        <f t="shared" si="1021"/>
        <v>0</v>
      </c>
      <c r="V2059" s="1475">
        <f t="shared" si="1016"/>
        <v>0</v>
      </c>
    </row>
    <row r="2060" spans="1:22" s="39" customFormat="1" ht="24" customHeight="1">
      <c r="A2060" s="1860">
        <v>3</v>
      </c>
      <c r="B2060" s="1860">
        <v>4</v>
      </c>
      <c r="C2060" s="1860">
        <v>2</v>
      </c>
      <c r="D2060" s="1860">
        <v>3</v>
      </c>
      <c r="E2060" s="1839" t="s">
        <v>15</v>
      </c>
      <c r="F2060" s="1841" t="str">
        <f>CONCATENATE(A2060,".",B2060,".",C2060,".",D2060,)</f>
        <v>3.4.2.3</v>
      </c>
      <c r="G2060" s="1611" t="s">
        <v>236</v>
      </c>
      <c r="H2060" s="1601" t="s">
        <v>144</v>
      </c>
      <c r="I2060" s="1614" t="s">
        <v>692</v>
      </c>
      <c r="J2060" s="36" t="s">
        <v>79</v>
      </c>
      <c r="K2060" s="896"/>
      <c r="L2060" s="383">
        <v>0</v>
      </c>
      <c r="M2060" s="383">
        <v>0.5</v>
      </c>
      <c r="N2060" s="383">
        <v>0.5</v>
      </c>
      <c r="O2060" s="383">
        <v>0</v>
      </c>
      <c r="P2060" s="383">
        <v>0</v>
      </c>
      <c r="Q2060" s="1475">
        <f>L2060*H2065</f>
        <v>0</v>
      </c>
      <c r="R2060" s="1475">
        <f>M2060*H2065</f>
        <v>1646050</v>
      </c>
      <c r="S2060" s="1475">
        <f>N2060*H2065</f>
        <v>1646050</v>
      </c>
      <c r="T2060" s="1475">
        <f>O2060*H2065</f>
        <v>0</v>
      </c>
      <c r="U2060" s="1475">
        <f>P2060*H2065</f>
        <v>0</v>
      </c>
      <c r="V2060" s="1475">
        <f t="shared" si="1016"/>
        <v>3292100</v>
      </c>
    </row>
    <row r="2061" spans="1:22" s="39" customFormat="1" ht="24" customHeight="1">
      <c r="A2061" s="1860">
        <v>2</v>
      </c>
      <c r="B2061" s="1860"/>
      <c r="C2061" s="1860"/>
      <c r="D2061" s="1860"/>
      <c r="E2061" s="1839"/>
      <c r="F2061" s="1841"/>
      <c r="G2061" s="1612"/>
      <c r="H2061" s="1601"/>
      <c r="I2061" s="1615"/>
      <c r="J2061" s="40" t="s">
        <v>80</v>
      </c>
      <c r="K2061" s="91"/>
      <c r="L2061" s="364">
        <f t="shared" ref="L2061" si="1022">SUM(L2062:L2068)</f>
        <v>0</v>
      </c>
      <c r="M2061" s="364">
        <f t="shared" ref="M2061" si="1023">SUM(M2062:M2068)</f>
        <v>0.5</v>
      </c>
      <c r="N2061" s="364">
        <f t="shared" ref="N2061" si="1024">SUM(N2062:N2068)</f>
        <v>0</v>
      </c>
      <c r="O2061" s="364">
        <f t="shared" ref="O2061" si="1025">SUM(O2062:O2068)</f>
        <v>0</v>
      </c>
      <c r="P2061" s="364">
        <f t="shared" ref="P2061" si="1026">SUM(P2062:P2068)</f>
        <v>0</v>
      </c>
      <c r="Q2061" s="1475">
        <f t="shared" ref="Q2061" si="1027">SUM(Q2062:Q2068)</f>
        <v>0</v>
      </c>
      <c r="R2061" s="1475">
        <f t="shared" ref="R2061" si="1028">SUM(R2062:R2068)</f>
        <v>1646050</v>
      </c>
      <c r="S2061" s="1475">
        <f t="shared" ref="S2061" si="1029">SUM(S2062:S2068)</f>
        <v>0</v>
      </c>
      <c r="T2061" s="1475">
        <f t="shared" ref="T2061" si="1030">SUM(T2062:T2068)</f>
        <v>0</v>
      </c>
      <c r="U2061" s="1475">
        <f t="shared" ref="U2061" si="1031">SUM(U2062:U2068)</f>
        <v>0</v>
      </c>
      <c r="V2061" s="1475">
        <f t="shared" si="1016"/>
        <v>1646050</v>
      </c>
    </row>
    <row r="2062" spans="1:22" s="39" customFormat="1" ht="24" customHeight="1">
      <c r="A2062" s="1860">
        <v>2</v>
      </c>
      <c r="B2062" s="1860"/>
      <c r="C2062" s="1860"/>
      <c r="D2062" s="1860"/>
      <c r="E2062" s="1839"/>
      <c r="F2062" s="1841"/>
      <c r="G2062" s="1612"/>
      <c r="H2062" s="1601"/>
      <c r="I2062" s="1615"/>
      <c r="J2062" s="40" t="s">
        <v>429</v>
      </c>
      <c r="K2062" s="91"/>
      <c r="L2062" s="364">
        <v>0</v>
      </c>
      <c r="M2062" s="364">
        <v>0</v>
      </c>
      <c r="N2062" s="364">
        <v>0</v>
      </c>
      <c r="O2062" s="364">
        <v>0</v>
      </c>
      <c r="P2062" s="364">
        <v>0</v>
      </c>
      <c r="Q2062" s="1475">
        <f>L2062*$H2065</f>
        <v>0</v>
      </c>
      <c r="R2062" s="1475">
        <f>M2062*$H2065</f>
        <v>0</v>
      </c>
      <c r="S2062" s="1475">
        <f>N2062*$H2065</f>
        <v>0</v>
      </c>
      <c r="T2062" s="1475">
        <f>O2062*$H2065</f>
        <v>0</v>
      </c>
      <c r="U2062" s="1475">
        <f>P2062*$H2065</f>
        <v>0</v>
      </c>
      <c r="V2062" s="1475">
        <f t="shared" si="1016"/>
        <v>0</v>
      </c>
    </row>
    <row r="2063" spans="1:22" s="39" customFormat="1" ht="24" customHeight="1">
      <c r="A2063" s="1860">
        <v>2</v>
      </c>
      <c r="B2063" s="1860"/>
      <c r="C2063" s="1860"/>
      <c r="D2063" s="1860"/>
      <c r="E2063" s="1839"/>
      <c r="F2063" s="1841"/>
      <c r="G2063" s="1612"/>
      <c r="H2063" s="1601"/>
      <c r="I2063" s="1615"/>
      <c r="J2063" s="40" t="s">
        <v>133</v>
      </c>
      <c r="K2063" s="91"/>
      <c r="L2063" s="364">
        <v>0</v>
      </c>
      <c r="M2063" s="364">
        <v>0</v>
      </c>
      <c r="N2063" s="364">
        <v>0</v>
      </c>
      <c r="O2063" s="364">
        <v>0</v>
      </c>
      <c r="P2063" s="364">
        <v>0</v>
      </c>
      <c r="Q2063" s="1475">
        <f>L2063*$H2065</f>
        <v>0</v>
      </c>
      <c r="R2063" s="1475">
        <f>M2063*$H2065</f>
        <v>0</v>
      </c>
      <c r="S2063" s="1475">
        <f>N2063*$H2065</f>
        <v>0</v>
      </c>
      <c r="T2063" s="1475">
        <f>O2063*$H2065</f>
        <v>0</v>
      </c>
      <c r="U2063" s="1475">
        <f>P2063*$H2065</f>
        <v>0</v>
      </c>
      <c r="V2063" s="1475">
        <f t="shared" si="1016"/>
        <v>0</v>
      </c>
    </row>
    <row r="2064" spans="1:22" s="39" customFormat="1" ht="24" customHeight="1">
      <c r="A2064" s="1860">
        <v>2</v>
      </c>
      <c r="B2064" s="1860"/>
      <c r="C2064" s="1860"/>
      <c r="D2064" s="1860"/>
      <c r="E2064" s="1839"/>
      <c r="F2064" s="1841"/>
      <c r="G2064" s="1612"/>
      <c r="H2064" s="1601"/>
      <c r="I2064" s="1615"/>
      <c r="J2064" s="40" t="s">
        <v>81</v>
      </c>
      <c r="K2064" s="91"/>
      <c r="L2064" s="364">
        <v>0</v>
      </c>
      <c r="M2064" s="364">
        <v>0</v>
      </c>
      <c r="N2064" s="364">
        <v>0</v>
      </c>
      <c r="O2064" s="364">
        <v>0</v>
      </c>
      <c r="P2064" s="364">
        <v>0</v>
      </c>
      <c r="Q2064" s="1475">
        <f>L2064*$H2065</f>
        <v>0</v>
      </c>
      <c r="R2064" s="1475">
        <f>M2064*$H2065</f>
        <v>0</v>
      </c>
      <c r="S2064" s="1475">
        <f>N2064*$H2065</f>
        <v>0</v>
      </c>
      <c r="T2064" s="1475">
        <f>O2064*$H2065</f>
        <v>0</v>
      </c>
      <c r="U2064" s="1475">
        <f>P2064*$H2065</f>
        <v>0</v>
      </c>
      <c r="V2064" s="1475">
        <f t="shared" si="1016"/>
        <v>0</v>
      </c>
    </row>
    <row r="2065" spans="1:22" s="39" customFormat="1" ht="24" customHeight="1">
      <c r="A2065" s="1860">
        <v>2</v>
      </c>
      <c r="B2065" s="1860"/>
      <c r="C2065" s="1860"/>
      <c r="D2065" s="1860"/>
      <c r="E2065" s="1839"/>
      <c r="F2065" s="1841"/>
      <c r="G2065" s="1612"/>
      <c r="H2065" s="1598">
        <f>'Budget assumption'!G431</f>
        <v>3292100</v>
      </c>
      <c r="I2065" s="1615"/>
      <c r="J2065" s="40" t="s">
        <v>134</v>
      </c>
      <c r="K2065" s="91"/>
      <c r="L2065" s="364">
        <v>0</v>
      </c>
      <c r="M2065" s="364">
        <v>0</v>
      </c>
      <c r="N2065" s="364">
        <v>0</v>
      </c>
      <c r="O2065" s="364">
        <v>0</v>
      </c>
      <c r="P2065" s="364">
        <v>0</v>
      </c>
      <c r="Q2065" s="1475">
        <f>L2065*$H2065</f>
        <v>0</v>
      </c>
      <c r="R2065" s="1475">
        <f>M2065*$H2065</f>
        <v>0</v>
      </c>
      <c r="S2065" s="1475">
        <f>N2065*$H2065</f>
        <v>0</v>
      </c>
      <c r="T2065" s="1475">
        <f>O2065*$H2065</f>
        <v>0</v>
      </c>
      <c r="U2065" s="1475">
        <f>P2065*$H2065</f>
        <v>0</v>
      </c>
      <c r="V2065" s="1475">
        <f t="shared" si="1016"/>
        <v>0</v>
      </c>
    </row>
    <row r="2066" spans="1:22" s="39" customFormat="1" ht="24" customHeight="1">
      <c r="A2066" s="1860">
        <v>2</v>
      </c>
      <c r="B2066" s="1860"/>
      <c r="C2066" s="1860"/>
      <c r="D2066" s="1860"/>
      <c r="E2066" s="1839"/>
      <c r="F2066" s="1841"/>
      <c r="G2066" s="1612"/>
      <c r="H2066" s="1599">
        <f>810*0.05</f>
        <v>40.5</v>
      </c>
      <c r="I2066" s="1615"/>
      <c r="J2066" s="40" t="s">
        <v>82</v>
      </c>
      <c r="K2066" s="91"/>
      <c r="L2066" s="364">
        <v>0</v>
      </c>
      <c r="M2066" s="364">
        <v>0.5</v>
      </c>
      <c r="N2066" s="364">
        <v>0</v>
      </c>
      <c r="O2066" s="364">
        <v>0</v>
      </c>
      <c r="P2066" s="364">
        <v>0</v>
      </c>
      <c r="Q2066" s="1475">
        <f>L2066*$H2065</f>
        <v>0</v>
      </c>
      <c r="R2066" s="1475">
        <f>M2066*$H2065</f>
        <v>1646050</v>
      </c>
      <c r="S2066" s="1475">
        <f>N2066*$H2065</f>
        <v>0</v>
      </c>
      <c r="T2066" s="1475">
        <f>O2066*$H2065</f>
        <v>0</v>
      </c>
      <c r="U2066" s="1475">
        <f>P2066*$H2065</f>
        <v>0</v>
      </c>
      <c r="V2066" s="1475">
        <f t="shared" si="1016"/>
        <v>1646050</v>
      </c>
    </row>
    <row r="2067" spans="1:22" s="39" customFormat="1" ht="24" customHeight="1">
      <c r="A2067" s="1860">
        <v>2</v>
      </c>
      <c r="B2067" s="1860"/>
      <c r="C2067" s="1860"/>
      <c r="D2067" s="1860"/>
      <c r="E2067" s="1839"/>
      <c r="F2067" s="1841"/>
      <c r="G2067" s="1612"/>
      <c r="H2067" s="1599"/>
      <c r="I2067" s="1615"/>
      <c r="J2067" s="40" t="s">
        <v>90</v>
      </c>
      <c r="K2067" s="91"/>
      <c r="L2067" s="364">
        <v>0</v>
      </c>
      <c r="M2067" s="364">
        <v>0</v>
      </c>
      <c r="N2067" s="364">
        <v>0</v>
      </c>
      <c r="O2067" s="364">
        <v>0</v>
      </c>
      <c r="P2067" s="364">
        <v>0</v>
      </c>
      <c r="Q2067" s="1475">
        <f>L2067*$H2065</f>
        <v>0</v>
      </c>
      <c r="R2067" s="1475">
        <f>M2067*$H2065</f>
        <v>0</v>
      </c>
      <c r="S2067" s="1475">
        <f>N2067*$H2065</f>
        <v>0</v>
      </c>
      <c r="T2067" s="1475">
        <f>O2067*$H2065</f>
        <v>0</v>
      </c>
      <c r="U2067" s="1475">
        <f>P2067*$H2065</f>
        <v>0</v>
      </c>
      <c r="V2067" s="1475">
        <f t="shared" si="1016"/>
        <v>0</v>
      </c>
    </row>
    <row r="2068" spans="1:22" s="39" customFormat="1" ht="24" customHeight="1">
      <c r="A2068" s="1860">
        <v>2</v>
      </c>
      <c r="B2068" s="1860"/>
      <c r="C2068" s="1860"/>
      <c r="D2068" s="1860"/>
      <c r="E2068" s="1839"/>
      <c r="F2068" s="1841"/>
      <c r="G2068" s="1612"/>
      <c r="H2068" s="1599"/>
      <c r="I2068" s="1615"/>
      <c r="J2068" s="40" t="s">
        <v>83</v>
      </c>
      <c r="K2068" s="91"/>
      <c r="L2068" s="364">
        <v>0</v>
      </c>
      <c r="M2068" s="364">
        <v>0</v>
      </c>
      <c r="N2068" s="364">
        <v>0</v>
      </c>
      <c r="O2068" s="364">
        <v>0</v>
      </c>
      <c r="P2068" s="364">
        <v>0</v>
      </c>
      <c r="Q2068" s="1475">
        <f>L2068*$H2065</f>
        <v>0</v>
      </c>
      <c r="R2068" s="1475">
        <f>M2068*$H2065</f>
        <v>0</v>
      </c>
      <c r="S2068" s="1475">
        <f>N2068*$H2065</f>
        <v>0</v>
      </c>
      <c r="T2068" s="1475">
        <f>O2068*$H2065</f>
        <v>0</v>
      </c>
      <c r="U2068" s="1475">
        <f>P2068*$H2065</f>
        <v>0</v>
      </c>
      <c r="V2068" s="1475">
        <f t="shared" si="1016"/>
        <v>0</v>
      </c>
    </row>
    <row r="2069" spans="1:22" s="39" customFormat="1" ht="24" customHeight="1">
      <c r="A2069" s="1860">
        <v>2</v>
      </c>
      <c r="B2069" s="1860"/>
      <c r="C2069" s="1860"/>
      <c r="D2069" s="1860"/>
      <c r="E2069" s="1839"/>
      <c r="F2069" s="1841"/>
      <c r="G2069" s="1613"/>
      <c r="H2069" s="1600"/>
      <c r="I2069" s="1617"/>
      <c r="J2069" s="40" t="s">
        <v>84</v>
      </c>
      <c r="K2069" s="91"/>
      <c r="L2069" s="364">
        <f>L2060-L2061</f>
        <v>0</v>
      </c>
      <c r="M2069" s="364">
        <f t="shared" ref="M2069:U2069" si="1032">M2060-M2061</f>
        <v>0</v>
      </c>
      <c r="N2069" s="364">
        <f t="shared" si="1032"/>
        <v>0.5</v>
      </c>
      <c r="O2069" s="364">
        <f t="shared" si="1032"/>
        <v>0</v>
      </c>
      <c r="P2069" s="364">
        <f t="shared" si="1032"/>
        <v>0</v>
      </c>
      <c r="Q2069" s="1475">
        <f t="shared" si="1032"/>
        <v>0</v>
      </c>
      <c r="R2069" s="1475">
        <f t="shared" si="1032"/>
        <v>0</v>
      </c>
      <c r="S2069" s="1475">
        <f t="shared" si="1032"/>
        <v>1646050</v>
      </c>
      <c r="T2069" s="1475">
        <f t="shared" si="1032"/>
        <v>0</v>
      </c>
      <c r="U2069" s="1475">
        <f t="shared" si="1032"/>
        <v>0</v>
      </c>
      <c r="V2069" s="1475">
        <f t="shared" si="1016"/>
        <v>1646050</v>
      </c>
    </row>
    <row r="2070" spans="1:22" s="39" customFormat="1" ht="38.1" customHeight="1">
      <c r="A2070" s="75">
        <v>3</v>
      </c>
      <c r="B2070" s="75">
        <v>5</v>
      </c>
      <c r="C2070" s="75"/>
      <c r="D2070" s="75"/>
      <c r="E2070" s="74" t="s">
        <v>12</v>
      </c>
      <c r="F2070" s="915" t="str">
        <f>CONCATENATE(A2070,".",B2070)</f>
        <v>3.5</v>
      </c>
      <c r="G2070" s="1573" t="s">
        <v>338</v>
      </c>
      <c r="H2070" s="1574"/>
      <c r="I2070" s="1574"/>
      <c r="J2070" s="1575"/>
      <c r="K2070" s="915"/>
      <c r="L2070" s="916"/>
      <c r="M2070" s="916"/>
      <c r="N2070" s="916"/>
      <c r="O2070" s="916"/>
      <c r="P2070" s="916"/>
      <c r="Q2070" s="1514">
        <f>Q2071</f>
        <v>0</v>
      </c>
      <c r="R2070" s="1514">
        <f t="shared" ref="R2070:U2070" si="1033">R2071</f>
        <v>131788.29999999999</v>
      </c>
      <c r="S2070" s="1514">
        <f t="shared" si="1033"/>
        <v>40000</v>
      </c>
      <c r="T2070" s="1514">
        <f t="shared" si="1033"/>
        <v>0</v>
      </c>
      <c r="U2070" s="1514">
        <f t="shared" si="1033"/>
        <v>0</v>
      </c>
      <c r="V2070" s="1514">
        <f t="shared" si="994"/>
        <v>171788.3</v>
      </c>
    </row>
    <row r="2071" spans="1:22" s="39" customFormat="1" ht="24" customHeight="1">
      <c r="A2071" s="75">
        <v>3</v>
      </c>
      <c r="B2071" s="75">
        <v>5</v>
      </c>
      <c r="C2071" s="75">
        <v>1</v>
      </c>
      <c r="D2071" s="75"/>
      <c r="E2071" s="74" t="s">
        <v>13</v>
      </c>
      <c r="F2071" s="71" t="str">
        <f>CONCATENATE(A2071,".",B2071,".",C2071,)</f>
        <v>3.5.1</v>
      </c>
      <c r="G2071" s="1630" t="s">
        <v>41</v>
      </c>
      <c r="H2071" s="1631"/>
      <c r="I2071" s="1631"/>
      <c r="J2071" s="1632"/>
      <c r="K2071" s="66"/>
      <c r="L2071" s="382"/>
      <c r="M2071" s="382"/>
      <c r="N2071" s="382"/>
      <c r="O2071" s="382"/>
      <c r="P2071" s="382"/>
      <c r="Q2071" s="1521">
        <f>Q2073+Q2083+Q2093+Q2103+Q2113+Q2123+Q2133</f>
        <v>0</v>
      </c>
      <c r="R2071" s="1521">
        <f t="shared" ref="R2071:V2071" si="1034">R2073+R2083+R2093+R2103+R2113+R2123+R2133</f>
        <v>131788.29999999999</v>
      </c>
      <c r="S2071" s="1521">
        <f t="shared" si="1034"/>
        <v>40000</v>
      </c>
      <c r="T2071" s="1521">
        <f t="shared" si="1034"/>
        <v>0</v>
      </c>
      <c r="U2071" s="1521">
        <f t="shared" si="1034"/>
        <v>0</v>
      </c>
      <c r="V2071" s="1521">
        <f t="shared" si="1034"/>
        <v>171788.3</v>
      </c>
    </row>
    <row r="2072" spans="1:22" s="39" customFormat="1" ht="24" customHeight="1">
      <c r="A2072" s="1860">
        <v>3</v>
      </c>
      <c r="B2072" s="1860">
        <v>5</v>
      </c>
      <c r="C2072" s="1860">
        <v>1</v>
      </c>
      <c r="D2072" s="1860">
        <v>1</v>
      </c>
      <c r="E2072" s="1839" t="s">
        <v>15</v>
      </c>
      <c r="F2072" s="1841" t="str">
        <f>CONCATENATE(A2072,".",B2072,".",C2072,".",D2072,)</f>
        <v>3.5.1.1</v>
      </c>
      <c r="G2072" s="1639" t="s">
        <v>42</v>
      </c>
      <c r="H2072" s="1601" t="s">
        <v>144</v>
      </c>
      <c r="I2072" s="1614" t="s">
        <v>715</v>
      </c>
      <c r="J2072" s="36" t="s">
        <v>79</v>
      </c>
      <c r="K2072" s="896"/>
      <c r="L2072" s="383">
        <v>0</v>
      </c>
      <c r="M2072" s="383">
        <v>0</v>
      </c>
      <c r="N2072" s="383">
        <v>1</v>
      </c>
      <c r="O2072" s="383">
        <v>0</v>
      </c>
      <c r="P2072" s="383">
        <v>0</v>
      </c>
      <c r="Q2072" s="1475">
        <f>L2072*H2077</f>
        <v>0</v>
      </c>
      <c r="R2072" s="1475">
        <f>M2072*H2077</f>
        <v>0</v>
      </c>
      <c r="S2072" s="1475">
        <f>N2072*H2077</f>
        <v>143632.08000000002</v>
      </c>
      <c r="T2072" s="1475">
        <f>O2072*H2077</f>
        <v>0</v>
      </c>
      <c r="U2072" s="1475">
        <f>P2072*H2077</f>
        <v>0</v>
      </c>
      <c r="V2072" s="1475">
        <f t="shared" si="994"/>
        <v>143632.08000000002</v>
      </c>
    </row>
    <row r="2073" spans="1:22" s="39" customFormat="1" ht="24" customHeight="1">
      <c r="A2073" s="1860">
        <v>3</v>
      </c>
      <c r="B2073" s="1860"/>
      <c r="C2073" s="1860"/>
      <c r="D2073" s="1860"/>
      <c r="E2073" s="1839"/>
      <c r="F2073" s="1841"/>
      <c r="G2073" s="1640"/>
      <c r="H2073" s="1601"/>
      <c r="I2073" s="1615"/>
      <c r="J2073" s="40" t="s">
        <v>80</v>
      </c>
      <c r="K2073" s="91"/>
      <c r="L2073" s="364">
        <f t="shared" ref="L2073:U2073" si="1035">SUM(L2074:L2080)</f>
        <v>0</v>
      </c>
      <c r="M2073" s="364">
        <f t="shared" si="1035"/>
        <v>0</v>
      </c>
      <c r="N2073" s="364">
        <f t="shared" si="1035"/>
        <v>0</v>
      </c>
      <c r="O2073" s="364">
        <f t="shared" si="1035"/>
        <v>0</v>
      </c>
      <c r="P2073" s="364">
        <f t="shared" si="1035"/>
        <v>0</v>
      </c>
      <c r="Q2073" s="1475">
        <f t="shared" si="1035"/>
        <v>0</v>
      </c>
      <c r="R2073" s="1475">
        <f t="shared" si="1035"/>
        <v>0</v>
      </c>
      <c r="S2073" s="1475">
        <f t="shared" si="1035"/>
        <v>0</v>
      </c>
      <c r="T2073" s="1475">
        <f t="shared" si="1035"/>
        <v>0</v>
      </c>
      <c r="U2073" s="1475">
        <f t="shared" si="1035"/>
        <v>0</v>
      </c>
      <c r="V2073" s="1475">
        <f t="shared" si="994"/>
        <v>0</v>
      </c>
    </row>
    <row r="2074" spans="1:22" s="39" customFormat="1" ht="24" customHeight="1">
      <c r="A2074" s="1860">
        <v>3</v>
      </c>
      <c r="B2074" s="1860"/>
      <c r="C2074" s="1860"/>
      <c r="D2074" s="1860"/>
      <c r="E2074" s="1839"/>
      <c r="F2074" s="1841"/>
      <c r="G2074" s="1640"/>
      <c r="H2074" s="1601"/>
      <c r="I2074" s="1615"/>
      <c r="J2074" s="40" t="s">
        <v>429</v>
      </c>
      <c r="K2074" s="91"/>
      <c r="L2074" s="364">
        <v>0</v>
      </c>
      <c r="M2074" s="364">
        <v>0</v>
      </c>
      <c r="N2074" s="364">
        <v>0</v>
      </c>
      <c r="O2074" s="364">
        <v>0</v>
      </c>
      <c r="P2074" s="364">
        <v>0</v>
      </c>
      <c r="Q2074" s="1475">
        <f>L2074*$H2077</f>
        <v>0</v>
      </c>
      <c r="R2074" s="1475">
        <f>M2074*$H2077</f>
        <v>0</v>
      </c>
      <c r="S2074" s="1475">
        <f>N2074*$H2077</f>
        <v>0</v>
      </c>
      <c r="T2074" s="1475">
        <f>O2074*$H2077</f>
        <v>0</v>
      </c>
      <c r="U2074" s="1475">
        <f>P2074*$H2077</f>
        <v>0</v>
      </c>
      <c r="V2074" s="1475">
        <f t="shared" si="994"/>
        <v>0</v>
      </c>
    </row>
    <row r="2075" spans="1:22" s="39" customFormat="1" ht="24" customHeight="1">
      <c r="A2075" s="1860">
        <v>3</v>
      </c>
      <c r="B2075" s="1860"/>
      <c r="C2075" s="1860"/>
      <c r="D2075" s="1860"/>
      <c r="E2075" s="1839"/>
      <c r="F2075" s="1841"/>
      <c r="G2075" s="1640"/>
      <c r="H2075" s="1601"/>
      <c r="I2075" s="1615"/>
      <c r="J2075" s="40" t="s">
        <v>133</v>
      </c>
      <c r="K2075" s="91"/>
      <c r="L2075" s="364">
        <v>0</v>
      </c>
      <c r="M2075" s="364">
        <v>0</v>
      </c>
      <c r="N2075" s="364">
        <v>0</v>
      </c>
      <c r="O2075" s="364">
        <v>0</v>
      </c>
      <c r="P2075" s="364">
        <v>0</v>
      </c>
      <c r="Q2075" s="1475">
        <f>L2075*$H2077</f>
        <v>0</v>
      </c>
      <c r="R2075" s="1475">
        <f>M2075*$H2077</f>
        <v>0</v>
      </c>
      <c r="S2075" s="1475">
        <f>N2075*$H2077</f>
        <v>0</v>
      </c>
      <c r="T2075" s="1475">
        <f>O2075*$H2077</f>
        <v>0</v>
      </c>
      <c r="U2075" s="1475">
        <f>P2075*$H2077</f>
        <v>0</v>
      </c>
      <c r="V2075" s="1475">
        <f t="shared" si="994"/>
        <v>0</v>
      </c>
    </row>
    <row r="2076" spans="1:22" s="39" customFormat="1" ht="24" customHeight="1">
      <c r="A2076" s="1860">
        <v>3</v>
      </c>
      <c r="B2076" s="1860"/>
      <c r="C2076" s="1860"/>
      <c r="D2076" s="1860"/>
      <c r="E2076" s="1839"/>
      <c r="F2076" s="1841"/>
      <c r="G2076" s="1640"/>
      <c r="H2076" s="1601"/>
      <c r="I2076" s="1615"/>
      <c r="J2076" s="40" t="s">
        <v>81</v>
      </c>
      <c r="K2076" s="91"/>
      <c r="L2076" s="364">
        <v>0</v>
      </c>
      <c r="M2076" s="364">
        <v>0</v>
      </c>
      <c r="N2076" s="364">
        <v>0</v>
      </c>
      <c r="O2076" s="364">
        <v>0</v>
      </c>
      <c r="P2076" s="364">
        <v>0</v>
      </c>
      <c r="Q2076" s="1475">
        <f>L2076*$H2077</f>
        <v>0</v>
      </c>
      <c r="R2076" s="1475">
        <f>M2076*$H2077</f>
        <v>0</v>
      </c>
      <c r="S2076" s="1475">
        <f>N2076*$H2077</f>
        <v>0</v>
      </c>
      <c r="T2076" s="1475">
        <f>O2076*$H2077</f>
        <v>0</v>
      </c>
      <c r="U2076" s="1475">
        <f>P2076*$H2077</f>
        <v>0</v>
      </c>
      <c r="V2076" s="1475">
        <f t="shared" si="994"/>
        <v>0</v>
      </c>
    </row>
    <row r="2077" spans="1:22" s="39" customFormat="1" ht="24" customHeight="1">
      <c r="A2077" s="1860">
        <v>3</v>
      </c>
      <c r="B2077" s="1860"/>
      <c r="C2077" s="1860"/>
      <c r="D2077" s="1860"/>
      <c r="E2077" s="1839"/>
      <c r="F2077" s="1841"/>
      <c r="G2077" s="1640"/>
      <c r="H2077" s="1598">
        <f>'Budget assumption'!F447</f>
        <v>143632.08000000002</v>
      </c>
      <c r="I2077" s="1615"/>
      <c r="J2077" s="40" t="s">
        <v>134</v>
      </c>
      <c r="K2077" s="91"/>
      <c r="L2077" s="364">
        <v>0</v>
      </c>
      <c r="M2077" s="364">
        <v>0</v>
      </c>
      <c r="N2077" s="364">
        <v>0</v>
      </c>
      <c r="O2077" s="364">
        <v>0</v>
      </c>
      <c r="P2077" s="364">
        <v>0</v>
      </c>
      <c r="Q2077" s="1475">
        <f>L2077*$H2077</f>
        <v>0</v>
      </c>
      <c r="R2077" s="1475">
        <f>M2077*$H2077</f>
        <v>0</v>
      </c>
      <c r="S2077" s="1475">
        <f>N2077*$H2077</f>
        <v>0</v>
      </c>
      <c r="T2077" s="1475">
        <f>O2077*$H2077</f>
        <v>0</v>
      </c>
      <c r="U2077" s="1475">
        <f>P2077*$H2077</f>
        <v>0</v>
      </c>
      <c r="V2077" s="1475">
        <f t="shared" si="994"/>
        <v>0</v>
      </c>
    </row>
    <row r="2078" spans="1:22" s="39" customFormat="1" ht="24" customHeight="1">
      <c r="A2078" s="1860">
        <v>3</v>
      </c>
      <c r="B2078" s="1860"/>
      <c r="C2078" s="1860"/>
      <c r="D2078" s="1860"/>
      <c r="E2078" s="1839"/>
      <c r="F2078" s="1841"/>
      <c r="G2078" s="1640"/>
      <c r="H2078" s="1599"/>
      <c r="I2078" s="1615"/>
      <c r="J2078" s="40" t="s">
        <v>82</v>
      </c>
      <c r="K2078" s="91"/>
      <c r="L2078" s="364">
        <v>0</v>
      </c>
      <c r="M2078" s="364">
        <v>0</v>
      </c>
      <c r="N2078" s="364">
        <v>0</v>
      </c>
      <c r="O2078" s="364">
        <v>0</v>
      </c>
      <c r="P2078" s="364">
        <v>0</v>
      </c>
      <c r="Q2078" s="1475">
        <f>L2078*$H2077</f>
        <v>0</v>
      </c>
      <c r="R2078" s="1475">
        <f>M2078*$H2077</f>
        <v>0</v>
      </c>
      <c r="S2078" s="1475">
        <f>N2078*$H2077</f>
        <v>0</v>
      </c>
      <c r="T2078" s="1475">
        <f>O2078*$H2077</f>
        <v>0</v>
      </c>
      <c r="U2078" s="1475">
        <f>P2078*$H2077</f>
        <v>0</v>
      </c>
      <c r="V2078" s="1475">
        <f t="shared" si="994"/>
        <v>0</v>
      </c>
    </row>
    <row r="2079" spans="1:22" s="39" customFormat="1" ht="24" customHeight="1">
      <c r="A2079" s="1860">
        <v>3</v>
      </c>
      <c r="B2079" s="1860"/>
      <c r="C2079" s="1860"/>
      <c r="D2079" s="1860"/>
      <c r="E2079" s="1839"/>
      <c r="F2079" s="1841"/>
      <c r="G2079" s="1640"/>
      <c r="H2079" s="1599"/>
      <c r="I2079" s="1615"/>
      <c r="J2079" s="40" t="s">
        <v>90</v>
      </c>
      <c r="K2079" s="91"/>
      <c r="L2079" s="364">
        <v>0</v>
      </c>
      <c r="M2079" s="364">
        <v>0</v>
      </c>
      <c r="N2079" s="364">
        <v>0</v>
      </c>
      <c r="O2079" s="364">
        <v>0</v>
      </c>
      <c r="P2079" s="364">
        <v>0</v>
      </c>
      <c r="Q2079" s="1475">
        <f>L2079*$H2077</f>
        <v>0</v>
      </c>
      <c r="R2079" s="1475">
        <f>M2079*$H2077</f>
        <v>0</v>
      </c>
      <c r="S2079" s="1475">
        <f>N2079*$H2077</f>
        <v>0</v>
      </c>
      <c r="T2079" s="1475">
        <f>O2079*$H2077</f>
        <v>0</v>
      </c>
      <c r="U2079" s="1475">
        <f>P2079*$H2077</f>
        <v>0</v>
      </c>
      <c r="V2079" s="1475">
        <f t="shared" si="994"/>
        <v>0</v>
      </c>
    </row>
    <row r="2080" spans="1:22" s="39" customFormat="1" ht="24" customHeight="1">
      <c r="A2080" s="1860">
        <v>3</v>
      </c>
      <c r="B2080" s="1860"/>
      <c r="C2080" s="1860"/>
      <c r="D2080" s="1860"/>
      <c r="E2080" s="1839"/>
      <c r="F2080" s="1841"/>
      <c r="G2080" s="1640"/>
      <c r="H2080" s="1599"/>
      <c r="I2080" s="1615"/>
      <c r="J2080" s="40" t="s">
        <v>83</v>
      </c>
      <c r="K2080" s="91"/>
      <c r="L2080" s="364">
        <v>0</v>
      </c>
      <c r="M2080" s="364">
        <v>0</v>
      </c>
      <c r="N2080" s="364">
        <v>0</v>
      </c>
      <c r="O2080" s="364">
        <v>0</v>
      </c>
      <c r="P2080" s="364">
        <v>0</v>
      </c>
      <c r="Q2080" s="1475">
        <f>L2080*$H2077</f>
        <v>0</v>
      </c>
      <c r="R2080" s="1475">
        <f>M2080*$H2077</f>
        <v>0</v>
      </c>
      <c r="S2080" s="1475">
        <f>N2080*$H2077</f>
        <v>0</v>
      </c>
      <c r="T2080" s="1475">
        <f>O2080*$H2077</f>
        <v>0</v>
      </c>
      <c r="U2080" s="1475">
        <f>P2080*$H2077</f>
        <v>0</v>
      </c>
      <c r="V2080" s="1475">
        <f t="shared" ref="V2080:V2131" si="1036">SUM(Q2080:U2080)</f>
        <v>0</v>
      </c>
    </row>
    <row r="2081" spans="1:22" s="39" customFormat="1" ht="24" customHeight="1">
      <c r="A2081" s="1860">
        <v>3</v>
      </c>
      <c r="B2081" s="1860"/>
      <c r="C2081" s="1860"/>
      <c r="D2081" s="1860"/>
      <c r="E2081" s="1839"/>
      <c r="F2081" s="1841"/>
      <c r="G2081" s="1641"/>
      <c r="H2081" s="1600"/>
      <c r="I2081" s="1617"/>
      <c r="J2081" s="40" t="s">
        <v>84</v>
      </c>
      <c r="K2081" s="91"/>
      <c r="L2081" s="364">
        <f>L2072-L2073</f>
        <v>0</v>
      </c>
      <c r="M2081" s="364">
        <f t="shared" ref="M2081:U2081" si="1037">M2072-M2073</f>
        <v>0</v>
      </c>
      <c r="N2081" s="364">
        <f t="shared" si="1037"/>
        <v>1</v>
      </c>
      <c r="O2081" s="364">
        <f t="shared" si="1037"/>
        <v>0</v>
      </c>
      <c r="P2081" s="364">
        <f t="shared" si="1037"/>
        <v>0</v>
      </c>
      <c r="Q2081" s="1475">
        <f t="shared" si="1037"/>
        <v>0</v>
      </c>
      <c r="R2081" s="1475">
        <f t="shared" si="1037"/>
        <v>0</v>
      </c>
      <c r="S2081" s="1475">
        <f t="shared" si="1037"/>
        <v>143632.08000000002</v>
      </c>
      <c r="T2081" s="1475">
        <f t="shared" si="1037"/>
        <v>0</v>
      </c>
      <c r="U2081" s="1475">
        <f t="shared" si="1037"/>
        <v>0</v>
      </c>
      <c r="V2081" s="1475">
        <f t="shared" si="1036"/>
        <v>143632.08000000002</v>
      </c>
    </row>
    <row r="2082" spans="1:22" s="39" customFormat="1" ht="24" customHeight="1">
      <c r="A2082" s="1860">
        <v>3</v>
      </c>
      <c r="B2082" s="1860">
        <v>5</v>
      </c>
      <c r="C2082" s="1860">
        <v>1</v>
      </c>
      <c r="D2082" s="1860">
        <v>2</v>
      </c>
      <c r="E2082" s="1839" t="s">
        <v>15</v>
      </c>
      <c r="F2082" s="1841" t="str">
        <f>CONCATENATE(A2082,".",B2082,".",C2082,".",D2082,)</f>
        <v>3.5.1.2</v>
      </c>
      <c r="G2082" s="1642" t="s">
        <v>716</v>
      </c>
      <c r="H2082" s="1601" t="s">
        <v>362</v>
      </c>
      <c r="I2082" s="1614" t="s">
        <v>1109</v>
      </c>
      <c r="J2082" s="36" t="s">
        <v>79</v>
      </c>
      <c r="K2082" s="896"/>
      <c r="L2082" s="383">
        <v>0</v>
      </c>
      <c r="M2082" s="364">
        <v>10</v>
      </c>
      <c r="N2082" s="364">
        <v>0</v>
      </c>
      <c r="O2082" s="364">
        <v>0</v>
      </c>
      <c r="P2082" s="364">
        <v>0</v>
      </c>
      <c r="Q2082" s="1475">
        <f>L2082*H2087</f>
        <v>0</v>
      </c>
      <c r="R2082" s="1475">
        <f>M2082*H2087</f>
        <v>70000</v>
      </c>
      <c r="S2082" s="1475">
        <f>N2082*H2087</f>
        <v>0</v>
      </c>
      <c r="T2082" s="1475">
        <f>O2082*H2087</f>
        <v>0</v>
      </c>
      <c r="U2082" s="1475">
        <f>P2082*H2087</f>
        <v>0</v>
      </c>
      <c r="V2082" s="1475">
        <f t="shared" si="1036"/>
        <v>70000</v>
      </c>
    </row>
    <row r="2083" spans="1:22" s="39" customFormat="1" ht="24" customHeight="1">
      <c r="A2083" s="1860">
        <v>3</v>
      </c>
      <c r="B2083" s="1860"/>
      <c r="C2083" s="1860"/>
      <c r="D2083" s="1860"/>
      <c r="E2083" s="1839"/>
      <c r="F2083" s="1841"/>
      <c r="G2083" s="1643"/>
      <c r="H2083" s="1601"/>
      <c r="I2083" s="1615"/>
      <c r="J2083" s="40" t="s">
        <v>80</v>
      </c>
      <c r="K2083" s="91"/>
      <c r="L2083" s="364">
        <f t="shared" ref="L2083:U2083" si="1038">SUM(L2084:L2090)</f>
        <v>0</v>
      </c>
      <c r="M2083" s="364">
        <v>10</v>
      </c>
      <c r="N2083" s="364">
        <f t="shared" si="1038"/>
        <v>0</v>
      </c>
      <c r="O2083" s="364">
        <f t="shared" si="1038"/>
        <v>0</v>
      </c>
      <c r="P2083" s="364">
        <f t="shared" si="1038"/>
        <v>0</v>
      </c>
      <c r="Q2083" s="1475">
        <f t="shared" si="1038"/>
        <v>0</v>
      </c>
      <c r="R2083" s="1475">
        <f t="shared" si="1038"/>
        <v>70000</v>
      </c>
      <c r="S2083" s="1475">
        <f t="shared" si="1038"/>
        <v>0</v>
      </c>
      <c r="T2083" s="1475">
        <f t="shared" si="1038"/>
        <v>0</v>
      </c>
      <c r="U2083" s="1475">
        <f t="shared" si="1038"/>
        <v>0</v>
      </c>
      <c r="V2083" s="1475">
        <f t="shared" si="1036"/>
        <v>70000</v>
      </c>
    </row>
    <row r="2084" spans="1:22" s="39" customFormat="1" ht="24" customHeight="1">
      <c r="A2084" s="1860">
        <v>3</v>
      </c>
      <c r="B2084" s="1860"/>
      <c r="C2084" s="1860"/>
      <c r="D2084" s="1860"/>
      <c r="E2084" s="1839"/>
      <c r="F2084" s="1841"/>
      <c r="G2084" s="1643"/>
      <c r="H2084" s="1601"/>
      <c r="I2084" s="1615"/>
      <c r="J2084" s="40" t="s">
        <v>429</v>
      </c>
      <c r="K2084" s="91"/>
      <c r="L2084" s="364">
        <v>0</v>
      </c>
      <c r="M2084" s="364">
        <v>0</v>
      </c>
      <c r="N2084" s="364">
        <v>0</v>
      </c>
      <c r="O2084" s="364">
        <v>0</v>
      </c>
      <c r="P2084" s="364">
        <v>0</v>
      </c>
      <c r="Q2084" s="1475">
        <f>L2084*$H2087</f>
        <v>0</v>
      </c>
      <c r="R2084" s="1475">
        <f>M2084*$H2087</f>
        <v>0</v>
      </c>
      <c r="S2084" s="1475">
        <f>N2084*$H2087</f>
        <v>0</v>
      </c>
      <c r="T2084" s="1475">
        <f>O2084*$H2087</f>
        <v>0</v>
      </c>
      <c r="U2084" s="1475">
        <f>P2084*$H2087</f>
        <v>0</v>
      </c>
      <c r="V2084" s="1475">
        <f t="shared" si="1036"/>
        <v>0</v>
      </c>
    </row>
    <row r="2085" spans="1:22" s="39" customFormat="1" ht="24" customHeight="1">
      <c r="A2085" s="1860">
        <v>3</v>
      </c>
      <c r="B2085" s="1860"/>
      <c r="C2085" s="1860"/>
      <c r="D2085" s="1860"/>
      <c r="E2085" s="1839"/>
      <c r="F2085" s="1841"/>
      <c r="G2085" s="1643"/>
      <c r="H2085" s="1601"/>
      <c r="I2085" s="1615"/>
      <c r="J2085" s="40" t="s">
        <v>133</v>
      </c>
      <c r="K2085" s="91"/>
      <c r="L2085" s="364">
        <v>0</v>
      </c>
      <c r="M2085" s="364">
        <v>0</v>
      </c>
      <c r="N2085" s="364">
        <v>0</v>
      </c>
      <c r="O2085" s="364">
        <v>0</v>
      </c>
      <c r="P2085" s="364">
        <v>0</v>
      </c>
      <c r="Q2085" s="1475">
        <f>L2085*$H2087</f>
        <v>0</v>
      </c>
      <c r="R2085" s="1475">
        <f>M2085*$H2087</f>
        <v>0</v>
      </c>
      <c r="S2085" s="1475">
        <f>N2085*$H2087</f>
        <v>0</v>
      </c>
      <c r="T2085" s="1475">
        <f>O2085*$H2087</f>
        <v>0</v>
      </c>
      <c r="U2085" s="1475">
        <f>P2085*$H2087</f>
        <v>0</v>
      </c>
      <c r="V2085" s="1475">
        <f t="shared" si="1036"/>
        <v>0</v>
      </c>
    </row>
    <row r="2086" spans="1:22" s="39" customFormat="1" ht="24" customHeight="1">
      <c r="A2086" s="1860">
        <v>3</v>
      </c>
      <c r="B2086" s="1860"/>
      <c r="C2086" s="1860"/>
      <c r="D2086" s="1860"/>
      <c r="E2086" s="1839"/>
      <c r="F2086" s="1841"/>
      <c r="G2086" s="1643"/>
      <c r="H2086" s="1601"/>
      <c r="I2086" s="1615"/>
      <c r="J2086" s="40" t="s">
        <v>81</v>
      </c>
      <c r="K2086" s="91"/>
      <c r="L2086" s="364">
        <v>0</v>
      </c>
      <c r="M2086" s="364">
        <v>0</v>
      </c>
      <c r="N2086" s="364">
        <v>0</v>
      </c>
      <c r="O2086" s="364">
        <v>0</v>
      </c>
      <c r="P2086" s="364">
        <v>0</v>
      </c>
      <c r="Q2086" s="1475">
        <f>L2086*$H2087</f>
        <v>0</v>
      </c>
      <c r="R2086" s="1475">
        <f>M2086*$H2087</f>
        <v>0</v>
      </c>
      <c r="S2086" s="1475">
        <f>N2086*$H2087</f>
        <v>0</v>
      </c>
      <c r="T2086" s="1475">
        <f>O2086*$H2087</f>
        <v>0</v>
      </c>
      <c r="U2086" s="1475">
        <f>P2086*$H2087</f>
        <v>0</v>
      </c>
      <c r="V2086" s="1475">
        <f t="shared" si="1036"/>
        <v>0</v>
      </c>
    </row>
    <row r="2087" spans="1:22" s="39" customFormat="1" ht="24" customHeight="1">
      <c r="A2087" s="1860">
        <v>3</v>
      </c>
      <c r="B2087" s="1860"/>
      <c r="C2087" s="1860"/>
      <c r="D2087" s="1860"/>
      <c r="E2087" s="1839"/>
      <c r="F2087" s="1841"/>
      <c r="G2087" s="1643"/>
      <c r="H2087" s="1595">
        <f>'Budget assumption'!$C$5</f>
        <v>7000</v>
      </c>
      <c r="I2087" s="1615"/>
      <c r="J2087" s="40" t="s">
        <v>134</v>
      </c>
      <c r="K2087" s="91"/>
      <c r="L2087" s="364">
        <v>0</v>
      </c>
      <c r="M2087" s="364">
        <v>0</v>
      </c>
      <c r="N2087" s="364">
        <v>0</v>
      </c>
      <c r="O2087" s="364">
        <v>0</v>
      </c>
      <c r="P2087" s="364">
        <v>0</v>
      </c>
      <c r="Q2087" s="1475">
        <f>L2087*$H2087</f>
        <v>0</v>
      </c>
      <c r="R2087" s="1475">
        <f>M2087*$H2087</f>
        <v>0</v>
      </c>
      <c r="S2087" s="1475">
        <f>N2087*$H2087</f>
        <v>0</v>
      </c>
      <c r="T2087" s="1475">
        <f>O2087*$H2087</f>
        <v>0</v>
      </c>
      <c r="U2087" s="1475">
        <f>P2087*$H2087</f>
        <v>0</v>
      </c>
      <c r="V2087" s="1475">
        <f t="shared" si="1036"/>
        <v>0</v>
      </c>
    </row>
    <row r="2088" spans="1:22" s="39" customFormat="1" ht="24" customHeight="1">
      <c r="A2088" s="1860">
        <v>3</v>
      </c>
      <c r="B2088" s="1860"/>
      <c r="C2088" s="1860"/>
      <c r="D2088" s="1860"/>
      <c r="E2088" s="1839"/>
      <c r="F2088" s="1841"/>
      <c r="G2088" s="1643"/>
      <c r="H2088" s="1596">
        <f>810*0.05</f>
        <v>40.5</v>
      </c>
      <c r="I2088" s="1615"/>
      <c r="J2088" s="40" t="s">
        <v>82</v>
      </c>
      <c r="K2088" s="91"/>
      <c r="L2088" s="364">
        <v>0</v>
      </c>
      <c r="M2088" s="364">
        <v>10</v>
      </c>
      <c r="N2088" s="364">
        <v>0</v>
      </c>
      <c r="O2088" s="364">
        <v>0</v>
      </c>
      <c r="P2088" s="364">
        <v>0</v>
      </c>
      <c r="Q2088" s="1475">
        <f>L2088*$H2087</f>
        <v>0</v>
      </c>
      <c r="R2088" s="1475">
        <f>M2088*$H2087</f>
        <v>70000</v>
      </c>
      <c r="S2088" s="1475">
        <f>N2088*$H2087</f>
        <v>0</v>
      </c>
      <c r="T2088" s="1475">
        <f>O2088*$H2087</f>
        <v>0</v>
      </c>
      <c r="U2088" s="1475">
        <f>P2088*$H2087</f>
        <v>0</v>
      </c>
      <c r="V2088" s="1475">
        <f t="shared" si="1036"/>
        <v>70000</v>
      </c>
    </row>
    <row r="2089" spans="1:22" s="39" customFormat="1" ht="24" customHeight="1">
      <c r="A2089" s="1860">
        <v>3</v>
      </c>
      <c r="B2089" s="1860"/>
      <c r="C2089" s="1860"/>
      <c r="D2089" s="1860"/>
      <c r="E2089" s="1839"/>
      <c r="F2089" s="1841"/>
      <c r="G2089" s="1643"/>
      <c r="H2089" s="1596"/>
      <c r="I2089" s="1615"/>
      <c r="J2089" s="40" t="s">
        <v>90</v>
      </c>
      <c r="K2089" s="91"/>
      <c r="L2089" s="364">
        <v>0</v>
      </c>
      <c r="M2089" s="364">
        <v>0</v>
      </c>
      <c r="N2089" s="364">
        <v>0</v>
      </c>
      <c r="O2089" s="364">
        <v>0</v>
      </c>
      <c r="P2089" s="364">
        <v>0</v>
      </c>
      <c r="Q2089" s="1475">
        <f>L2089*$H2087</f>
        <v>0</v>
      </c>
      <c r="R2089" s="1475">
        <f>M2089*$H2087</f>
        <v>0</v>
      </c>
      <c r="S2089" s="1475">
        <f>N2089*$H2087</f>
        <v>0</v>
      </c>
      <c r="T2089" s="1475">
        <f>O2089*$H2087</f>
        <v>0</v>
      </c>
      <c r="U2089" s="1475">
        <f>P2089*$H2087</f>
        <v>0</v>
      </c>
      <c r="V2089" s="1475">
        <f t="shared" si="1036"/>
        <v>0</v>
      </c>
    </row>
    <row r="2090" spans="1:22" s="39" customFormat="1" ht="24" customHeight="1">
      <c r="A2090" s="1860">
        <v>3</v>
      </c>
      <c r="B2090" s="1860"/>
      <c r="C2090" s="1860"/>
      <c r="D2090" s="1860"/>
      <c r="E2090" s="1839"/>
      <c r="F2090" s="1841"/>
      <c r="G2090" s="1643"/>
      <c r="H2090" s="1596"/>
      <c r="I2090" s="1615"/>
      <c r="J2090" s="40" t="s">
        <v>83</v>
      </c>
      <c r="K2090" s="91"/>
      <c r="L2090" s="364">
        <v>0</v>
      </c>
      <c r="M2090" s="364">
        <v>0</v>
      </c>
      <c r="N2090" s="364">
        <v>0</v>
      </c>
      <c r="O2090" s="364">
        <v>0</v>
      </c>
      <c r="P2090" s="364">
        <v>0</v>
      </c>
      <c r="Q2090" s="1475">
        <f>L2090*$H2087</f>
        <v>0</v>
      </c>
      <c r="R2090" s="1475">
        <f>M2090*$H2087</f>
        <v>0</v>
      </c>
      <c r="S2090" s="1475">
        <f>N2090*$H2087</f>
        <v>0</v>
      </c>
      <c r="T2090" s="1475">
        <f>O2090*$H2087</f>
        <v>0</v>
      </c>
      <c r="U2090" s="1475">
        <f>P2090*$H2087</f>
        <v>0</v>
      </c>
      <c r="V2090" s="1475">
        <f t="shared" si="1036"/>
        <v>0</v>
      </c>
    </row>
    <row r="2091" spans="1:22" s="39" customFormat="1" ht="24" customHeight="1">
      <c r="A2091" s="1860">
        <v>3</v>
      </c>
      <c r="B2091" s="1860"/>
      <c r="C2091" s="1860"/>
      <c r="D2091" s="1860"/>
      <c r="E2091" s="1839"/>
      <c r="F2091" s="1841"/>
      <c r="G2091" s="1644"/>
      <c r="H2091" s="1618"/>
      <c r="I2091" s="1617"/>
      <c r="J2091" s="40" t="s">
        <v>84</v>
      </c>
      <c r="K2091" s="91"/>
      <c r="L2091" s="364">
        <f>L2082-L2083</f>
        <v>0</v>
      </c>
      <c r="M2091" s="364">
        <f t="shared" ref="M2091:U2091" si="1039">M2082-M2083</f>
        <v>0</v>
      </c>
      <c r="N2091" s="364">
        <f t="shared" si="1039"/>
        <v>0</v>
      </c>
      <c r="O2091" s="364">
        <f t="shared" si="1039"/>
        <v>0</v>
      </c>
      <c r="P2091" s="364">
        <f t="shared" si="1039"/>
        <v>0</v>
      </c>
      <c r="Q2091" s="1475">
        <f t="shared" si="1039"/>
        <v>0</v>
      </c>
      <c r="R2091" s="1475">
        <f t="shared" si="1039"/>
        <v>0</v>
      </c>
      <c r="S2091" s="1475">
        <f t="shared" si="1039"/>
        <v>0</v>
      </c>
      <c r="T2091" s="1475">
        <f t="shared" si="1039"/>
        <v>0</v>
      </c>
      <c r="U2091" s="1475">
        <f t="shared" si="1039"/>
        <v>0</v>
      </c>
      <c r="V2091" s="1475">
        <f t="shared" si="1036"/>
        <v>0</v>
      </c>
    </row>
    <row r="2092" spans="1:22" s="39" customFormat="1" ht="24" customHeight="1">
      <c r="A2092" s="1860">
        <v>3</v>
      </c>
      <c r="B2092" s="1860">
        <v>5</v>
      </c>
      <c r="C2092" s="1860">
        <v>1</v>
      </c>
      <c r="D2092" s="1860">
        <v>3</v>
      </c>
      <c r="E2092" s="1839" t="s">
        <v>15</v>
      </c>
      <c r="F2092" s="1841" t="str">
        <f>CONCATENATE(A2092,".",B2092,".",C2092,".",D2092,)</f>
        <v>3.5.1.3</v>
      </c>
      <c r="G2092" s="1642" t="s">
        <v>800</v>
      </c>
      <c r="H2092" s="1601" t="s">
        <v>717</v>
      </c>
      <c r="I2092" s="1614" t="s">
        <v>1103</v>
      </c>
      <c r="J2092" s="36" t="s">
        <v>79</v>
      </c>
      <c r="K2092" s="896"/>
      <c r="L2092" s="383">
        <v>0</v>
      </c>
      <c r="M2092" s="383">
        <v>1</v>
      </c>
      <c r="N2092" s="383">
        <v>0</v>
      </c>
      <c r="O2092" s="383">
        <v>0</v>
      </c>
      <c r="P2092" s="383">
        <v>0</v>
      </c>
      <c r="Q2092" s="1475">
        <f>L2092*H2097</f>
        <v>0</v>
      </c>
      <c r="R2092" s="1475">
        <f>M2092*H2097</f>
        <v>16947</v>
      </c>
      <c r="S2092" s="1475">
        <f>N2092*H2097</f>
        <v>0</v>
      </c>
      <c r="T2092" s="1475">
        <f>O2092*H2097</f>
        <v>0</v>
      </c>
      <c r="U2092" s="1475">
        <f>P2092*H2097</f>
        <v>0</v>
      </c>
      <c r="V2092" s="1475">
        <f t="shared" si="1036"/>
        <v>16947</v>
      </c>
    </row>
    <row r="2093" spans="1:22" s="39" customFormat="1" ht="24" customHeight="1">
      <c r="A2093" s="1860">
        <v>3</v>
      </c>
      <c r="B2093" s="1860"/>
      <c r="C2093" s="1860"/>
      <c r="D2093" s="1860"/>
      <c r="E2093" s="1839"/>
      <c r="F2093" s="1841"/>
      <c r="G2093" s="1643"/>
      <c r="H2093" s="1601"/>
      <c r="I2093" s="1615"/>
      <c r="J2093" s="40" t="s">
        <v>80</v>
      </c>
      <c r="K2093" s="91"/>
      <c r="L2093" s="364">
        <f t="shared" ref="L2093:U2093" si="1040">SUM(L2094:L2100)</f>
        <v>0</v>
      </c>
      <c r="M2093" s="364">
        <f t="shared" si="1040"/>
        <v>1</v>
      </c>
      <c r="N2093" s="364">
        <f t="shared" si="1040"/>
        <v>0</v>
      </c>
      <c r="O2093" s="364">
        <f t="shared" si="1040"/>
        <v>0</v>
      </c>
      <c r="P2093" s="364">
        <f t="shared" si="1040"/>
        <v>0</v>
      </c>
      <c r="Q2093" s="1475">
        <f t="shared" si="1040"/>
        <v>0</v>
      </c>
      <c r="R2093" s="1475">
        <f t="shared" si="1040"/>
        <v>16947</v>
      </c>
      <c r="S2093" s="1475">
        <f t="shared" si="1040"/>
        <v>0</v>
      </c>
      <c r="T2093" s="1475">
        <f t="shared" si="1040"/>
        <v>0</v>
      </c>
      <c r="U2093" s="1475">
        <f t="shared" si="1040"/>
        <v>0</v>
      </c>
      <c r="V2093" s="1475">
        <f t="shared" si="1036"/>
        <v>16947</v>
      </c>
    </row>
    <row r="2094" spans="1:22" s="39" customFormat="1" ht="24" customHeight="1">
      <c r="A2094" s="1860">
        <v>3</v>
      </c>
      <c r="B2094" s="1860"/>
      <c r="C2094" s="1860"/>
      <c r="D2094" s="1860"/>
      <c r="E2094" s="1839"/>
      <c r="F2094" s="1841"/>
      <c r="G2094" s="1643"/>
      <c r="H2094" s="1601"/>
      <c r="I2094" s="1615"/>
      <c r="J2094" s="40" t="s">
        <v>429</v>
      </c>
      <c r="K2094" s="91"/>
      <c r="L2094" s="364">
        <v>0</v>
      </c>
      <c r="M2094" s="364">
        <v>0</v>
      </c>
      <c r="N2094" s="364">
        <v>0</v>
      </c>
      <c r="O2094" s="364">
        <v>0</v>
      </c>
      <c r="P2094" s="364">
        <v>0</v>
      </c>
      <c r="Q2094" s="1475">
        <f>L2094*$H2097</f>
        <v>0</v>
      </c>
      <c r="R2094" s="1475">
        <f>M2094*$H2097</f>
        <v>0</v>
      </c>
      <c r="S2094" s="1475">
        <f>N2094*$H2097</f>
        <v>0</v>
      </c>
      <c r="T2094" s="1475">
        <f>O2094*$H2097</f>
        <v>0</v>
      </c>
      <c r="U2094" s="1475">
        <f>P2094*$H2097</f>
        <v>0</v>
      </c>
      <c r="V2094" s="1475">
        <f t="shared" si="1036"/>
        <v>0</v>
      </c>
    </row>
    <row r="2095" spans="1:22" s="39" customFormat="1" ht="24" customHeight="1">
      <c r="A2095" s="1860">
        <v>3</v>
      </c>
      <c r="B2095" s="1860"/>
      <c r="C2095" s="1860"/>
      <c r="D2095" s="1860"/>
      <c r="E2095" s="1839"/>
      <c r="F2095" s="1841"/>
      <c r="G2095" s="1643"/>
      <c r="H2095" s="1601"/>
      <c r="I2095" s="1615"/>
      <c r="J2095" s="40" t="s">
        <v>133</v>
      </c>
      <c r="K2095" s="91"/>
      <c r="L2095" s="364">
        <v>0</v>
      </c>
      <c r="M2095" s="364">
        <v>0</v>
      </c>
      <c r="N2095" s="364">
        <v>0</v>
      </c>
      <c r="O2095" s="364">
        <v>0</v>
      </c>
      <c r="P2095" s="364">
        <v>0</v>
      </c>
      <c r="Q2095" s="1475">
        <f>L2095*$H2097</f>
        <v>0</v>
      </c>
      <c r="R2095" s="1475">
        <f>M2095*$H2097</f>
        <v>0</v>
      </c>
      <c r="S2095" s="1475">
        <f>N2095*$H2097</f>
        <v>0</v>
      </c>
      <c r="T2095" s="1475">
        <f>O2095*$H2097</f>
        <v>0</v>
      </c>
      <c r="U2095" s="1475">
        <f>P2095*$H2097</f>
        <v>0</v>
      </c>
      <c r="V2095" s="1475">
        <f t="shared" si="1036"/>
        <v>0</v>
      </c>
    </row>
    <row r="2096" spans="1:22" s="39" customFormat="1" ht="24" customHeight="1">
      <c r="A2096" s="1860">
        <v>3</v>
      </c>
      <c r="B2096" s="1860"/>
      <c r="C2096" s="1860"/>
      <c r="D2096" s="1860"/>
      <c r="E2096" s="1839"/>
      <c r="F2096" s="1841"/>
      <c r="G2096" s="1643"/>
      <c r="H2096" s="1601"/>
      <c r="I2096" s="1615"/>
      <c r="J2096" s="40" t="s">
        <v>81</v>
      </c>
      <c r="K2096" s="91"/>
      <c r="L2096" s="364">
        <v>0</v>
      </c>
      <c r="M2096" s="364">
        <v>0</v>
      </c>
      <c r="N2096" s="364">
        <v>0</v>
      </c>
      <c r="O2096" s="364">
        <v>0</v>
      </c>
      <c r="P2096" s="364">
        <v>0</v>
      </c>
      <c r="Q2096" s="1475">
        <f>L2096*$H2097</f>
        <v>0</v>
      </c>
      <c r="R2096" s="1475">
        <f>M2096*$H2097</f>
        <v>0</v>
      </c>
      <c r="S2096" s="1475">
        <f>N2096*$H2097</f>
        <v>0</v>
      </c>
      <c r="T2096" s="1475">
        <f>O2096*$H2097</f>
        <v>0</v>
      </c>
      <c r="U2096" s="1475">
        <f>P2096*$H2097</f>
        <v>0</v>
      </c>
      <c r="V2096" s="1475">
        <f t="shared" si="1036"/>
        <v>0</v>
      </c>
    </row>
    <row r="2097" spans="1:22" s="39" customFormat="1" ht="24" customHeight="1">
      <c r="A2097" s="1860">
        <v>3</v>
      </c>
      <c r="B2097" s="1860"/>
      <c r="C2097" s="1860"/>
      <c r="D2097" s="1860"/>
      <c r="E2097" s="1839"/>
      <c r="F2097" s="1841"/>
      <c r="G2097" s="1643"/>
      <c r="H2097" s="1595">
        <f>'Budget assumption'!H28</f>
        <v>16947</v>
      </c>
      <c r="I2097" s="1615"/>
      <c r="J2097" s="40" t="s">
        <v>134</v>
      </c>
      <c r="K2097" s="91"/>
      <c r="L2097" s="364">
        <v>0</v>
      </c>
      <c r="M2097" s="364">
        <v>0</v>
      </c>
      <c r="N2097" s="364">
        <v>0</v>
      </c>
      <c r="O2097" s="364">
        <v>0</v>
      </c>
      <c r="P2097" s="364">
        <v>0</v>
      </c>
      <c r="Q2097" s="1475">
        <f>L2097*$H2097</f>
        <v>0</v>
      </c>
      <c r="R2097" s="1475">
        <f>M2097*$H2097</f>
        <v>0</v>
      </c>
      <c r="S2097" s="1475">
        <f>N2097*$H2097</f>
        <v>0</v>
      </c>
      <c r="T2097" s="1475">
        <f>O2097*$H2097</f>
        <v>0</v>
      </c>
      <c r="U2097" s="1475">
        <f>P2097*$H2097</f>
        <v>0</v>
      </c>
      <c r="V2097" s="1475">
        <f t="shared" si="1036"/>
        <v>0</v>
      </c>
    </row>
    <row r="2098" spans="1:22" s="39" customFormat="1" ht="24" customHeight="1">
      <c r="A2098" s="1860">
        <v>3</v>
      </c>
      <c r="B2098" s="1860"/>
      <c r="C2098" s="1860"/>
      <c r="D2098" s="1860"/>
      <c r="E2098" s="1839"/>
      <c r="F2098" s="1841"/>
      <c r="G2098" s="1643"/>
      <c r="H2098" s="1596">
        <f>810*0.05</f>
        <v>40.5</v>
      </c>
      <c r="I2098" s="1615"/>
      <c r="J2098" s="40" t="s">
        <v>82</v>
      </c>
      <c r="K2098" s="91"/>
      <c r="L2098" s="364">
        <v>0</v>
      </c>
      <c r="M2098" s="364">
        <v>1</v>
      </c>
      <c r="N2098" s="364">
        <v>0</v>
      </c>
      <c r="O2098" s="364">
        <v>0</v>
      </c>
      <c r="P2098" s="364">
        <v>0</v>
      </c>
      <c r="Q2098" s="1475">
        <f>L2098*$H2097</f>
        <v>0</v>
      </c>
      <c r="R2098" s="1475">
        <f>M2098*$H2097</f>
        <v>16947</v>
      </c>
      <c r="S2098" s="1475">
        <f>N2098*$H2097</f>
        <v>0</v>
      </c>
      <c r="T2098" s="1475">
        <f>O2098*$H2097</f>
        <v>0</v>
      </c>
      <c r="U2098" s="1475">
        <f>P2098*$H2097</f>
        <v>0</v>
      </c>
      <c r="V2098" s="1475">
        <f t="shared" si="1036"/>
        <v>16947</v>
      </c>
    </row>
    <row r="2099" spans="1:22" s="39" customFormat="1" ht="24" customHeight="1">
      <c r="A2099" s="1860">
        <v>3</v>
      </c>
      <c r="B2099" s="1860"/>
      <c r="C2099" s="1860"/>
      <c r="D2099" s="1860"/>
      <c r="E2099" s="1839"/>
      <c r="F2099" s="1841"/>
      <c r="G2099" s="1643"/>
      <c r="H2099" s="1596"/>
      <c r="I2099" s="1615"/>
      <c r="J2099" s="40" t="s">
        <v>90</v>
      </c>
      <c r="K2099" s="91"/>
      <c r="L2099" s="364">
        <v>0</v>
      </c>
      <c r="M2099" s="364">
        <v>0</v>
      </c>
      <c r="N2099" s="364">
        <v>0</v>
      </c>
      <c r="O2099" s="364">
        <v>0</v>
      </c>
      <c r="P2099" s="364">
        <v>0</v>
      </c>
      <c r="Q2099" s="1475">
        <f>L2099*$H2097</f>
        <v>0</v>
      </c>
      <c r="R2099" s="1475">
        <f>M2099*$H2097</f>
        <v>0</v>
      </c>
      <c r="S2099" s="1475">
        <f>N2099*$H2097</f>
        <v>0</v>
      </c>
      <c r="T2099" s="1475">
        <f>O2099*$H2097</f>
        <v>0</v>
      </c>
      <c r="U2099" s="1475">
        <f>P2099*$H2097</f>
        <v>0</v>
      </c>
      <c r="V2099" s="1475">
        <f t="shared" si="1036"/>
        <v>0</v>
      </c>
    </row>
    <row r="2100" spans="1:22" s="39" customFormat="1" ht="24" customHeight="1">
      <c r="A2100" s="1860">
        <v>3</v>
      </c>
      <c r="B2100" s="1860"/>
      <c r="C2100" s="1860"/>
      <c r="D2100" s="1860"/>
      <c r="E2100" s="1839"/>
      <c r="F2100" s="1841"/>
      <c r="G2100" s="1643"/>
      <c r="H2100" s="1596"/>
      <c r="I2100" s="1615"/>
      <c r="J2100" s="40" t="s">
        <v>83</v>
      </c>
      <c r="K2100" s="91"/>
      <c r="L2100" s="364">
        <v>0</v>
      </c>
      <c r="M2100" s="364">
        <v>0</v>
      </c>
      <c r="N2100" s="364">
        <v>0</v>
      </c>
      <c r="O2100" s="364">
        <v>0</v>
      </c>
      <c r="P2100" s="364">
        <v>0</v>
      </c>
      <c r="Q2100" s="1475">
        <f>L2100*$H2097</f>
        <v>0</v>
      </c>
      <c r="R2100" s="1475">
        <f>M2100*$H2097</f>
        <v>0</v>
      </c>
      <c r="S2100" s="1475">
        <f>N2100*$H2097</f>
        <v>0</v>
      </c>
      <c r="T2100" s="1475">
        <f>O2100*$H2097</f>
        <v>0</v>
      </c>
      <c r="U2100" s="1475">
        <f>P2100*$H2097</f>
        <v>0</v>
      </c>
      <c r="V2100" s="1475">
        <f t="shared" si="1036"/>
        <v>0</v>
      </c>
    </row>
    <row r="2101" spans="1:22" s="39" customFormat="1" ht="24" customHeight="1">
      <c r="A2101" s="1860">
        <v>3</v>
      </c>
      <c r="B2101" s="1860"/>
      <c r="C2101" s="1860"/>
      <c r="D2101" s="1860"/>
      <c r="E2101" s="1839"/>
      <c r="F2101" s="1841"/>
      <c r="G2101" s="1644"/>
      <c r="H2101" s="1618"/>
      <c r="I2101" s="1617"/>
      <c r="J2101" s="40" t="s">
        <v>84</v>
      </c>
      <c r="K2101" s="91"/>
      <c r="L2101" s="364">
        <f>L2092-L2093</f>
        <v>0</v>
      </c>
      <c r="M2101" s="364">
        <f t="shared" ref="M2101:U2101" si="1041">M2092-M2093</f>
        <v>0</v>
      </c>
      <c r="N2101" s="364">
        <f t="shared" si="1041"/>
        <v>0</v>
      </c>
      <c r="O2101" s="364">
        <f t="shared" si="1041"/>
        <v>0</v>
      </c>
      <c r="P2101" s="364">
        <f t="shared" si="1041"/>
        <v>0</v>
      </c>
      <c r="Q2101" s="1475">
        <f t="shared" si="1041"/>
        <v>0</v>
      </c>
      <c r="R2101" s="1475">
        <f t="shared" si="1041"/>
        <v>0</v>
      </c>
      <c r="S2101" s="1475">
        <f t="shared" si="1041"/>
        <v>0</v>
      </c>
      <c r="T2101" s="1475">
        <f t="shared" si="1041"/>
        <v>0</v>
      </c>
      <c r="U2101" s="1475">
        <f t="shared" si="1041"/>
        <v>0</v>
      </c>
      <c r="V2101" s="1475">
        <f t="shared" si="1036"/>
        <v>0</v>
      </c>
    </row>
    <row r="2102" spans="1:22" s="39" customFormat="1" ht="24" customHeight="1">
      <c r="A2102" s="1860">
        <v>3</v>
      </c>
      <c r="B2102" s="1860">
        <v>5</v>
      </c>
      <c r="C2102" s="1860">
        <v>1</v>
      </c>
      <c r="D2102" s="1860">
        <v>4</v>
      </c>
      <c r="E2102" s="1839" t="s">
        <v>15</v>
      </c>
      <c r="F2102" s="1841" t="str">
        <f>CONCATENATE(A2102,".",B2102,".",C2102,".",D2102,)</f>
        <v>3.5.1.4</v>
      </c>
      <c r="G2102" s="1647" t="s">
        <v>718</v>
      </c>
      <c r="H2102" s="1629" t="s">
        <v>142</v>
      </c>
      <c r="I2102" s="1557" t="s">
        <v>680</v>
      </c>
      <c r="J2102" s="979" t="s">
        <v>79</v>
      </c>
      <c r="K2102" s="919"/>
      <c r="L2102" s="893">
        <v>0</v>
      </c>
      <c r="M2102" s="893">
        <v>1</v>
      </c>
      <c r="N2102" s="383">
        <v>0</v>
      </c>
      <c r="O2102" s="383">
        <v>0</v>
      </c>
      <c r="P2102" s="383">
        <v>0</v>
      </c>
      <c r="Q2102" s="1475">
        <f>L2102*H2107</f>
        <v>0</v>
      </c>
      <c r="R2102" s="1475">
        <f>M2102*H2107</f>
        <v>44841.3</v>
      </c>
      <c r="S2102" s="1475">
        <f>N2102*H2107</f>
        <v>0</v>
      </c>
      <c r="T2102" s="1475">
        <f>O2102*H2107</f>
        <v>0</v>
      </c>
      <c r="U2102" s="1475">
        <f>P2102*H2107</f>
        <v>0</v>
      </c>
      <c r="V2102" s="1475">
        <f t="shared" si="1036"/>
        <v>44841.3</v>
      </c>
    </row>
    <row r="2103" spans="1:22" s="39" customFormat="1" ht="24" customHeight="1">
      <c r="A2103" s="1860">
        <v>3</v>
      </c>
      <c r="B2103" s="1860"/>
      <c r="C2103" s="1860"/>
      <c r="D2103" s="1860"/>
      <c r="E2103" s="1839"/>
      <c r="F2103" s="1841"/>
      <c r="G2103" s="1648"/>
      <c r="H2103" s="1629"/>
      <c r="I2103" s="1558"/>
      <c r="J2103" s="846" t="s">
        <v>80</v>
      </c>
      <c r="K2103" s="980"/>
      <c r="L2103" s="365">
        <f t="shared" ref="L2103:U2103" si="1042">SUM(L2104:L2110)</f>
        <v>0</v>
      </c>
      <c r="M2103" s="365">
        <f t="shared" si="1042"/>
        <v>1</v>
      </c>
      <c r="N2103" s="364">
        <f t="shared" si="1042"/>
        <v>0</v>
      </c>
      <c r="O2103" s="364">
        <f t="shared" si="1042"/>
        <v>0</v>
      </c>
      <c r="P2103" s="364">
        <f t="shared" si="1042"/>
        <v>0</v>
      </c>
      <c r="Q2103" s="1475">
        <f t="shared" si="1042"/>
        <v>0</v>
      </c>
      <c r="R2103" s="1475">
        <f t="shared" si="1042"/>
        <v>44841.3</v>
      </c>
      <c r="S2103" s="1475">
        <f t="shared" si="1042"/>
        <v>0</v>
      </c>
      <c r="T2103" s="1475">
        <f t="shared" si="1042"/>
        <v>0</v>
      </c>
      <c r="U2103" s="1475">
        <f t="shared" si="1042"/>
        <v>0</v>
      </c>
      <c r="V2103" s="1475">
        <f t="shared" si="1036"/>
        <v>44841.3</v>
      </c>
    </row>
    <row r="2104" spans="1:22" s="39" customFormat="1" ht="24" customHeight="1">
      <c r="A2104" s="1860">
        <v>3</v>
      </c>
      <c r="B2104" s="1860"/>
      <c r="C2104" s="1860"/>
      <c r="D2104" s="1860"/>
      <c r="E2104" s="1839"/>
      <c r="F2104" s="1841"/>
      <c r="G2104" s="1648"/>
      <c r="H2104" s="1629"/>
      <c r="I2104" s="1558"/>
      <c r="J2104" s="846" t="s">
        <v>429</v>
      </c>
      <c r="K2104" s="980"/>
      <c r="L2104" s="365">
        <v>0</v>
      </c>
      <c r="M2104" s="365">
        <v>0</v>
      </c>
      <c r="N2104" s="364">
        <v>0</v>
      </c>
      <c r="O2104" s="364">
        <v>0</v>
      </c>
      <c r="P2104" s="364">
        <v>0</v>
      </c>
      <c r="Q2104" s="1475">
        <f>L2104*$H2107</f>
        <v>0</v>
      </c>
      <c r="R2104" s="1475">
        <f>M2104*$H2107</f>
        <v>0</v>
      </c>
      <c r="S2104" s="1475">
        <f>N2104*$H2107</f>
        <v>0</v>
      </c>
      <c r="T2104" s="1475">
        <f>O2104*$H2107</f>
        <v>0</v>
      </c>
      <c r="U2104" s="1475">
        <f>P2104*$H2107</f>
        <v>0</v>
      </c>
      <c r="V2104" s="1475">
        <f t="shared" si="1036"/>
        <v>0</v>
      </c>
    </row>
    <row r="2105" spans="1:22" s="39" customFormat="1" ht="24" customHeight="1">
      <c r="A2105" s="1860">
        <v>3</v>
      </c>
      <c r="B2105" s="1860"/>
      <c r="C2105" s="1860"/>
      <c r="D2105" s="1860"/>
      <c r="E2105" s="1839"/>
      <c r="F2105" s="1841"/>
      <c r="G2105" s="1648"/>
      <c r="H2105" s="1629"/>
      <c r="I2105" s="1558"/>
      <c r="J2105" s="846" t="s">
        <v>133</v>
      </c>
      <c r="K2105" s="980"/>
      <c r="L2105" s="365">
        <v>0</v>
      </c>
      <c r="M2105" s="365">
        <v>0</v>
      </c>
      <c r="N2105" s="364">
        <v>0</v>
      </c>
      <c r="O2105" s="364">
        <v>0</v>
      </c>
      <c r="P2105" s="364">
        <v>0</v>
      </c>
      <c r="Q2105" s="1475">
        <f>L2105*$H2107</f>
        <v>0</v>
      </c>
      <c r="R2105" s="1475">
        <f>M2105*$H2107</f>
        <v>0</v>
      </c>
      <c r="S2105" s="1475">
        <f>N2105*$H2107</f>
        <v>0</v>
      </c>
      <c r="T2105" s="1475">
        <f>O2105*$H2107</f>
        <v>0</v>
      </c>
      <c r="U2105" s="1475">
        <f>P2105*$H2107</f>
        <v>0</v>
      </c>
      <c r="V2105" s="1475">
        <f t="shared" si="1036"/>
        <v>0</v>
      </c>
    </row>
    <row r="2106" spans="1:22" s="39" customFormat="1" ht="24" customHeight="1">
      <c r="A2106" s="1860">
        <v>3</v>
      </c>
      <c r="B2106" s="1860"/>
      <c r="C2106" s="1860"/>
      <c r="D2106" s="1860"/>
      <c r="E2106" s="1839"/>
      <c r="F2106" s="1841"/>
      <c r="G2106" s="1648"/>
      <c r="H2106" s="1629"/>
      <c r="I2106" s="1558"/>
      <c r="J2106" s="846" t="s">
        <v>81</v>
      </c>
      <c r="K2106" s="980"/>
      <c r="L2106" s="365">
        <v>0</v>
      </c>
      <c r="M2106" s="365">
        <v>0</v>
      </c>
      <c r="N2106" s="364">
        <v>0</v>
      </c>
      <c r="O2106" s="364">
        <v>0</v>
      </c>
      <c r="P2106" s="364">
        <v>0</v>
      </c>
      <c r="Q2106" s="1475">
        <f>L2106*$H2107</f>
        <v>0</v>
      </c>
      <c r="R2106" s="1475">
        <f>M2106*$H2107</f>
        <v>0</v>
      </c>
      <c r="S2106" s="1475">
        <f>N2106*$H2107</f>
        <v>0</v>
      </c>
      <c r="T2106" s="1475">
        <f>O2106*$H2107</f>
        <v>0</v>
      </c>
      <c r="U2106" s="1475">
        <f>P2106*$H2107</f>
        <v>0</v>
      </c>
      <c r="V2106" s="1475">
        <f t="shared" si="1036"/>
        <v>0</v>
      </c>
    </row>
    <row r="2107" spans="1:22" s="39" customFormat="1" ht="24" customHeight="1">
      <c r="A2107" s="1860">
        <v>3</v>
      </c>
      <c r="B2107" s="1860"/>
      <c r="C2107" s="1860"/>
      <c r="D2107" s="1860"/>
      <c r="E2107" s="1839"/>
      <c r="F2107" s="1841"/>
      <c r="G2107" s="1648"/>
      <c r="H2107" s="1602">
        <f>'Budget assumption'!H43</f>
        <v>44841.3</v>
      </c>
      <c r="I2107" s="1558"/>
      <c r="J2107" s="846" t="s">
        <v>134</v>
      </c>
      <c r="K2107" s="980"/>
      <c r="L2107" s="365">
        <f>L2098*30%</f>
        <v>0</v>
      </c>
      <c r="M2107" s="365">
        <v>0</v>
      </c>
      <c r="N2107" s="364">
        <f>N2098*30%</f>
        <v>0</v>
      </c>
      <c r="O2107" s="364">
        <f>O2098*30%</f>
        <v>0</v>
      </c>
      <c r="P2107" s="364">
        <f>P2098*30%</f>
        <v>0</v>
      </c>
      <c r="Q2107" s="1475">
        <f>L2107*$H2107</f>
        <v>0</v>
      </c>
      <c r="R2107" s="1475">
        <f>M2107*$H2107</f>
        <v>0</v>
      </c>
      <c r="S2107" s="1475">
        <f>N2107*$H2107</f>
        <v>0</v>
      </c>
      <c r="T2107" s="1475">
        <f>O2107*$H2107</f>
        <v>0</v>
      </c>
      <c r="U2107" s="1475">
        <f>P2107*$H2107</f>
        <v>0</v>
      </c>
      <c r="V2107" s="1475">
        <f t="shared" si="1036"/>
        <v>0</v>
      </c>
    </row>
    <row r="2108" spans="1:22" s="39" customFormat="1" ht="24" customHeight="1">
      <c r="A2108" s="1860">
        <v>3</v>
      </c>
      <c r="B2108" s="1860"/>
      <c r="C2108" s="1860"/>
      <c r="D2108" s="1860"/>
      <c r="E2108" s="1839"/>
      <c r="F2108" s="1841"/>
      <c r="G2108" s="1648"/>
      <c r="H2108" s="1603">
        <f>810*0.05</f>
        <v>40.5</v>
      </c>
      <c r="I2108" s="1558"/>
      <c r="J2108" s="846" t="s">
        <v>82</v>
      </c>
      <c r="K2108" s="980"/>
      <c r="L2108" s="365">
        <v>0</v>
      </c>
      <c r="M2108" s="365">
        <v>1</v>
      </c>
      <c r="N2108" s="364">
        <v>0</v>
      </c>
      <c r="O2108" s="364">
        <v>0</v>
      </c>
      <c r="P2108" s="364">
        <v>0</v>
      </c>
      <c r="Q2108" s="1475">
        <f>L2108*$H2107</f>
        <v>0</v>
      </c>
      <c r="R2108" s="1475">
        <f>M2108*$H2107</f>
        <v>44841.3</v>
      </c>
      <c r="S2108" s="1475">
        <f>N2108*$H2107</f>
        <v>0</v>
      </c>
      <c r="T2108" s="1475">
        <f>O2108*$H2107</f>
        <v>0</v>
      </c>
      <c r="U2108" s="1475">
        <f>P2108*$H2107</f>
        <v>0</v>
      </c>
      <c r="V2108" s="1475">
        <f t="shared" si="1036"/>
        <v>44841.3</v>
      </c>
    </row>
    <row r="2109" spans="1:22" s="39" customFormat="1" ht="24" customHeight="1">
      <c r="A2109" s="1860">
        <v>3</v>
      </c>
      <c r="B2109" s="1860"/>
      <c r="C2109" s="1860"/>
      <c r="D2109" s="1860"/>
      <c r="E2109" s="1839"/>
      <c r="F2109" s="1841"/>
      <c r="G2109" s="1648"/>
      <c r="H2109" s="1603"/>
      <c r="I2109" s="1558"/>
      <c r="J2109" s="846" t="s">
        <v>90</v>
      </c>
      <c r="K2109" s="980"/>
      <c r="L2109" s="365">
        <v>0</v>
      </c>
      <c r="M2109" s="365">
        <v>0</v>
      </c>
      <c r="N2109" s="364">
        <v>0</v>
      </c>
      <c r="O2109" s="364">
        <v>0</v>
      </c>
      <c r="P2109" s="364">
        <v>0</v>
      </c>
      <c r="Q2109" s="1475">
        <f>L2109*$H2107</f>
        <v>0</v>
      </c>
      <c r="R2109" s="1475">
        <f>M2109*$H2107</f>
        <v>0</v>
      </c>
      <c r="S2109" s="1475">
        <f>N2109*$H2107</f>
        <v>0</v>
      </c>
      <c r="T2109" s="1475">
        <f>O2109*$H2107</f>
        <v>0</v>
      </c>
      <c r="U2109" s="1475">
        <f>P2109*$H2107</f>
        <v>0</v>
      </c>
      <c r="V2109" s="1475">
        <f t="shared" si="1036"/>
        <v>0</v>
      </c>
    </row>
    <row r="2110" spans="1:22" s="39" customFormat="1" ht="24" customHeight="1">
      <c r="A2110" s="1860">
        <v>3</v>
      </c>
      <c r="B2110" s="1860"/>
      <c r="C2110" s="1860"/>
      <c r="D2110" s="1860"/>
      <c r="E2110" s="1839"/>
      <c r="F2110" s="1841"/>
      <c r="G2110" s="1648"/>
      <c r="H2110" s="1603"/>
      <c r="I2110" s="1558"/>
      <c r="J2110" s="846" t="s">
        <v>83</v>
      </c>
      <c r="K2110" s="980"/>
      <c r="L2110" s="365">
        <v>0</v>
      </c>
      <c r="M2110" s="365">
        <v>0</v>
      </c>
      <c r="N2110" s="364">
        <v>0</v>
      </c>
      <c r="O2110" s="364">
        <v>0</v>
      </c>
      <c r="P2110" s="364">
        <v>0</v>
      </c>
      <c r="Q2110" s="1475">
        <f>L2110*$H2107</f>
        <v>0</v>
      </c>
      <c r="R2110" s="1475">
        <f>M2110*$H2107</f>
        <v>0</v>
      </c>
      <c r="S2110" s="1475">
        <f>N2110*$H2107</f>
        <v>0</v>
      </c>
      <c r="T2110" s="1475">
        <f>O2110*$H2107</f>
        <v>0</v>
      </c>
      <c r="U2110" s="1475">
        <f>P2110*$H2107</f>
        <v>0</v>
      </c>
      <c r="V2110" s="1475">
        <f t="shared" si="1036"/>
        <v>0</v>
      </c>
    </row>
    <row r="2111" spans="1:22" s="39" customFormat="1" ht="24" customHeight="1">
      <c r="A2111" s="1860">
        <v>3</v>
      </c>
      <c r="B2111" s="1860"/>
      <c r="C2111" s="1860"/>
      <c r="D2111" s="1860"/>
      <c r="E2111" s="1839"/>
      <c r="F2111" s="1841"/>
      <c r="G2111" s="1649"/>
      <c r="H2111" s="1604"/>
      <c r="I2111" s="1559"/>
      <c r="J2111" s="846" t="s">
        <v>84</v>
      </c>
      <c r="K2111" s="980"/>
      <c r="L2111" s="365">
        <f>L2102-L2103</f>
        <v>0</v>
      </c>
      <c r="M2111" s="365">
        <f t="shared" ref="M2111:U2111" si="1043">M2102-M2103</f>
        <v>0</v>
      </c>
      <c r="N2111" s="364">
        <f t="shared" si="1043"/>
        <v>0</v>
      </c>
      <c r="O2111" s="364">
        <f t="shared" si="1043"/>
        <v>0</v>
      </c>
      <c r="P2111" s="364">
        <f t="shared" si="1043"/>
        <v>0</v>
      </c>
      <c r="Q2111" s="1475">
        <f t="shared" si="1043"/>
        <v>0</v>
      </c>
      <c r="R2111" s="1475">
        <f t="shared" si="1043"/>
        <v>0</v>
      </c>
      <c r="S2111" s="1475">
        <f t="shared" si="1043"/>
        <v>0</v>
      </c>
      <c r="T2111" s="1475">
        <f t="shared" si="1043"/>
        <v>0</v>
      </c>
      <c r="U2111" s="1475">
        <f t="shared" si="1043"/>
        <v>0</v>
      </c>
      <c r="V2111" s="1475">
        <f t="shared" si="1036"/>
        <v>0</v>
      </c>
    </row>
    <row r="2112" spans="1:22" s="39" customFormat="1" ht="24" customHeight="1">
      <c r="A2112" s="1860">
        <v>3</v>
      </c>
      <c r="B2112" s="1860">
        <v>5</v>
      </c>
      <c r="C2112" s="1860">
        <v>1</v>
      </c>
      <c r="D2112" s="1860">
        <v>5</v>
      </c>
      <c r="E2112" s="1839" t="s">
        <v>15</v>
      </c>
      <c r="F2112" s="1841" t="str">
        <f>CONCATENATE(A2112,".",B2112,".",C2112,".",D2112,)</f>
        <v>3.5.1.5</v>
      </c>
      <c r="G2112" s="1642" t="s">
        <v>719</v>
      </c>
      <c r="H2112" s="1601" t="s">
        <v>195</v>
      </c>
      <c r="I2112" s="1614" t="s">
        <v>720</v>
      </c>
      <c r="J2112" s="36" t="s">
        <v>79</v>
      </c>
      <c r="K2112" s="896"/>
      <c r="L2112" s="383">
        <v>0</v>
      </c>
      <c r="M2112" s="383">
        <v>0</v>
      </c>
      <c r="N2112" s="383">
        <v>20</v>
      </c>
      <c r="O2112" s="383">
        <v>0</v>
      </c>
      <c r="P2112" s="383">
        <v>0</v>
      </c>
      <c r="Q2112" s="1475">
        <f>L2112*H2117</f>
        <v>0</v>
      </c>
      <c r="R2112" s="1475">
        <f>M2112*H2117</f>
        <v>0</v>
      </c>
      <c r="S2112" s="1475">
        <f>N2112*H2117</f>
        <v>40000</v>
      </c>
      <c r="T2112" s="1475">
        <f>O2112*H2117</f>
        <v>0</v>
      </c>
      <c r="U2112" s="1475">
        <f>P2112*H2117</f>
        <v>0</v>
      </c>
      <c r="V2112" s="1475">
        <f t="shared" si="1036"/>
        <v>40000</v>
      </c>
    </row>
    <row r="2113" spans="1:22" s="39" customFormat="1" ht="24" customHeight="1">
      <c r="A2113" s="1860">
        <v>3</v>
      </c>
      <c r="B2113" s="1860"/>
      <c r="C2113" s="1860"/>
      <c r="D2113" s="1860"/>
      <c r="E2113" s="1839"/>
      <c r="F2113" s="1841"/>
      <c r="G2113" s="1643"/>
      <c r="H2113" s="1601"/>
      <c r="I2113" s="1615"/>
      <c r="J2113" s="40" t="s">
        <v>80</v>
      </c>
      <c r="K2113" s="91"/>
      <c r="L2113" s="364">
        <f t="shared" ref="L2113:U2113" si="1044">SUM(L2114:L2120)</f>
        <v>0</v>
      </c>
      <c r="M2113" s="364">
        <f t="shared" si="1044"/>
        <v>0</v>
      </c>
      <c r="N2113" s="364">
        <v>20</v>
      </c>
      <c r="O2113" s="364">
        <f t="shared" si="1044"/>
        <v>0</v>
      </c>
      <c r="P2113" s="364">
        <f t="shared" si="1044"/>
        <v>0</v>
      </c>
      <c r="Q2113" s="1475">
        <f t="shared" si="1044"/>
        <v>0</v>
      </c>
      <c r="R2113" s="1475">
        <f t="shared" si="1044"/>
        <v>0</v>
      </c>
      <c r="S2113" s="1475">
        <f t="shared" si="1044"/>
        <v>40000</v>
      </c>
      <c r="T2113" s="1475">
        <f t="shared" si="1044"/>
        <v>0</v>
      </c>
      <c r="U2113" s="1475">
        <f t="shared" si="1044"/>
        <v>0</v>
      </c>
      <c r="V2113" s="1475">
        <f t="shared" si="1036"/>
        <v>40000</v>
      </c>
    </row>
    <row r="2114" spans="1:22" s="39" customFormat="1" ht="24" customHeight="1">
      <c r="A2114" s="1860">
        <v>3</v>
      </c>
      <c r="B2114" s="1860"/>
      <c r="C2114" s="1860"/>
      <c r="D2114" s="1860"/>
      <c r="E2114" s="1839"/>
      <c r="F2114" s="1841"/>
      <c r="G2114" s="1643"/>
      <c r="H2114" s="1601"/>
      <c r="I2114" s="1615"/>
      <c r="J2114" s="40" t="s">
        <v>429</v>
      </c>
      <c r="K2114" s="91"/>
      <c r="L2114" s="364">
        <v>0</v>
      </c>
      <c r="M2114" s="364">
        <v>0</v>
      </c>
      <c r="N2114" s="364">
        <v>0</v>
      </c>
      <c r="O2114" s="364">
        <v>0</v>
      </c>
      <c r="P2114" s="364">
        <v>0</v>
      </c>
      <c r="Q2114" s="1475">
        <f>L2114*$H2117</f>
        <v>0</v>
      </c>
      <c r="R2114" s="1475">
        <f>M2114*$H2117</f>
        <v>0</v>
      </c>
      <c r="S2114" s="1475">
        <f>N2114*$H2117</f>
        <v>0</v>
      </c>
      <c r="T2114" s="1475">
        <f>O2114*$H2117</f>
        <v>0</v>
      </c>
      <c r="U2114" s="1475">
        <f>P2114*$H2117</f>
        <v>0</v>
      </c>
      <c r="V2114" s="1475">
        <f t="shared" si="1036"/>
        <v>0</v>
      </c>
    </row>
    <row r="2115" spans="1:22" s="39" customFormat="1" ht="24" customHeight="1">
      <c r="A2115" s="1860">
        <v>3</v>
      </c>
      <c r="B2115" s="1860"/>
      <c r="C2115" s="1860"/>
      <c r="D2115" s="1860"/>
      <c r="E2115" s="1839"/>
      <c r="F2115" s="1841"/>
      <c r="G2115" s="1643"/>
      <c r="H2115" s="1601"/>
      <c r="I2115" s="1615"/>
      <c r="J2115" s="40" t="s">
        <v>133</v>
      </c>
      <c r="K2115" s="91"/>
      <c r="L2115" s="364">
        <v>0</v>
      </c>
      <c r="M2115" s="364">
        <v>0</v>
      </c>
      <c r="N2115" s="364">
        <v>0</v>
      </c>
      <c r="O2115" s="364">
        <v>0</v>
      </c>
      <c r="P2115" s="364">
        <v>0</v>
      </c>
      <c r="Q2115" s="1475">
        <f>L2115*$H2117</f>
        <v>0</v>
      </c>
      <c r="R2115" s="1475">
        <f>M2115*$H2117</f>
        <v>0</v>
      </c>
      <c r="S2115" s="1475">
        <f>N2115*$H2117</f>
        <v>0</v>
      </c>
      <c r="T2115" s="1475">
        <f>O2115*$H2117</f>
        <v>0</v>
      </c>
      <c r="U2115" s="1475">
        <f>P2115*$H2117</f>
        <v>0</v>
      </c>
      <c r="V2115" s="1475">
        <f t="shared" si="1036"/>
        <v>0</v>
      </c>
    </row>
    <row r="2116" spans="1:22" s="39" customFormat="1" ht="24" customHeight="1">
      <c r="A2116" s="1860">
        <v>3</v>
      </c>
      <c r="B2116" s="1860"/>
      <c r="C2116" s="1860"/>
      <c r="D2116" s="1860"/>
      <c r="E2116" s="1839"/>
      <c r="F2116" s="1841"/>
      <c r="G2116" s="1643"/>
      <c r="H2116" s="1601"/>
      <c r="I2116" s="1615"/>
      <c r="J2116" s="40" t="s">
        <v>81</v>
      </c>
      <c r="K2116" s="91"/>
      <c r="L2116" s="364">
        <v>0</v>
      </c>
      <c r="M2116" s="364">
        <v>0</v>
      </c>
      <c r="N2116" s="364">
        <v>0</v>
      </c>
      <c r="O2116" s="364">
        <v>0</v>
      </c>
      <c r="P2116" s="364">
        <v>0</v>
      </c>
      <c r="Q2116" s="1475">
        <f>L2116*$H2117</f>
        <v>0</v>
      </c>
      <c r="R2116" s="1475">
        <f>M2116*$H2117</f>
        <v>0</v>
      </c>
      <c r="S2116" s="1475">
        <f>N2116*$H2117</f>
        <v>0</v>
      </c>
      <c r="T2116" s="1475">
        <f>O2116*$H2117</f>
        <v>0</v>
      </c>
      <c r="U2116" s="1475">
        <f>P2116*$H2117</f>
        <v>0</v>
      </c>
      <c r="V2116" s="1475">
        <f t="shared" si="1036"/>
        <v>0</v>
      </c>
    </row>
    <row r="2117" spans="1:22" s="39" customFormat="1" ht="24" customHeight="1">
      <c r="A2117" s="1860">
        <v>3</v>
      </c>
      <c r="B2117" s="1860"/>
      <c r="C2117" s="1860"/>
      <c r="D2117" s="1860"/>
      <c r="E2117" s="1839"/>
      <c r="F2117" s="1841"/>
      <c r="G2117" s="1643"/>
      <c r="H2117" s="1595">
        <f>'Budget assumption'!$C$4</f>
        <v>2000</v>
      </c>
      <c r="I2117" s="1615"/>
      <c r="J2117" s="40" t="s">
        <v>134</v>
      </c>
      <c r="K2117" s="91"/>
      <c r="L2117" s="364">
        <v>0</v>
      </c>
      <c r="M2117" s="364">
        <v>0</v>
      </c>
      <c r="N2117" s="364">
        <v>0</v>
      </c>
      <c r="O2117" s="364">
        <v>0</v>
      </c>
      <c r="P2117" s="364">
        <v>0</v>
      </c>
      <c r="Q2117" s="1475">
        <f>L2117*$H2117</f>
        <v>0</v>
      </c>
      <c r="R2117" s="1475">
        <f>M2117*$H2117</f>
        <v>0</v>
      </c>
      <c r="S2117" s="1475">
        <f>N2117*$H2117</f>
        <v>0</v>
      </c>
      <c r="T2117" s="1475">
        <f>O2117*$H2117</f>
        <v>0</v>
      </c>
      <c r="U2117" s="1475">
        <f>P2117*$H2117</f>
        <v>0</v>
      </c>
      <c r="V2117" s="1475">
        <f t="shared" si="1036"/>
        <v>0</v>
      </c>
    </row>
    <row r="2118" spans="1:22" s="39" customFormat="1" ht="24" customHeight="1">
      <c r="A2118" s="1860">
        <v>3</v>
      </c>
      <c r="B2118" s="1860"/>
      <c r="C2118" s="1860"/>
      <c r="D2118" s="1860"/>
      <c r="E2118" s="1839"/>
      <c r="F2118" s="1841"/>
      <c r="G2118" s="1643"/>
      <c r="H2118" s="1596">
        <f>810*0.05</f>
        <v>40.5</v>
      </c>
      <c r="I2118" s="1615"/>
      <c r="J2118" s="40" t="s">
        <v>82</v>
      </c>
      <c r="K2118" s="91"/>
      <c r="L2118" s="364">
        <v>0</v>
      </c>
      <c r="M2118" s="364">
        <v>0</v>
      </c>
      <c r="N2118" s="364">
        <v>20</v>
      </c>
      <c r="O2118" s="364">
        <v>0</v>
      </c>
      <c r="P2118" s="364">
        <v>0</v>
      </c>
      <c r="Q2118" s="1475">
        <f>L2118*$H2117</f>
        <v>0</v>
      </c>
      <c r="R2118" s="1475">
        <f>M2118*$H2117</f>
        <v>0</v>
      </c>
      <c r="S2118" s="1475">
        <f>N2118*$H2117</f>
        <v>40000</v>
      </c>
      <c r="T2118" s="1475">
        <f>O2118*$H2117</f>
        <v>0</v>
      </c>
      <c r="U2118" s="1475">
        <f>P2118*$H2117</f>
        <v>0</v>
      </c>
      <c r="V2118" s="1475">
        <f t="shared" si="1036"/>
        <v>40000</v>
      </c>
    </row>
    <row r="2119" spans="1:22" s="39" customFormat="1" ht="24" customHeight="1">
      <c r="A2119" s="1860">
        <v>3</v>
      </c>
      <c r="B2119" s="1860"/>
      <c r="C2119" s="1860"/>
      <c r="D2119" s="1860"/>
      <c r="E2119" s="1839"/>
      <c r="F2119" s="1841"/>
      <c r="G2119" s="1643"/>
      <c r="H2119" s="1596"/>
      <c r="I2119" s="1615"/>
      <c r="J2119" s="40" t="s">
        <v>90</v>
      </c>
      <c r="K2119" s="91"/>
      <c r="L2119" s="364">
        <v>0</v>
      </c>
      <c r="M2119" s="364">
        <v>0</v>
      </c>
      <c r="N2119" s="364">
        <v>0</v>
      </c>
      <c r="O2119" s="364">
        <v>0</v>
      </c>
      <c r="P2119" s="364">
        <v>0</v>
      </c>
      <c r="Q2119" s="1475">
        <f>L2119*$H2117</f>
        <v>0</v>
      </c>
      <c r="R2119" s="1475">
        <f>M2119*$H2117</f>
        <v>0</v>
      </c>
      <c r="S2119" s="1475">
        <f>N2119*$H2117</f>
        <v>0</v>
      </c>
      <c r="T2119" s="1475">
        <f>O2119*$H2117</f>
        <v>0</v>
      </c>
      <c r="U2119" s="1475">
        <f>P2119*$H2117</f>
        <v>0</v>
      </c>
      <c r="V2119" s="1475">
        <f t="shared" si="1036"/>
        <v>0</v>
      </c>
    </row>
    <row r="2120" spans="1:22" s="39" customFormat="1" ht="24" customHeight="1">
      <c r="A2120" s="1860">
        <v>3</v>
      </c>
      <c r="B2120" s="1860"/>
      <c r="C2120" s="1860"/>
      <c r="D2120" s="1860"/>
      <c r="E2120" s="1839"/>
      <c r="F2120" s="1841"/>
      <c r="G2120" s="1643"/>
      <c r="H2120" s="1596"/>
      <c r="I2120" s="1615"/>
      <c r="J2120" s="40" t="s">
        <v>83</v>
      </c>
      <c r="K2120" s="91"/>
      <c r="L2120" s="364">
        <v>0</v>
      </c>
      <c r="M2120" s="364">
        <v>0</v>
      </c>
      <c r="N2120" s="364">
        <v>0</v>
      </c>
      <c r="O2120" s="364">
        <v>0</v>
      </c>
      <c r="P2120" s="364">
        <v>0</v>
      </c>
      <c r="Q2120" s="1475">
        <f>L2120*$H2117</f>
        <v>0</v>
      </c>
      <c r="R2120" s="1475">
        <f>M2120*$H2117</f>
        <v>0</v>
      </c>
      <c r="S2120" s="1475">
        <f>N2120*$H2117</f>
        <v>0</v>
      </c>
      <c r="T2120" s="1475">
        <f>O2120*$H2117</f>
        <v>0</v>
      </c>
      <c r="U2120" s="1475">
        <f>P2120*$H2117</f>
        <v>0</v>
      </c>
      <c r="V2120" s="1475">
        <f t="shared" si="1036"/>
        <v>0</v>
      </c>
    </row>
    <row r="2121" spans="1:22" s="39" customFormat="1" ht="24" customHeight="1">
      <c r="A2121" s="1860">
        <v>3</v>
      </c>
      <c r="B2121" s="1860"/>
      <c r="C2121" s="1860"/>
      <c r="D2121" s="1860"/>
      <c r="E2121" s="1839"/>
      <c r="F2121" s="1841"/>
      <c r="G2121" s="1644"/>
      <c r="H2121" s="1618"/>
      <c r="I2121" s="1617"/>
      <c r="J2121" s="40" t="s">
        <v>84</v>
      </c>
      <c r="K2121" s="91"/>
      <c r="L2121" s="364">
        <f>L2112-L2113</f>
        <v>0</v>
      </c>
      <c r="M2121" s="364">
        <f t="shared" ref="M2121:U2121" si="1045">M2112-M2113</f>
        <v>0</v>
      </c>
      <c r="N2121" s="364">
        <f t="shared" si="1045"/>
        <v>0</v>
      </c>
      <c r="O2121" s="364">
        <f t="shared" si="1045"/>
        <v>0</v>
      </c>
      <c r="P2121" s="364">
        <f t="shared" si="1045"/>
        <v>0</v>
      </c>
      <c r="Q2121" s="1475">
        <f t="shared" si="1045"/>
        <v>0</v>
      </c>
      <c r="R2121" s="1475">
        <f t="shared" si="1045"/>
        <v>0</v>
      </c>
      <c r="S2121" s="1475">
        <f t="shared" si="1045"/>
        <v>0</v>
      </c>
      <c r="T2121" s="1475">
        <f t="shared" si="1045"/>
        <v>0</v>
      </c>
      <c r="U2121" s="1475">
        <f t="shared" si="1045"/>
        <v>0</v>
      </c>
      <c r="V2121" s="1475">
        <f t="shared" si="1036"/>
        <v>0</v>
      </c>
    </row>
    <row r="2122" spans="1:22" s="39" customFormat="1" ht="24" customHeight="1">
      <c r="A2122" s="1860">
        <v>3</v>
      </c>
      <c r="B2122" s="1860">
        <v>5</v>
      </c>
      <c r="C2122" s="1860">
        <v>1</v>
      </c>
      <c r="D2122" s="1860">
        <v>6</v>
      </c>
      <c r="E2122" s="1839" t="s">
        <v>13</v>
      </c>
      <c r="F2122" s="1841" t="str">
        <f t="shared" ref="F2122" si="1046">CONCATENATE(A2122,".",B2122,".",C2122,".",D2122,)</f>
        <v>3.5.1.6</v>
      </c>
      <c r="G2122" s="1639" t="s">
        <v>721</v>
      </c>
      <c r="H2122" s="1601" t="s">
        <v>195</v>
      </c>
      <c r="I2122" s="1614" t="s">
        <v>1104</v>
      </c>
      <c r="J2122" s="941" t="s">
        <v>79</v>
      </c>
      <c r="K2122" s="896"/>
      <c r="L2122" s="942">
        <v>0</v>
      </c>
      <c r="M2122" s="942">
        <v>20</v>
      </c>
      <c r="N2122" s="942">
        <v>0</v>
      </c>
      <c r="O2122" s="942">
        <v>0</v>
      </c>
      <c r="P2122" s="942">
        <v>0</v>
      </c>
      <c r="Q2122" s="1537">
        <f>L2122*H2127</f>
        <v>0</v>
      </c>
      <c r="R2122" s="1537">
        <f>M2122*H2127</f>
        <v>40000</v>
      </c>
      <c r="S2122" s="1537">
        <f>N2122*H2127</f>
        <v>0</v>
      </c>
      <c r="T2122" s="1537">
        <f>O2122*H2127</f>
        <v>0</v>
      </c>
      <c r="U2122" s="1537">
        <f>P2122*H2127</f>
        <v>0</v>
      </c>
      <c r="V2122" s="1537">
        <f t="shared" si="1036"/>
        <v>40000</v>
      </c>
    </row>
    <row r="2123" spans="1:22" s="39" customFormat="1" ht="24" customHeight="1">
      <c r="A2123" s="1860">
        <v>3</v>
      </c>
      <c r="B2123" s="1860"/>
      <c r="C2123" s="1860"/>
      <c r="D2123" s="1860"/>
      <c r="E2123" s="1839"/>
      <c r="F2123" s="1841"/>
      <c r="G2123" s="1640"/>
      <c r="H2123" s="1601"/>
      <c r="I2123" s="1615"/>
      <c r="J2123" s="40" t="s">
        <v>80</v>
      </c>
      <c r="K2123" s="91"/>
      <c r="L2123" s="364">
        <f t="shared" ref="L2123:U2123" si="1047">SUM(L2124:L2130)</f>
        <v>0</v>
      </c>
      <c r="M2123" s="364">
        <f t="shared" si="1047"/>
        <v>0</v>
      </c>
      <c r="N2123" s="364">
        <f t="shared" si="1047"/>
        <v>0</v>
      </c>
      <c r="O2123" s="364">
        <f t="shared" si="1047"/>
        <v>0</v>
      </c>
      <c r="P2123" s="364">
        <f t="shared" si="1047"/>
        <v>0</v>
      </c>
      <c r="Q2123" s="1475">
        <f t="shared" si="1047"/>
        <v>0</v>
      </c>
      <c r="R2123" s="1475">
        <f t="shared" si="1047"/>
        <v>0</v>
      </c>
      <c r="S2123" s="1475">
        <f t="shared" si="1047"/>
        <v>0</v>
      </c>
      <c r="T2123" s="1475">
        <f t="shared" si="1047"/>
        <v>0</v>
      </c>
      <c r="U2123" s="1475">
        <f t="shared" si="1047"/>
        <v>0</v>
      </c>
      <c r="V2123" s="1475">
        <f t="shared" si="1036"/>
        <v>0</v>
      </c>
    </row>
    <row r="2124" spans="1:22" s="39" customFormat="1" ht="24" customHeight="1">
      <c r="A2124" s="1860">
        <v>3</v>
      </c>
      <c r="B2124" s="1860"/>
      <c r="C2124" s="1860"/>
      <c r="D2124" s="1860"/>
      <c r="E2124" s="1839"/>
      <c r="F2124" s="1841"/>
      <c r="G2124" s="1640"/>
      <c r="H2124" s="1601"/>
      <c r="I2124" s="1615"/>
      <c r="J2124" s="40" t="s">
        <v>429</v>
      </c>
      <c r="K2124" s="91"/>
      <c r="L2124" s="364">
        <v>0</v>
      </c>
      <c r="M2124" s="364">
        <v>0</v>
      </c>
      <c r="N2124" s="364">
        <v>0</v>
      </c>
      <c r="O2124" s="364">
        <v>0</v>
      </c>
      <c r="P2124" s="364">
        <v>0</v>
      </c>
      <c r="Q2124" s="1475">
        <f>L2124*$H2127</f>
        <v>0</v>
      </c>
      <c r="R2124" s="1475">
        <f>M2124*$H2127</f>
        <v>0</v>
      </c>
      <c r="S2124" s="1475">
        <f>N2124*$H2127</f>
        <v>0</v>
      </c>
      <c r="T2124" s="1475">
        <f>O2124*$H2127</f>
        <v>0</v>
      </c>
      <c r="U2124" s="1475">
        <f>P2124*$H2127</f>
        <v>0</v>
      </c>
      <c r="V2124" s="1475">
        <f t="shared" si="1036"/>
        <v>0</v>
      </c>
    </row>
    <row r="2125" spans="1:22" s="39" customFormat="1" ht="24" customHeight="1">
      <c r="A2125" s="1860">
        <v>3</v>
      </c>
      <c r="B2125" s="1860"/>
      <c r="C2125" s="1860"/>
      <c r="D2125" s="1860"/>
      <c r="E2125" s="1839"/>
      <c r="F2125" s="1841"/>
      <c r="G2125" s="1640"/>
      <c r="H2125" s="1601"/>
      <c r="I2125" s="1615"/>
      <c r="J2125" s="40" t="s">
        <v>133</v>
      </c>
      <c r="K2125" s="91"/>
      <c r="L2125" s="364">
        <v>0</v>
      </c>
      <c r="M2125" s="364">
        <v>0</v>
      </c>
      <c r="N2125" s="364">
        <v>0</v>
      </c>
      <c r="O2125" s="364">
        <v>0</v>
      </c>
      <c r="P2125" s="364">
        <v>0</v>
      </c>
      <c r="Q2125" s="1475">
        <f>L2125*$H2127</f>
        <v>0</v>
      </c>
      <c r="R2125" s="1475">
        <f>M2125*$H2127</f>
        <v>0</v>
      </c>
      <c r="S2125" s="1475">
        <f>N2125*$H2127</f>
        <v>0</v>
      </c>
      <c r="T2125" s="1475">
        <f>O2125*$H2127</f>
        <v>0</v>
      </c>
      <c r="U2125" s="1475">
        <f>P2125*$H2127</f>
        <v>0</v>
      </c>
      <c r="V2125" s="1475">
        <f t="shared" si="1036"/>
        <v>0</v>
      </c>
    </row>
    <row r="2126" spans="1:22" s="39" customFormat="1" ht="24" customHeight="1">
      <c r="A2126" s="1860">
        <v>3</v>
      </c>
      <c r="B2126" s="1860"/>
      <c r="C2126" s="1860"/>
      <c r="D2126" s="1860"/>
      <c r="E2126" s="1839"/>
      <c r="F2126" s="1841"/>
      <c r="G2126" s="1640"/>
      <c r="H2126" s="1601"/>
      <c r="I2126" s="1615"/>
      <c r="J2126" s="40" t="s">
        <v>81</v>
      </c>
      <c r="K2126" s="91"/>
      <c r="L2126" s="364">
        <v>0</v>
      </c>
      <c r="M2126" s="364">
        <v>0</v>
      </c>
      <c r="N2126" s="364">
        <v>0</v>
      </c>
      <c r="O2126" s="364">
        <v>0</v>
      </c>
      <c r="P2126" s="364">
        <v>0</v>
      </c>
      <c r="Q2126" s="1475">
        <f>L2126*$H2127</f>
        <v>0</v>
      </c>
      <c r="R2126" s="1475">
        <f>M2126*$H2127</f>
        <v>0</v>
      </c>
      <c r="S2126" s="1475">
        <f>N2126*$H2127</f>
        <v>0</v>
      </c>
      <c r="T2126" s="1475">
        <f>O2126*$H2127</f>
        <v>0</v>
      </c>
      <c r="U2126" s="1475">
        <f>P2126*$H2127</f>
        <v>0</v>
      </c>
      <c r="V2126" s="1475">
        <f t="shared" si="1036"/>
        <v>0</v>
      </c>
    </row>
    <row r="2127" spans="1:22" s="39" customFormat="1" ht="24" customHeight="1">
      <c r="A2127" s="1860">
        <v>3</v>
      </c>
      <c r="B2127" s="1860"/>
      <c r="C2127" s="1860"/>
      <c r="D2127" s="1860"/>
      <c r="E2127" s="1839"/>
      <c r="F2127" s="1841"/>
      <c r="G2127" s="1640"/>
      <c r="H2127" s="1595">
        <f>'Budget assumption'!$C$4</f>
        <v>2000</v>
      </c>
      <c r="I2127" s="1615"/>
      <c r="J2127" s="40" t="s">
        <v>134</v>
      </c>
      <c r="K2127" s="91"/>
      <c r="L2127" s="364">
        <v>0</v>
      </c>
      <c r="M2127" s="364">
        <v>0</v>
      </c>
      <c r="N2127" s="364">
        <v>0</v>
      </c>
      <c r="O2127" s="364">
        <v>0</v>
      </c>
      <c r="P2127" s="364">
        <v>0</v>
      </c>
      <c r="Q2127" s="1475">
        <f>L2127*$H2127</f>
        <v>0</v>
      </c>
      <c r="R2127" s="1475">
        <f>M2127*$H2127</f>
        <v>0</v>
      </c>
      <c r="S2127" s="1475">
        <f>N2127*$H2127</f>
        <v>0</v>
      </c>
      <c r="T2127" s="1475">
        <f>O2127*$H2127</f>
        <v>0</v>
      </c>
      <c r="U2127" s="1475">
        <f>P2127*$H2127</f>
        <v>0</v>
      </c>
      <c r="V2127" s="1475">
        <f t="shared" si="1036"/>
        <v>0</v>
      </c>
    </row>
    <row r="2128" spans="1:22" s="39" customFormat="1" ht="24" customHeight="1">
      <c r="A2128" s="1860">
        <v>3</v>
      </c>
      <c r="B2128" s="1860"/>
      <c r="C2128" s="1860"/>
      <c r="D2128" s="1860"/>
      <c r="E2128" s="1839"/>
      <c r="F2128" s="1841"/>
      <c r="G2128" s="1640"/>
      <c r="H2128" s="1596">
        <f>810*0.05</f>
        <v>40.5</v>
      </c>
      <c r="I2128" s="1615"/>
      <c r="J2128" s="40" t="s">
        <v>82</v>
      </c>
      <c r="K2128" s="91"/>
      <c r="L2128" s="364">
        <v>0</v>
      </c>
      <c r="M2128" s="364">
        <v>0</v>
      </c>
      <c r="N2128" s="364">
        <v>0</v>
      </c>
      <c r="O2128" s="364">
        <v>0</v>
      </c>
      <c r="P2128" s="364">
        <v>0</v>
      </c>
      <c r="Q2128" s="1475">
        <f>L2128*$H2127</f>
        <v>0</v>
      </c>
      <c r="R2128" s="1475">
        <f>M2128*$H2127</f>
        <v>0</v>
      </c>
      <c r="S2128" s="1475">
        <f>N2128*$H2127</f>
        <v>0</v>
      </c>
      <c r="T2128" s="1475">
        <f>O2128*$H2127</f>
        <v>0</v>
      </c>
      <c r="U2128" s="1475">
        <f>P2128*$H2127</f>
        <v>0</v>
      </c>
      <c r="V2128" s="1475">
        <f t="shared" si="1036"/>
        <v>0</v>
      </c>
    </row>
    <row r="2129" spans="1:22" s="39" customFormat="1" ht="24" customHeight="1">
      <c r="A2129" s="1860">
        <v>3</v>
      </c>
      <c r="B2129" s="1860"/>
      <c r="C2129" s="1860"/>
      <c r="D2129" s="1860"/>
      <c r="E2129" s="1839"/>
      <c r="F2129" s="1841"/>
      <c r="G2129" s="1640"/>
      <c r="H2129" s="1596"/>
      <c r="I2129" s="1615"/>
      <c r="J2129" s="40" t="s">
        <v>90</v>
      </c>
      <c r="K2129" s="91"/>
      <c r="L2129" s="364">
        <v>0</v>
      </c>
      <c r="M2129" s="364">
        <v>0</v>
      </c>
      <c r="N2129" s="364">
        <v>0</v>
      </c>
      <c r="O2129" s="364">
        <v>0</v>
      </c>
      <c r="P2129" s="364">
        <v>0</v>
      </c>
      <c r="Q2129" s="1475">
        <f>L2129*$H2127</f>
        <v>0</v>
      </c>
      <c r="R2129" s="1475">
        <f>M2129*$H2127</f>
        <v>0</v>
      </c>
      <c r="S2129" s="1475">
        <f>N2129*$H2127</f>
        <v>0</v>
      </c>
      <c r="T2129" s="1475">
        <f>O2129*$H2127</f>
        <v>0</v>
      </c>
      <c r="U2129" s="1475">
        <f>P2129*$H2127</f>
        <v>0</v>
      </c>
      <c r="V2129" s="1475">
        <f t="shared" si="1036"/>
        <v>0</v>
      </c>
    </row>
    <row r="2130" spans="1:22" s="39" customFormat="1" ht="24" customHeight="1">
      <c r="A2130" s="1860">
        <v>3</v>
      </c>
      <c r="B2130" s="1860"/>
      <c r="C2130" s="1860"/>
      <c r="D2130" s="1860"/>
      <c r="E2130" s="1839"/>
      <c r="F2130" s="1841"/>
      <c r="G2130" s="1640"/>
      <c r="H2130" s="1596"/>
      <c r="I2130" s="1615"/>
      <c r="J2130" s="40" t="s">
        <v>83</v>
      </c>
      <c r="K2130" s="91"/>
      <c r="L2130" s="364">
        <v>0</v>
      </c>
      <c r="M2130" s="364">
        <v>0</v>
      </c>
      <c r="N2130" s="364">
        <v>0</v>
      </c>
      <c r="O2130" s="364">
        <v>0</v>
      </c>
      <c r="P2130" s="364">
        <v>0</v>
      </c>
      <c r="Q2130" s="1475">
        <f>L2130*$H2127</f>
        <v>0</v>
      </c>
      <c r="R2130" s="1475">
        <f>M2130*$H2127</f>
        <v>0</v>
      </c>
      <c r="S2130" s="1475">
        <f>N2130*$H2127</f>
        <v>0</v>
      </c>
      <c r="T2130" s="1475">
        <f>O2130*$H2127</f>
        <v>0</v>
      </c>
      <c r="U2130" s="1475">
        <f>P2130*$H2127</f>
        <v>0</v>
      </c>
      <c r="V2130" s="1475">
        <f t="shared" si="1036"/>
        <v>0</v>
      </c>
    </row>
    <row r="2131" spans="1:22" s="39" customFormat="1" ht="24" customHeight="1">
      <c r="A2131" s="1860">
        <v>3</v>
      </c>
      <c r="B2131" s="1860"/>
      <c r="C2131" s="1860"/>
      <c r="D2131" s="1860"/>
      <c r="E2131" s="1839"/>
      <c r="F2131" s="1841"/>
      <c r="G2131" s="1641"/>
      <c r="H2131" s="1618"/>
      <c r="I2131" s="1617"/>
      <c r="J2131" s="40" t="s">
        <v>84</v>
      </c>
      <c r="K2131" s="91"/>
      <c r="L2131" s="364">
        <f>L2122-L2123</f>
        <v>0</v>
      </c>
      <c r="M2131" s="364">
        <f t="shared" ref="M2131:U2131" si="1048">M2122-M2123</f>
        <v>20</v>
      </c>
      <c r="N2131" s="364">
        <f t="shared" si="1048"/>
        <v>0</v>
      </c>
      <c r="O2131" s="364">
        <f t="shared" si="1048"/>
        <v>0</v>
      </c>
      <c r="P2131" s="364">
        <f t="shared" si="1048"/>
        <v>0</v>
      </c>
      <c r="Q2131" s="1475">
        <f t="shared" si="1048"/>
        <v>0</v>
      </c>
      <c r="R2131" s="1475">
        <f t="shared" si="1048"/>
        <v>40000</v>
      </c>
      <c r="S2131" s="1475">
        <f t="shared" si="1048"/>
        <v>0</v>
      </c>
      <c r="T2131" s="1475">
        <f t="shared" si="1048"/>
        <v>0</v>
      </c>
      <c r="U2131" s="1475">
        <f t="shared" si="1048"/>
        <v>0</v>
      </c>
      <c r="V2131" s="1475">
        <f t="shared" si="1036"/>
        <v>40000</v>
      </c>
    </row>
    <row r="2132" spans="1:22" s="39" customFormat="1" ht="24" customHeight="1">
      <c r="A2132" s="1860">
        <v>3</v>
      </c>
      <c r="B2132" s="1860">
        <v>5</v>
      </c>
      <c r="C2132" s="1860">
        <v>1</v>
      </c>
      <c r="D2132" s="1860">
        <v>7</v>
      </c>
      <c r="E2132" s="1839" t="s">
        <v>13</v>
      </c>
      <c r="F2132" s="1841" t="str">
        <f t="shared" ref="F2132" si="1049">CONCATENATE(A2132,".",B2132,".",C2132,".",D2132,)</f>
        <v>3.5.1.7</v>
      </c>
      <c r="G2132" s="1639" t="s">
        <v>722</v>
      </c>
      <c r="H2132" s="1601" t="s">
        <v>142</v>
      </c>
      <c r="I2132" s="1557" t="s">
        <v>1420</v>
      </c>
      <c r="J2132" s="941" t="s">
        <v>79</v>
      </c>
      <c r="K2132" s="896"/>
      <c r="L2132" s="942">
        <v>0</v>
      </c>
      <c r="M2132" s="942">
        <v>0</v>
      </c>
      <c r="N2132" s="942">
        <v>1</v>
      </c>
      <c r="O2132" s="942">
        <v>0</v>
      </c>
      <c r="P2132" s="942">
        <v>0</v>
      </c>
      <c r="Q2132" s="1537">
        <f>L2132*H2137</f>
        <v>0</v>
      </c>
      <c r="R2132" s="1537">
        <f>M2132*H2137</f>
        <v>0</v>
      </c>
      <c r="S2132" s="1537">
        <f>N2132*H2137</f>
        <v>44841.3</v>
      </c>
      <c r="T2132" s="1537">
        <f>O2132*H2137</f>
        <v>0</v>
      </c>
      <c r="U2132" s="1537">
        <f>P2132*H2137</f>
        <v>0</v>
      </c>
      <c r="V2132" s="1537">
        <f t="shared" ref="V2132:V2141" si="1050">SUM(Q2132:U2132)</f>
        <v>44841.3</v>
      </c>
    </row>
    <row r="2133" spans="1:22" s="39" customFormat="1" ht="24" customHeight="1">
      <c r="A2133" s="1860">
        <v>3</v>
      </c>
      <c r="B2133" s="1860"/>
      <c r="C2133" s="1860"/>
      <c r="D2133" s="1860"/>
      <c r="E2133" s="1839"/>
      <c r="F2133" s="1841"/>
      <c r="G2133" s="1640"/>
      <c r="H2133" s="1601"/>
      <c r="I2133" s="1558"/>
      <c r="J2133" s="40" t="s">
        <v>80</v>
      </c>
      <c r="K2133" s="91"/>
      <c r="L2133" s="364">
        <f t="shared" ref="L2133:U2133" si="1051">SUM(L2134:L2140)</f>
        <v>0</v>
      </c>
      <c r="M2133" s="364">
        <f t="shared" si="1051"/>
        <v>0</v>
      </c>
      <c r="N2133" s="364">
        <f t="shared" si="1051"/>
        <v>0</v>
      </c>
      <c r="O2133" s="364">
        <f t="shared" si="1051"/>
        <v>0</v>
      </c>
      <c r="P2133" s="364">
        <f t="shared" si="1051"/>
        <v>0</v>
      </c>
      <c r="Q2133" s="1475">
        <f t="shared" si="1051"/>
        <v>0</v>
      </c>
      <c r="R2133" s="1475">
        <f t="shared" si="1051"/>
        <v>0</v>
      </c>
      <c r="S2133" s="1475">
        <f t="shared" si="1051"/>
        <v>0</v>
      </c>
      <c r="T2133" s="1475">
        <f t="shared" si="1051"/>
        <v>0</v>
      </c>
      <c r="U2133" s="1475">
        <f t="shared" si="1051"/>
        <v>0</v>
      </c>
      <c r="V2133" s="1475">
        <f t="shared" si="1050"/>
        <v>0</v>
      </c>
    </row>
    <row r="2134" spans="1:22" s="39" customFormat="1" ht="24" customHeight="1">
      <c r="A2134" s="1860">
        <v>3</v>
      </c>
      <c r="B2134" s="1860"/>
      <c r="C2134" s="1860"/>
      <c r="D2134" s="1860"/>
      <c r="E2134" s="1839"/>
      <c r="F2134" s="1841"/>
      <c r="G2134" s="1640"/>
      <c r="H2134" s="1601"/>
      <c r="I2134" s="1558"/>
      <c r="J2134" s="40" t="s">
        <v>429</v>
      </c>
      <c r="K2134" s="91"/>
      <c r="L2134" s="364">
        <v>0</v>
      </c>
      <c r="M2134" s="364">
        <v>0</v>
      </c>
      <c r="N2134" s="364">
        <v>0</v>
      </c>
      <c r="O2134" s="364">
        <v>0</v>
      </c>
      <c r="P2134" s="364">
        <v>0</v>
      </c>
      <c r="Q2134" s="1475">
        <f>L2134*$H2137</f>
        <v>0</v>
      </c>
      <c r="R2134" s="1475">
        <f>M2134*$H2137</f>
        <v>0</v>
      </c>
      <c r="S2134" s="1475">
        <f>N2134*$H2137</f>
        <v>0</v>
      </c>
      <c r="T2134" s="1475">
        <f>O2134*$H2137</f>
        <v>0</v>
      </c>
      <c r="U2134" s="1475">
        <f>P2134*$H2137</f>
        <v>0</v>
      </c>
      <c r="V2134" s="1475">
        <f t="shared" si="1050"/>
        <v>0</v>
      </c>
    </row>
    <row r="2135" spans="1:22" s="39" customFormat="1" ht="24" customHeight="1">
      <c r="A2135" s="1860">
        <v>3</v>
      </c>
      <c r="B2135" s="1860"/>
      <c r="C2135" s="1860"/>
      <c r="D2135" s="1860"/>
      <c r="E2135" s="1839"/>
      <c r="F2135" s="1841"/>
      <c r="G2135" s="1640"/>
      <c r="H2135" s="1601"/>
      <c r="I2135" s="1558"/>
      <c r="J2135" s="40" t="s">
        <v>133</v>
      </c>
      <c r="K2135" s="91"/>
      <c r="L2135" s="364">
        <v>0</v>
      </c>
      <c r="M2135" s="364">
        <v>0</v>
      </c>
      <c r="N2135" s="364">
        <v>0</v>
      </c>
      <c r="O2135" s="364">
        <v>0</v>
      </c>
      <c r="P2135" s="364">
        <v>0</v>
      </c>
      <c r="Q2135" s="1475">
        <f>L2135*$H2137</f>
        <v>0</v>
      </c>
      <c r="R2135" s="1475">
        <f>M2135*$H2137</f>
        <v>0</v>
      </c>
      <c r="S2135" s="1475">
        <f>N2135*$H2137</f>
        <v>0</v>
      </c>
      <c r="T2135" s="1475">
        <f>O2135*$H2137</f>
        <v>0</v>
      </c>
      <c r="U2135" s="1475">
        <f>P2135*$H2137</f>
        <v>0</v>
      </c>
      <c r="V2135" s="1475">
        <f t="shared" si="1050"/>
        <v>0</v>
      </c>
    </row>
    <row r="2136" spans="1:22" s="39" customFormat="1" ht="24" customHeight="1">
      <c r="A2136" s="1860">
        <v>3</v>
      </c>
      <c r="B2136" s="1860"/>
      <c r="C2136" s="1860"/>
      <c r="D2136" s="1860"/>
      <c r="E2136" s="1839"/>
      <c r="F2136" s="1841"/>
      <c r="G2136" s="1640"/>
      <c r="H2136" s="1601"/>
      <c r="I2136" s="1558"/>
      <c r="J2136" s="40" t="s">
        <v>81</v>
      </c>
      <c r="K2136" s="91"/>
      <c r="L2136" s="364">
        <v>0</v>
      </c>
      <c r="M2136" s="364">
        <v>0</v>
      </c>
      <c r="N2136" s="364">
        <v>0</v>
      </c>
      <c r="O2136" s="364">
        <v>0</v>
      </c>
      <c r="P2136" s="364">
        <v>0</v>
      </c>
      <c r="Q2136" s="1475">
        <f>L2136*$H2137</f>
        <v>0</v>
      </c>
      <c r="R2136" s="1475">
        <f>M2136*$H2137</f>
        <v>0</v>
      </c>
      <c r="S2136" s="1475">
        <f>N2136*$H2137</f>
        <v>0</v>
      </c>
      <c r="T2136" s="1475">
        <f>O2136*$H2137</f>
        <v>0</v>
      </c>
      <c r="U2136" s="1475">
        <f>P2136*$H2137</f>
        <v>0</v>
      </c>
      <c r="V2136" s="1475">
        <f t="shared" si="1050"/>
        <v>0</v>
      </c>
    </row>
    <row r="2137" spans="1:22" s="39" customFormat="1" ht="24" customHeight="1">
      <c r="A2137" s="1860">
        <v>3</v>
      </c>
      <c r="B2137" s="1860"/>
      <c r="C2137" s="1860"/>
      <c r="D2137" s="1860"/>
      <c r="E2137" s="1839"/>
      <c r="F2137" s="1841"/>
      <c r="G2137" s="1640"/>
      <c r="H2137" s="1595">
        <f>'Budget assumption'!H43</f>
        <v>44841.3</v>
      </c>
      <c r="I2137" s="1558"/>
      <c r="J2137" s="40" t="s">
        <v>134</v>
      </c>
      <c r="K2137" s="91"/>
      <c r="L2137" s="364">
        <v>0</v>
      </c>
      <c r="M2137" s="364">
        <v>0</v>
      </c>
      <c r="N2137" s="364">
        <v>0</v>
      </c>
      <c r="O2137" s="364">
        <v>0</v>
      </c>
      <c r="P2137" s="364">
        <v>0</v>
      </c>
      <c r="Q2137" s="1475">
        <f>L2137*$H2137</f>
        <v>0</v>
      </c>
      <c r="R2137" s="1475">
        <f>M2137*$H2137</f>
        <v>0</v>
      </c>
      <c r="S2137" s="1475">
        <f>N2137*$H2137</f>
        <v>0</v>
      </c>
      <c r="T2137" s="1475">
        <f>O2137*$H2137</f>
        <v>0</v>
      </c>
      <c r="U2137" s="1475">
        <f>P2137*$H2137</f>
        <v>0</v>
      </c>
      <c r="V2137" s="1475">
        <f t="shared" si="1050"/>
        <v>0</v>
      </c>
    </row>
    <row r="2138" spans="1:22" s="39" customFormat="1" ht="24" customHeight="1">
      <c r="A2138" s="1860">
        <v>3</v>
      </c>
      <c r="B2138" s="1860"/>
      <c r="C2138" s="1860"/>
      <c r="D2138" s="1860"/>
      <c r="E2138" s="1839"/>
      <c r="F2138" s="1841"/>
      <c r="G2138" s="1640"/>
      <c r="H2138" s="1596">
        <f>810*0.05</f>
        <v>40.5</v>
      </c>
      <c r="I2138" s="1558"/>
      <c r="J2138" s="40" t="s">
        <v>82</v>
      </c>
      <c r="K2138" s="91"/>
      <c r="L2138" s="364">
        <v>0</v>
      </c>
      <c r="M2138" s="364">
        <v>0</v>
      </c>
      <c r="N2138" s="364">
        <v>0</v>
      </c>
      <c r="O2138" s="364">
        <v>0</v>
      </c>
      <c r="P2138" s="364">
        <v>0</v>
      </c>
      <c r="Q2138" s="1475">
        <f>L2138*$H2137</f>
        <v>0</v>
      </c>
      <c r="R2138" s="1475">
        <f>M2138*$H2137</f>
        <v>0</v>
      </c>
      <c r="S2138" s="1475">
        <f>N2138*$H2137</f>
        <v>0</v>
      </c>
      <c r="T2138" s="1475">
        <f>O2138*$H2137</f>
        <v>0</v>
      </c>
      <c r="U2138" s="1475">
        <f>P2138*$H2137</f>
        <v>0</v>
      </c>
      <c r="V2138" s="1475">
        <f t="shared" si="1050"/>
        <v>0</v>
      </c>
    </row>
    <row r="2139" spans="1:22" s="39" customFormat="1" ht="24" customHeight="1">
      <c r="A2139" s="1860">
        <v>3</v>
      </c>
      <c r="B2139" s="1860"/>
      <c r="C2139" s="1860"/>
      <c r="D2139" s="1860"/>
      <c r="E2139" s="1839"/>
      <c r="F2139" s="1841"/>
      <c r="G2139" s="1640"/>
      <c r="H2139" s="1596"/>
      <c r="I2139" s="1558"/>
      <c r="J2139" s="40" t="s">
        <v>90</v>
      </c>
      <c r="K2139" s="91"/>
      <c r="L2139" s="364">
        <v>0</v>
      </c>
      <c r="M2139" s="364">
        <v>0</v>
      </c>
      <c r="N2139" s="364">
        <v>0</v>
      </c>
      <c r="O2139" s="364">
        <v>0</v>
      </c>
      <c r="P2139" s="364">
        <v>0</v>
      </c>
      <c r="Q2139" s="1475">
        <f>L2139*$H2137</f>
        <v>0</v>
      </c>
      <c r="R2139" s="1475">
        <f>M2139*$H2137</f>
        <v>0</v>
      </c>
      <c r="S2139" s="1475">
        <f>N2139*$H2137</f>
        <v>0</v>
      </c>
      <c r="T2139" s="1475">
        <f>O2139*$H2137</f>
        <v>0</v>
      </c>
      <c r="U2139" s="1475">
        <f>P2139*$H2137</f>
        <v>0</v>
      </c>
      <c r="V2139" s="1475">
        <f t="shared" si="1050"/>
        <v>0</v>
      </c>
    </row>
    <row r="2140" spans="1:22" s="39" customFormat="1" ht="24" customHeight="1">
      <c r="A2140" s="1860">
        <v>3</v>
      </c>
      <c r="B2140" s="1860"/>
      <c r="C2140" s="1860"/>
      <c r="D2140" s="1860"/>
      <c r="E2140" s="1839"/>
      <c r="F2140" s="1841"/>
      <c r="G2140" s="1640"/>
      <c r="H2140" s="1596"/>
      <c r="I2140" s="1558"/>
      <c r="J2140" s="40" t="s">
        <v>83</v>
      </c>
      <c r="K2140" s="91"/>
      <c r="L2140" s="364">
        <v>0</v>
      </c>
      <c r="M2140" s="364">
        <v>0</v>
      </c>
      <c r="N2140" s="364">
        <v>0</v>
      </c>
      <c r="O2140" s="364">
        <v>0</v>
      </c>
      <c r="P2140" s="364">
        <v>0</v>
      </c>
      <c r="Q2140" s="1475">
        <f>L2140*$H2137</f>
        <v>0</v>
      </c>
      <c r="R2140" s="1475">
        <f>M2140*$H2137</f>
        <v>0</v>
      </c>
      <c r="S2140" s="1475">
        <f>N2140*$H2137</f>
        <v>0</v>
      </c>
      <c r="T2140" s="1475">
        <f>O2140*$H2137</f>
        <v>0</v>
      </c>
      <c r="U2140" s="1475">
        <f>P2140*$H2137</f>
        <v>0</v>
      </c>
      <c r="V2140" s="1475">
        <f t="shared" si="1050"/>
        <v>0</v>
      </c>
    </row>
    <row r="2141" spans="1:22" s="39" customFormat="1" ht="24" customHeight="1">
      <c r="A2141" s="1860">
        <v>3</v>
      </c>
      <c r="B2141" s="1860"/>
      <c r="C2141" s="1860"/>
      <c r="D2141" s="1860"/>
      <c r="E2141" s="1839"/>
      <c r="F2141" s="1841"/>
      <c r="G2141" s="1641"/>
      <c r="H2141" s="1618"/>
      <c r="I2141" s="1559"/>
      <c r="J2141" s="40" t="s">
        <v>84</v>
      </c>
      <c r="K2141" s="91"/>
      <c r="L2141" s="364">
        <f>L2132-L2133</f>
        <v>0</v>
      </c>
      <c r="M2141" s="364">
        <f t="shared" ref="M2141:U2141" si="1052">M2132-M2133</f>
        <v>0</v>
      </c>
      <c r="N2141" s="364">
        <v>1</v>
      </c>
      <c r="O2141" s="364">
        <f t="shared" si="1052"/>
        <v>0</v>
      </c>
      <c r="P2141" s="364">
        <f t="shared" si="1052"/>
        <v>0</v>
      </c>
      <c r="Q2141" s="1475">
        <f t="shared" si="1052"/>
        <v>0</v>
      </c>
      <c r="R2141" s="1475">
        <f t="shared" si="1052"/>
        <v>0</v>
      </c>
      <c r="S2141" s="1475">
        <f t="shared" si="1052"/>
        <v>44841.3</v>
      </c>
      <c r="T2141" s="1475">
        <f t="shared" si="1052"/>
        <v>0</v>
      </c>
      <c r="U2141" s="1475">
        <f t="shared" si="1052"/>
        <v>0</v>
      </c>
      <c r="V2141" s="1475">
        <f t="shared" si="1050"/>
        <v>44841.3</v>
      </c>
    </row>
    <row r="2142" spans="1:22" s="39" customFormat="1" ht="39" customHeight="1">
      <c r="A2142" s="75">
        <v>3</v>
      </c>
      <c r="B2142" s="75">
        <v>6</v>
      </c>
      <c r="C2142" s="75"/>
      <c r="D2142" s="75"/>
      <c r="E2142" s="74" t="s">
        <v>12</v>
      </c>
      <c r="F2142" s="915" t="str">
        <f>CONCATENATE(A2142,".",B2142)</f>
        <v>3.6</v>
      </c>
      <c r="G2142" s="1573" t="s">
        <v>240</v>
      </c>
      <c r="H2142" s="1574"/>
      <c r="I2142" s="1574"/>
      <c r="J2142" s="1575"/>
      <c r="K2142" s="915"/>
      <c r="L2142" s="916"/>
      <c r="M2142" s="916"/>
      <c r="N2142" s="916"/>
      <c r="O2142" s="916"/>
      <c r="P2142" s="916"/>
      <c r="Q2142" s="1514">
        <f>Q2143+Q2164</f>
        <v>1015842.6</v>
      </c>
      <c r="R2142" s="1514">
        <f>R2143+R2164</f>
        <v>1070842.6000000001</v>
      </c>
      <c r="S2142" s="1514">
        <f>S2143+S2164</f>
        <v>920842.6</v>
      </c>
      <c r="T2142" s="1514">
        <f>T2143+T2164</f>
        <v>0</v>
      </c>
      <c r="U2142" s="1514">
        <f>U2143+U2164</f>
        <v>0</v>
      </c>
      <c r="V2142" s="1514">
        <f>SUM(Q2142:U2142)</f>
        <v>3007527.8000000003</v>
      </c>
    </row>
    <row r="2143" spans="1:22" s="39" customFormat="1" ht="39.75" customHeight="1" thickBot="1">
      <c r="A2143" s="75">
        <v>3</v>
      </c>
      <c r="B2143" s="75">
        <v>6</v>
      </c>
      <c r="C2143" s="75">
        <v>1</v>
      </c>
      <c r="D2143" s="75"/>
      <c r="E2143" s="74" t="s">
        <v>13</v>
      </c>
      <c r="F2143" s="71" t="str">
        <f>CONCATENATE(A2143,".",B2143,".",C2143,)</f>
        <v>3.6.1</v>
      </c>
      <c r="G2143" s="1605" t="s">
        <v>39</v>
      </c>
      <c r="H2143" s="1606"/>
      <c r="I2143" s="1606"/>
      <c r="J2143" s="1607"/>
      <c r="K2143" s="66"/>
      <c r="L2143" s="382"/>
      <c r="M2143" s="382"/>
      <c r="N2143" s="382"/>
      <c r="O2143" s="382"/>
      <c r="P2143" s="382"/>
      <c r="Q2143" s="1521">
        <f>Q2145+Q2155</f>
        <v>140000</v>
      </c>
      <c r="R2143" s="1521">
        <f t="shared" ref="R2143:V2143" si="1053">R2145+R2155</f>
        <v>315000</v>
      </c>
      <c r="S2143" s="1521">
        <f t="shared" si="1053"/>
        <v>225000</v>
      </c>
      <c r="T2143" s="1521">
        <f t="shared" si="1053"/>
        <v>0</v>
      </c>
      <c r="U2143" s="1521">
        <f t="shared" si="1053"/>
        <v>0</v>
      </c>
      <c r="V2143" s="1521">
        <f t="shared" si="1053"/>
        <v>680000</v>
      </c>
    </row>
    <row r="2144" spans="1:22" s="39" customFormat="1" ht="24" customHeight="1">
      <c r="A2144" s="1860">
        <v>3</v>
      </c>
      <c r="B2144" s="1860">
        <v>6</v>
      </c>
      <c r="C2144" s="1860">
        <v>1</v>
      </c>
      <c r="D2144" s="1860">
        <v>1</v>
      </c>
      <c r="E2144" s="1839" t="s">
        <v>15</v>
      </c>
      <c r="F2144" s="1841" t="str">
        <f>CONCATENATE(A2144,".",B2144,".",C2144,".",D2144,)</f>
        <v>3.6.1.1</v>
      </c>
      <c r="G2144" s="1624" t="s">
        <v>241</v>
      </c>
      <c r="H2144" s="1619" t="s">
        <v>195</v>
      </c>
      <c r="I2144" s="1614" t="s">
        <v>242</v>
      </c>
      <c r="J2144" s="96" t="s">
        <v>79</v>
      </c>
      <c r="K2144" s="896"/>
      <c r="L2144" s="364">
        <f>10*7</f>
        <v>70</v>
      </c>
      <c r="M2144" s="364">
        <v>70</v>
      </c>
      <c r="N2144" s="364">
        <f>10*5</f>
        <v>50</v>
      </c>
      <c r="O2144" s="893">
        <v>50</v>
      </c>
      <c r="P2144" s="893">
        <v>50</v>
      </c>
      <c r="Q2144" s="1475">
        <f>L2144*H2149</f>
        <v>140000</v>
      </c>
      <c r="R2144" s="1475">
        <f>M2144*H2149</f>
        <v>140000</v>
      </c>
      <c r="S2144" s="1475">
        <f>N2144*H2149</f>
        <v>100000</v>
      </c>
      <c r="T2144" s="1475">
        <f>O2144*H2149</f>
        <v>100000</v>
      </c>
      <c r="U2144" s="1475">
        <f>P2144*H2149</f>
        <v>100000</v>
      </c>
      <c r="V2144" s="1475">
        <f t="shared" ref="V2144:V2149" si="1054">SUM(Q2144:U2144)</f>
        <v>580000</v>
      </c>
    </row>
    <row r="2145" spans="1:22" s="39" customFormat="1" ht="24" customHeight="1">
      <c r="A2145" s="1860">
        <v>3</v>
      </c>
      <c r="B2145" s="1860"/>
      <c r="C2145" s="1860"/>
      <c r="D2145" s="1860"/>
      <c r="E2145" s="1839"/>
      <c r="F2145" s="1841"/>
      <c r="G2145" s="1562"/>
      <c r="H2145" s="1619"/>
      <c r="I2145" s="1615"/>
      <c r="J2145" s="97" t="s">
        <v>80</v>
      </c>
      <c r="K2145" s="91"/>
      <c r="L2145" s="364">
        <f t="shared" ref="L2145:U2145" si="1055">SUM(L2146:L2152)</f>
        <v>70</v>
      </c>
      <c r="M2145" s="364">
        <f t="shared" si="1055"/>
        <v>70</v>
      </c>
      <c r="N2145" s="364">
        <f t="shared" si="1055"/>
        <v>50</v>
      </c>
      <c r="O2145" s="364">
        <f t="shared" si="1055"/>
        <v>0</v>
      </c>
      <c r="P2145" s="364">
        <f t="shared" si="1055"/>
        <v>0</v>
      </c>
      <c r="Q2145" s="1475">
        <f t="shared" si="1055"/>
        <v>140000</v>
      </c>
      <c r="R2145" s="1475">
        <f t="shared" si="1055"/>
        <v>140000</v>
      </c>
      <c r="S2145" s="1475">
        <f t="shared" si="1055"/>
        <v>100000</v>
      </c>
      <c r="T2145" s="1475">
        <f t="shared" si="1055"/>
        <v>0</v>
      </c>
      <c r="U2145" s="1475">
        <f t="shared" si="1055"/>
        <v>0</v>
      </c>
      <c r="V2145" s="1475">
        <f t="shared" si="1054"/>
        <v>380000</v>
      </c>
    </row>
    <row r="2146" spans="1:22" s="39" customFormat="1" ht="24" customHeight="1">
      <c r="A2146" s="1860">
        <v>3</v>
      </c>
      <c r="B2146" s="1860"/>
      <c r="C2146" s="1860"/>
      <c r="D2146" s="1860"/>
      <c r="E2146" s="1839"/>
      <c r="F2146" s="1841"/>
      <c r="G2146" s="1562"/>
      <c r="H2146" s="1619"/>
      <c r="I2146" s="1615"/>
      <c r="J2146" s="40" t="s">
        <v>429</v>
      </c>
      <c r="K2146" s="91"/>
      <c r="L2146" s="364">
        <v>0</v>
      </c>
      <c r="M2146" s="364">
        <v>0</v>
      </c>
      <c r="N2146" s="364">
        <v>0</v>
      </c>
      <c r="O2146" s="364">
        <v>0</v>
      </c>
      <c r="P2146" s="364">
        <v>0</v>
      </c>
      <c r="Q2146" s="1475">
        <f>L2146*$H2149</f>
        <v>0</v>
      </c>
      <c r="R2146" s="1475">
        <f>M2146*$H2149</f>
        <v>0</v>
      </c>
      <c r="S2146" s="1475">
        <f>N2146*$H2149</f>
        <v>0</v>
      </c>
      <c r="T2146" s="1475">
        <f>O2146*$H2149</f>
        <v>0</v>
      </c>
      <c r="U2146" s="1475">
        <f>P2146*$H2149</f>
        <v>0</v>
      </c>
      <c r="V2146" s="1475">
        <f t="shared" si="1054"/>
        <v>0</v>
      </c>
    </row>
    <row r="2147" spans="1:22" s="39" customFormat="1" ht="24" customHeight="1">
      <c r="A2147" s="1860">
        <v>3</v>
      </c>
      <c r="B2147" s="1860"/>
      <c r="C2147" s="1860"/>
      <c r="D2147" s="1860"/>
      <c r="E2147" s="1839"/>
      <c r="F2147" s="1841"/>
      <c r="G2147" s="1562"/>
      <c r="H2147" s="1619"/>
      <c r="I2147" s="1615"/>
      <c r="J2147" s="97" t="s">
        <v>133</v>
      </c>
      <c r="K2147" s="91"/>
      <c r="L2147" s="364">
        <v>0</v>
      </c>
      <c r="M2147" s="364">
        <v>0</v>
      </c>
      <c r="N2147" s="364">
        <v>0</v>
      </c>
      <c r="O2147" s="364">
        <v>0</v>
      </c>
      <c r="P2147" s="364">
        <v>0</v>
      </c>
      <c r="Q2147" s="1475">
        <f>L2147*$H2149</f>
        <v>0</v>
      </c>
      <c r="R2147" s="1475">
        <f>M2147*$H2149</f>
        <v>0</v>
      </c>
      <c r="S2147" s="1475">
        <f>N2147*$H2149</f>
        <v>0</v>
      </c>
      <c r="T2147" s="1475">
        <f>O2147*$H2149</f>
        <v>0</v>
      </c>
      <c r="U2147" s="1475">
        <f>P2147*$H2149</f>
        <v>0</v>
      </c>
      <c r="V2147" s="1475">
        <f t="shared" si="1054"/>
        <v>0</v>
      </c>
    </row>
    <row r="2148" spans="1:22" s="39" customFormat="1" ht="24" customHeight="1">
      <c r="A2148" s="1860">
        <v>3</v>
      </c>
      <c r="B2148" s="1860"/>
      <c r="C2148" s="1860"/>
      <c r="D2148" s="1860"/>
      <c r="E2148" s="1839"/>
      <c r="F2148" s="1841"/>
      <c r="G2148" s="1562"/>
      <c r="H2148" s="1619"/>
      <c r="I2148" s="1615"/>
      <c r="J2148" s="97" t="s">
        <v>81</v>
      </c>
      <c r="K2148" s="91"/>
      <c r="L2148" s="364">
        <v>0</v>
      </c>
      <c r="M2148" s="364">
        <v>0</v>
      </c>
      <c r="N2148" s="364">
        <v>0</v>
      </c>
      <c r="O2148" s="364">
        <v>0</v>
      </c>
      <c r="P2148" s="364">
        <v>0</v>
      </c>
      <c r="Q2148" s="1475">
        <f>L2148*$H2149</f>
        <v>0</v>
      </c>
      <c r="R2148" s="1475">
        <f>M2148*$H2149</f>
        <v>0</v>
      </c>
      <c r="S2148" s="1475">
        <f>N2148*$H2149</f>
        <v>0</v>
      </c>
      <c r="T2148" s="1475">
        <f>O2148*$H2149</f>
        <v>0</v>
      </c>
      <c r="U2148" s="1475">
        <f>P2148*$H2149</f>
        <v>0</v>
      </c>
      <c r="V2148" s="1475">
        <f t="shared" si="1054"/>
        <v>0</v>
      </c>
    </row>
    <row r="2149" spans="1:22" s="39" customFormat="1" ht="24" customHeight="1">
      <c r="A2149" s="1860">
        <v>3</v>
      </c>
      <c r="B2149" s="1860"/>
      <c r="C2149" s="1860"/>
      <c r="D2149" s="1860"/>
      <c r="E2149" s="1839"/>
      <c r="F2149" s="1841"/>
      <c r="G2149" s="1562"/>
      <c r="H2149" s="1598">
        <f>'Budget assumption'!$C$4</f>
        <v>2000</v>
      </c>
      <c r="I2149" s="1615"/>
      <c r="J2149" s="97" t="s">
        <v>134</v>
      </c>
      <c r="K2149" s="91"/>
      <c r="L2149" s="364">
        <v>0</v>
      </c>
      <c r="M2149" s="364">
        <v>0</v>
      </c>
      <c r="N2149" s="364">
        <v>0</v>
      </c>
      <c r="O2149" s="364">
        <v>0</v>
      </c>
      <c r="P2149" s="364">
        <v>0</v>
      </c>
      <c r="Q2149" s="1475">
        <f>L2149*$H2149</f>
        <v>0</v>
      </c>
      <c r="R2149" s="1475">
        <f>M2149*$H2149</f>
        <v>0</v>
      </c>
      <c r="S2149" s="1475">
        <f>N2149*$H2149</f>
        <v>0</v>
      </c>
      <c r="T2149" s="1475">
        <f>O2149*$H2149</f>
        <v>0</v>
      </c>
      <c r="U2149" s="1475">
        <f>P2149*$H2149</f>
        <v>0</v>
      </c>
      <c r="V2149" s="1475">
        <f t="shared" si="1054"/>
        <v>0</v>
      </c>
    </row>
    <row r="2150" spans="1:22" s="39" customFormat="1" ht="24" customHeight="1">
      <c r="A2150" s="1860">
        <v>3</v>
      </c>
      <c r="B2150" s="1860"/>
      <c r="C2150" s="1860"/>
      <c r="D2150" s="1860"/>
      <c r="E2150" s="1839"/>
      <c r="F2150" s="1841"/>
      <c r="G2150" s="1562"/>
      <c r="H2150" s="1599"/>
      <c r="I2150" s="1615"/>
      <c r="J2150" s="97" t="s">
        <v>82</v>
      </c>
      <c r="K2150" s="91"/>
      <c r="L2150" s="364">
        <f>10*7</f>
        <v>70</v>
      </c>
      <c r="M2150" s="364">
        <v>70</v>
      </c>
      <c r="N2150" s="364">
        <f>10*5</f>
        <v>50</v>
      </c>
      <c r="O2150" s="364">
        <v>0</v>
      </c>
      <c r="P2150" s="364">
        <v>0</v>
      </c>
      <c r="Q2150" s="1475">
        <f>L2150*$H2149</f>
        <v>140000</v>
      </c>
      <c r="R2150" s="1475">
        <f>M2150*$H2149</f>
        <v>140000</v>
      </c>
      <c r="S2150" s="1475">
        <f>N2150*$H2149</f>
        <v>100000</v>
      </c>
      <c r="T2150" s="1475">
        <f>O2150*$H2149</f>
        <v>0</v>
      </c>
      <c r="U2150" s="1475">
        <f>P2150*$H2149</f>
        <v>0</v>
      </c>
      <c r="V2150" s="1475">
        <f t="shared" ref="V2150:V2153" si="1056">SUM(Q2150:U2150)</f>
        <v>380000</v>
      </c>
    </row>
    <row r="2151" spans="1:22" s="39" customFormat="1" ht="24" customHeight="1">
      <c r="A2151" s="1860">
        <v>3</v>
      </c>
      <c r="B2151" s="1860"/>
      <c r="C2151" s="1860"/>
      <c r="D2151" s="1860"/>
      <c r="E2151" s="1839"/>
      <c r="F2151" s="1841"/>
      <c r="G2151" s="1562"/>
      <c r="H2151" s="1599"/>
      <c r="I2151" s="1615"/>
      <c r="J2151" s="97" t="s">
        <v>90</v>
      </c>
      <c r="K2151" s="91"/>
      <c r="L2151" s="364">
        <v>0</v>
      </c>
      <c r="M2151" s="364">
        <v>0</v>
      </c>
      <c r="N2151" s="364">
        <v>0</v>
      </c>
      <c r="O2151" s="364">
        <v>0</v>
      </c>
      <c r="P2151" s="364">
        <v>0</v>
      </c>
      <c r="Q2151" s="1475">
        <f>L2151*$H2149</f>
        <v>0</v>
      </c>
      <c r="R2151" s="1475">
        <f>M2151*$H2149</f>
        <v>0</v>
      </c>
      <c r="S2151" s="1475">
        <f>N2151*$H2149</f>
        <v>0</v>
      </c>
      <c r="T2151" s="1475">
        <f>O2151*$H2149</f>
        <v>0</v>
      </c>
      <c r="U2151" s="1475">
        <f>P2151*$H2149</f>
        <v>0</v>
      </c>
      <c r="V2151" s="1475">
        <f t="shared" si="1056"/>
        <v>0</v>
      </c>
    </row>
    <row r="2152" spans="1:22" s="39" customFormat="1" ht="24" customHeight="1">
      <c r="A2152" s="1860">
        <v>3</v>
      </c>
      <c r="B2152" s="1860"/>
      <c r="C2152" s="1860"/>
      <c r="D2152" s="1860"/>
      <c r="E2152" s="1839"/>
      <c r="F2152" s="1841"/>
      <c r="G2152" s="1562"/>
      <c r="H2152" s="1599"/>
      <c r="I2152" s="1615"/>
      <c r="J2152" s="97" t="s">
        <v>83</v>
      </c>
      <c r="K2152" s="91"/>
      <c r="L2152" s="364">
        <v>0</v>
      </c>
      <c r="M2152" s="364">
        <v>0</v>
      </c>
      <c r="N2152" s="364">
        <v>0</v>
      </c>
      <c r="O2152" s="364">
        <v>0</v>
      </c>
      <c r="P2152" s="364">
        <v>0</v>
      </c>
      <c r="Q2152" s="1475">
        <f>L2152*$H2149</f>
        <v>0</v>
      </c>
      <c r="R2152" s="1475">
        <f>M2152*$H2149</f>
        <v>0</v>
      </c>
      <c r="S2152" s="1475">
        <f>N2152*$H2149</f>
        <v>0</v>
      </c>
      <c r="T2152" s="1475">
        <f>O2152*$H2149</f>
        <v>0</v>
      </c>
      <c r="U2152" s="1475">
        <f>P2152*$H2149</f>
        <v>0</v>
      </c>
      <c r="V2152" s="1475">
        <f t="shared" si="1056"/>
        <v>0</v>
      </c>
    </row>
    <row r="2153" spans="1:22" s="39" customFormat="1" ht="24" customHeight="1" thickBot="1">
      <c r="A2153" s="1860">
        <v>3</v>
      </c>
      <c r="B2153" s="1860"/>
      <c r="C2153" s="1860"/>
      <c r="D2153" s="1860"/>
      <c r="E2153" s="1839"/>
      <c r="F2153" s="1841"/>
      <c r="G2153" s="1563"/>
      <c r="H2153" s="1600"/>
      <c r="I2153" s="1617"/>
      <c r="J2153" s="97" t="s">
        <v>84</v>
      </c>
      <c r="K2153" s="91"/>
      <c r="L2153" s="364">
        <f t="shared" ref="L2153:U2153" si="1057">L2144-L2145</f>
        <v>0</v>
      </c>
      <c r="M2153" s="364">
        <f t="shared" si="1057"/>
        <v>0</v>
      </c>
      <c r="N2153" s="364">
        <f t="shared" si="1057"/>
        <v>0</v>
      </c>
      <c r="O2153" s="364">
        <f t="shared" si="1057"/>
        <v>50</v>
      </c>
      <c r="P2153" s="364">
        <f t="shared" si="1057"/>
        <v>50</v>
      </c>
      <c r="Q2153" s="1475">
        <f t="shared" si="1057"/>
        <v>0</v>
      </c>
      <c r="R2153" s="1475">
        <f t="shared" si="1057"/>
        <v>0</v>
      </c>
      <c r="S2153" s="1475">
        <f t="shared" si="1057"/>
        <v>0</v>
      </c>
      <c r="T2153" s="1475">
        <f t="shared" si="1057"/>
        <v>100000</v>
      </c>
      <c r="U2153" s="1475">
        <f t="shared" si="1057"/>
        <v>100000</v>
      </c>
      <c r="V2153" s="1475">
        <f t="shared" si="1056"/>
        <v>200000</v>
      </c>
    </row>
    <row r="2154" spans="1:22" s="39" customFormat="1" ht="24" customHeight="1">
      <c r="A2154" s="1860">
        <v>3</v>
      </c>
      <c r="B2154" s="1860">
        <v>6</v>
      </c>
      <c r="C2154" s="1860">
        <v>1</v>
      </c>
      <c r="D2154" s="1860">
        <v>2</v>
      </c>
      <c r="E2154" s="1839" t="s">
        <v>15</v>
      </c>
      <c r="F2154" s="1841" t="str">
        <f>CONCATENATE(A2154,".",B2154,".",C2154,".",D2154,)</f>
        <v>3.6.1.2</v>
      </c>
      <c r="G2154" s="1560" t="s">
        <v>243</v>
      </c>
      <c r="H2154" s="1620" t="s">
        <v>144</v>
      </c>
      <c r="I2154" s="1614" t="s">
        <v>1144</v>
      </c>
      <c r="J2154" s="96" t="s">
        <v>79</v>
      </c>
      <c r="K2154" s="896"/>
      <c r="L2154" s="893">
        <v>0</v>
      </c>
      <c r="M2154" s="893">
        <v>7</v>
      </c>
      <c r="N2154" s="893">
        <v>5</v>
      </c>
      <c r="O2154" s="893">
        <v>5</v>
      </c>
      <c r="P2154" s="893">
        <v>5</v>
      </c>
      <c r="Q2154" s="1475">
        <f>L2154*H2159</f>
        <v>0</v>
      </c>
      <c r="R2154" s="1475">
        <f>M2154*H2159</f>
        <v>175000</v>
      </c>
      <c r="S2154" s="1475">
        <f>N2154*H2159</f>
        <v>125000</v>
      </c>
      <c r="T2154" s="1475">
        <f>O2154*H2159</f>
        <v>125000</v>
      </c>
      <c r="U2154" s="1475">
        <f>P2154*H2159</f>
        <v>125000</v>
      </c>
      <c r="V2154" s="1475">
        <f t="shared" ref="V2154:V2159" si="1058">SUM(Q2154:U2154)</f>
        <v>550000</v>
      </c>
    </row>
    <row r="2155" spans="1:22" s="39" customFormat="1" ht="24" customHeight="1">
      <c r="A2155" s="1860">
        <v>3</v>
      </c>
      <c r="B2155" s="1860"/>
      <c r="C2155" s="1860"/>
      <c r="D2155" s="1860"/>
      <c r="E2155" s="1839"/>
      <c r="F2155" s="1841"/>
      <c r="G2155" s="1561"/>
      <c r="H2155" s="1620"/>
      <c r="I2155" s="1615"/>
      <c r="J2155" s="97" t="s">
        <v>80</v>
      </c>
      <c r="K2155" s="91"/>
      <c r="L2155" s="364">
        <f t="shared" ref="L2155:U2155" si="1059">SUM(L2156:L2162)</f>
        <v>0</v>
      </c>
      <c r="M2155" s="364">
        <f t="shared" si="1059"/>
        <v>7</v>
      </c>
      <c r="N2155" s="364">
        <f t="shared" si="1059"/>
        <v>5</v>
      </c>
      <c r="O2155" s="364">
        <f t="shared" si="1059"/>
        <v>0</v>
      </c>
      <c r="P2155" s="364">
        <f t="shared" si="1059"/>
        <v>0</v>
      </c>
      <c r="Q2155" s="1475">
        <f t="shared" si="1059"/>
        <v>0</v>
      </c>
      <c r="R2155" s="1475">
        <f t="shared" si="1059"/>
        <v>175000</v>
      </c>
      <c r="S2155" s="1475">
        <f t="shared" si="1059"/>
        <v>125000</v>
      </c>
      <c r="T2155" s="1475">
        <f t="shared" si="1059"/>
        <v>0</v>
      </c>
      <c r="U2155" s="1475">
        <f t="shared" si="1059"/>
        <v>0</v>
      </c>
      <c r="V2155" s="1475">
        <f t="shared" si="1058"/>
        <v>300000</v>
      </c>
    </row>
    <row r="2156" spans="1:22" s="39" customFormat="1" ht="24" customHeight="1">
      <c r="A2156" s="1860">
        <v>3</v>
      </c>
      <c r="B2156" s="1860"/>
      <c r="C2156" s="1860"/>
      <c r="D2156" s="1860"/>
      <c r="E2156" s="1839"/>
      <c r="F2156" s="1841"/>
      <c r="G2156" s="1561"/>
      <c r="H2156" s="1620"/>
      <c r="I2156" s="1615"/>
      <c r="J2156" s="40" t="s">
        <v>429</v>
      </c>
      <c r="K2156" s="91"/>
      <c r="L2156" s="364">
        <v>0</v>
      </c>
      <c r="M2156" s="364">
        <v>0</v>
      </c>
      <c r="N2156" s="364">
        <v>0</v>
      </c>
      <c r="O2156" s="364">
        <v>0</v>
      </c>
      <c r="P2156" s="364">
        <v>0</v>
      </c>
      <c r="Q2156" s="1475">
        <f>L2156*$H2159</f>
        <v>0</v>
      </c>
      <c r="R2156" s="1475">
        <f>M2156*$H2159</f>
        <v>0</v>
      </c>
      <c r="S2156" s="1475">
        <f>N2156*$H2159</f>
        <v>0</v>
      </c>
      <c r="T2156" s="1475">
        <f>O2156*$H2159</f>
        <v>0</v>
      </c>
      <c r="U2156" s="1475">
        <f>P2156*$H2159</f>
        <v>0</v>
      </c>
      <c r="V2156" s="1475">
        <f t="shared" si="1058"/>
        <v>0</v>
      </c>
    </row>
    <row r="2157" spans="1:22" s="39" customFormat="1" ht="24" customHeight="1">
      <c r="A2157" s="1860">
        <v>3</v>
      </c>
      <c r="B2157" s="1860"/>
      <c r="C2157" s="1860"/>
      <c r="D2157" s="1860"/>
      <c r="E2157" s="1839"/>
      <c r="F2157" s="1841"/>
      <c r="G2157" s="1561"/>
      <c r="H2157" s="1620"/>
      <c r="I2157" s="1615"/>
      <c r="J2157" s="97" t="s">
        <v>133</v>
      </c>
      <c r="K2157" s="91"/>
      <c r="L2157" s="364">
        <v>0</v>
      </c>
      <c r="M2157" s="364">
        <v>0</v>
      </c>
      <c r="N2157" s="364">
        <v>0</v>
      </c>
      <c r="O2157" s="364">
        <v>0</v>
      </c>
      <c r="P2157" s="364">
        <v>0</v>
      </c>
      <c r="Q2157" s="1475">
        <f>L2157*$H2159</f>
        <v>0</v>
      </c>
      <c r="R2157" s="1475">
        <f>M2157*$H2159</f>
        <v>0</v>
      </c>
      <c r="S2157" s="1475">
        <f>N2157*$H2159</f>
        <v>0</v>
      </c>
      <c r="T2157" s="1475">
        <f>O2157*$H2159</f>
        <v>0</v>
      </c>
      <c r="U2157" s="1475">
        <f>P2157*$H2159</f>
        <v>0</v>
      </c>
      <c r="V2157" s="1475">
        <f t="shared" si="1058"/>
        <v>0</v>
      </c>
    </row>
    <row r="2158" spans="1:22" s="39" customFormat="1" ht="24" customHeight="1">
      <c r="A2158" s="1860">
        <v>3</v>
      </c>
      <c r="B2158" s="1860"/>
      <c r="C2158" s="1860"/>
      <c r="D2158" s="1860"/>
      <c r="E2158" s="1839"/>
      <c r="F2158" s="1841"/>
      <c r="G2158" s="1561"/>
      <c r="H2158" s="1620"/>
      <c r="I2158" s="1615"/>
      <c r="J2158" s="97" t="s">
        <v>81</v>
      </c>
      <c r="K2158" s="91"/>
      <c r="L2158" s="364">
        <v>0</v>
      </c>
      <c r="M2158" s="364">
        <v>0</v>
      </c>
      <c r="N2158" s="364">
        <v>0</v>
      </c>
      <c r="O2158" s="364">
        <v>0</v>
      </c>
      <c r="P2158" s="364">
        <v>0</v>
      </c>
      <c r="Q2158" s="1475">
        <f>L2158*$H2159</f>
        <v>0</v>
      </c>
      <c r="R2158" s="1475">
        <f>M2158*$H2159</f>
        <v>0</v>
      </c>
      <c r="S2158" s="1475">
        <f>N2158*$H2159</f>
        <v>0</v>
      </c>
      <c r="T2158" s="1475">
        <f>O2158*$H2159</f>
        <v>0</v>
      </c>
      <c r="U2158" s="1475">
        <f>P2158*$H2159</f>
        <v>0</v>
      </c>
      <c r="V2158" s="1475">
        <f t="shared" si="1058"/>
        <v>0</v>
      </c>
    </row>
    <row r="2159" spans="1:22" s="39" customFormat="1" ht="24" customHeight="1">
      <c r="A2159" s="1860">
        <v>3</v>
      </c>
      <c r="B2159" s="1860"/>
      <c r="C2159" s="1860"/>
      <c r="D2159" s="1860"/>
      <c r="E2159" s="1839"/>
      <c r="F2159" s="1841"/>
      <c r="G2159" s="1561"/>
      <c r="H2159" s="1595">
        <v>25000</v>
      </c>
      <c r="I2159" s="1615"/>
      <c r="J2159" s="97" t="s">
        <v>134</v>
      </c>
      <c r="K2159" s="91"/>
      <c r="L2159" s="364">
        <v>0</v>
      </c>
      <c r="M2159" s="364">
        <v>0</v>
      </c>
      <c r="N2159" s="364">
        <v>0</v>
      </c>
      <c r="O2159" s="364">
        <v>0</v>
      </c>
      <c r="P2159" s="364">
        <v>0</v>
      </c>
      <c r="Q2159" s="1475">
        <f>L2159*$H2159</f>
        <v>0</v>
      </c>
      <c r="R2159" s="1475">
        <f>M2159*$H2159</f>
        <v>0</v>
      </c>
      <c r="S2159" s="1475">
        <f>N2159*$H2159</f>
        <v>0</v>
      </c>
      <c r="T2159" s="1475">
        <f>O2159*$H2159</f>
        <v>0</v>
      </c>
      <c r="U2159" s="1475">
        <f>P2159*$H2159</f>
        <v>0</v>
      </c>
      <c r="V2159" s="1475">
        <f t="shared" si="1058"/>
        <v>0</v>
      </c>
    </row>
    <row r="2160" spans="1:22" s="39" customFormat="1" ht="24" customHeight="1">
      <c r="A2160" s="1860">
        <v>3</v>
      </c>
      <c r="B2160" s="1860"/>
      <c r="C2160" s="1860"/>
      <c r="D2160" s="1860"/>
      <c r="E2160" s="1839"/>
      <c r="F2160" s="1841"/>
      <c r="G2160" s="1561"/>
      <c r="H2160" s="1596"/>
      <c r="I2160" s="1615"/>
      <c r="J2160" s="97" t="s">
        <v>82</v>
      </c>
      <c r="K2160" s="91"/>
      <c r="L2160" s="364">
        <v>0</v>
      </c>
      <c r="M2160" s="364">
        <v>7</v>
      </c>
      <c r="N2160" s="364">
        <v>5</v>
      </c>
      <c r="O2160" s="364">
        <v>0</v>
      </c>
      <c r="P2160" s="364">
        <v>0</v>
      </c>
      <c r="Q2160" s="1475">
        <f>L2160*$H2159</f>
        <v>0</v>
      </c>
      <c r="R2160" s="1475">
        <f>M2160*$H2159</f>
        <v>175000</v>
      </c>
      <c r="S2160" s="1475">
        <f>N2160*$H2159</f>
        <v>125000</v>
      </c>
      <c r="T2160" s="1475">
        <f>O2160*$H2159</f>
        <v>0</v>
      </c>
      <c r="U2160" s="1475">
        <f>P2160*$H2159</f>
        <v>0</v>
      </c>
      <c r="V2160" s="1475">
        <f t="shared" ref="V2160:V2163" si="1060">SUM(Q2160:U2160)</f>
        <v>300000</v>
      </c>
    </row>
    <row r="2161" spans="1:22" s="39" customFormat="1" ht="24" customHeight="1">
      <c r="A2161" s="1860">
        <v>3</v>
      </c>
      <c r="B2161" s="1860"/>
      <c r="C2161" s="1860"/>
      <c r="D2161" s="1860"/>
      <c r="E2161" s="1839"/>
      <c r="F2161" s="1841"/>
      <c r="G2161" s="1561"/>
      <c r="H2161" s="1596"/>
      <c r="I2161" s="1615"/>
      <c r="J2161" s="97" t="s">
        <v>90</v>
      </c>
      <c r="K2161" s="91"/>
      <c r="L2161" s="364">
        <v>0</v>
      </c>
      <c r="M2161" s="364">
        <v>0</v>
      </c>
      <c r="N2161" s="364">
        <v>0</v>
      </c>
      <c r="O2161" s="364">
        <v>0</v>
      </c>
      <c r="P2161" s="364">
        <v>0</v>
      </c>
      <c r="Q2161" s="1475">
        <f>L2161*$H2159</f>
        <v>0</v>
      </c>
      <c r="R2161" s="1475">
        <f>M2161*$H2159</f>
        <v>0</v>
      </c>
      <c r="S2161" s="1475">
        <f>N2161*$H2159</f>
        <v>0</v>
      </c>
      <c r="T2161" s="1475">
        <f>O2161*$H2159</f>
        <v>0</v>
      </c>
      <c r="U2161" s="1475">
        <f>P2161*$H2159</f>
        <v>0</v>
      </c>
      <c r="V2161" s="1475">
        <f t="shared" si="1060"/>
        <v>0</v>
      </c>
    </row>
    <row r="2162" spans="1:22" s="39" customFormat="1" ht="24" customHeight="1">
      <c r="A2162" s="1860">
        <v>3</v>
      </c>
      <c r="B2162" s="1860"/>
      <c r="C2162" s="1860"/>
      <c r="D2162" s="1860"/>
      <c r="E2162" s="1839"/>
      <c r="F2162" s="1841"/>
      <c r="G2162" s="1561"/>
      <c r="H2162" s="1596"/>
      <c r="I2162" s="1615"/>
      <c r="J2162" s="97" t="s">
        <v>83</v>
      </c>
      <c r="K2162" s="91"/>
      <c r="L2162" s="364">
        <v>0</v>
      </c>
      <c r="M2162" s="364">
        <v>0</v>
      </c>
      <c r="N2162" s="364">
        <v>0</v>
      </c>
      <c r="O2162" s="364">
        <v>0</v>
      </c>
      <c r="P2162" s="364">
        <v>0</v>
      </c>
      <c r="Q2162" s="1475">
        <f>L2162*$H2159</f>
        <v>0</v>
      </c>
      <c r="R2162" s="1475">
        <f>M2162*$H2159</f>
        <v>0</v>
      </c>
      <c r="S2162" s="1475">
        <f>N2162*$H2159</f>
        <v>0</v>
      </c>
      <c r="T2162" s="1475">
        <f>O2162*$H2159</f>
        <v>0</v>
      </c>
      <c r="U2162" s="1475">
        <f>P2162*$H2159</f>
        <v>0</v>
      </c>
      <c r="V2162" s="1475">
        <f t="shared" si="1060"/>
        <v>0</v>
      </c>
    </row>
    <row r="2163" spans="1:22" s="39" customFormat="1" ht="24" customHeight="1" thickBot="1">
      <c r="A2163" s="1860">
        <v>3</v>
      </c>
      <c r="B2163" s="1860"/>
      <c r="C2163" s="1860"/>
      <c r="D2163" s="1860"/>
      <c r="E2163" s="1839"/>
      <c r="F2163" s="1863"/>
      <c r="G2163" s="1561"/>
      <c r="H2163" s="1596"/>
      <c r="I2163" s="1615"/>
      <c r="J2163" s="97" t="s">
        <v>84</v>
      </c>
      <c r="K2163" s="91"/>
      <c r="L2163" s="364">
        <f t="shared" ref="L2163:U2163" si="1061">L2154-L2155</f>
        <v>0</v>
      </c>
      <c r="M2163" s="364">
        <f t="shared" si="1061"/>
        <v>0</v>
      </c>
      <c r="N2163" s="364">
        <f t="shared" si="1061"/>
        <v>0</v>
      </c>
      <c r="O2163" s="364">
        <f t="shared" si="1061"/>
        <v>5</v>
      </c>
      <c r="P2163" s="364">
        <f t="shared" si="1061"/>
        <v>5</v>
      </c>
      <c r="Q2163" s="1475">
        <f t="shared" si="1061"/>
        <v>0</v>
      </c>
      <c r="R2163" s="1475">
        <f t="shared" si="1061"/>
        <v>0</v>
      </c>
      <c r="S2163" s="1475">
        <f t="shared" si="1061"/>
        <v>0</v>
      </c>
      <c r="T2163" s="1475">
        <f t="shared" si="1061"/>
        <v>125000</v>
      </c>
      <c r="U2163" s="1475">
        <f t="shared" si="1061"/>
        <v>125000</v>
      </c>
      <c r="V2163" s="1475">
        <f t="shared" si="1060"/>
        <v>250000</v>
      </c>
    </row>
    <row r="2164" spans="1:22" s="39" customFormat="1" ht="40.35" customHeight="1" thickBot="1">
      <c r="A2164" s="825">
        <v>3</v>
      </c>
      <c r="B2164" s="826">
        <v>6</v>
      </c>
      <c r="C2164" s="826">
        <v>2</v>
      </c>
      <c r="D2164" s="826"/>
      <c r="E2164" s="827" t="s">
        <v>13</v>
      </c>
      <c r="F2164" s="977" t="str">
        <f>CONCATENATE(A2164,".",B2164,".",C2164,)</f>
        <v>3.6.2</v>
      </c>
      <c r="G2164" s="1633" t="s">
        <v>40</v>
      </c>
      <c r="H2164" s="1634"/>
      <c r="I2164" s="1634"/>
      <c r="J2164" s="1635"/>
      <c r="K2164" s="831"/>
      <c r="L2164" s="832"/>
      <c r="M2164" s="832"/>
      <c r="N2164" s="832"/>
      <c r="O2164" s="832"/>
      <c r="P2164" s="832"/>
      <c r="Q2164" s="1534">
        <f>Q2166+Q2176+Q2186+Q2196+Q2206</f>
        <v>875842.6</v>
      </c>
      <c r="R2164" s="1534">
        <f t="shared" ref="R2164:U2164" si="1062">R2166+R2176+R2186+R2196+R2206</f>
        <v>755842.6</v>
      </c>
      <c r="S2164" s="1534">
        <f t="shared" si="1062"/>
        <v>695842.6</v>
      </c>
      <c r="T2164" s="1534">
        <f t="shared" si="1062"/>
        <v>0</v>
      </c>
      <c r="U2164" s="1534">
        <f t="shared" si="1062"/>
        <v>0</v>
      </c>
      <c r="V2164" s="1535">
        <f t="shared" ref="V2164" si="1063">SUM(Q2164:U2164)</f>
        <v>2327527.7999999998</v>
      </c>
    </row>
    <row r="2165" spans="1:22" s="39" customFormat="1" ht="24" customHeight="1">
      <c r="A2165" s="1860">
        <v>3</v>
      </c>
      <c r="B2165" s="1860">
        <v>6</v>
      </c>
      <c r="C2165" s="1860">
        <v>2</v>
      </c>
      <c r="D2165" s="1860">
        <v>1</v>
      </c>
      <c r="E2165" s="1839" t="s">
        <v>15</v>
      </c>
      <c r="F2165" s="1843" t="str">
        <f>CONCATENATE(A2165,".",B2165,".",C2165,".",D2165,)</f>
        <v>3.6.2.1</v>
      </c>
      <c r="G2165" s="1562" t="s">
        <v>244</v>
      </c>
      <c r="H2165" s="1987" t="s">
        <v>195</v>
      </c>
      <c r="I2165" s="1558" t="s">
        <v>245</v>
      </c>
      <c r="J2165" s="833" t="s">
        <v>79</v>
      </c>
      <c r="K2165" s="898"/>
      <c r="L2165" s="943">
        <v>200</v>
      </c>
      <c r="M2165" s="943">
        <v>150</v>
      </c>
      <c r="N2165" s="943">
        <v>150</v>
      </c>
      <c r="O2165" s="943">
        <v>150</v>
      </c>
      <c r="P2165" s="943">
        <v>150</v>
      </c>
      <c r="Q2165" s="1489">
        <f>L2165*H2170</f>
        <v>400000</v>
      </c>
      <c r="R2165" s="1489">
        <f>M2165*H2170</f>
        <v>300000</v>
      </c>
      <c r="S2165" s="1489">
        <f>N2165*H2170</f>
        <v>300000</v>
      </c>
      <c r="T2165" s="1489">
        <f>O2165*H2170</f>
        <v>300000</v>
      </c>
      <c r="U2165" s="1489">
        <f>P2165*H2170</f>
        <v>300000</v>
      </c>
      <c r="V2165" s="1489">
        <f t="shared" ref="V2165:V2214" si="1064">SUM(Q2165:U2165)</f>
        <v>1600000</v>
      </c>
    </row>
    <row r="2166" spans="1:22" s="39" customFormat="1" ht="24" customHeight="1">
      <c r="A2166" s="1860">
        <v>3</v>
      </c>
      <c r="B2166" s="1860"/>
      <c r="C2166" s="1860"/>
      <c r="D2166" s="1860"/>
      <c r="E2166" s="1839"/>
      <c r="F2166" s="1844"/>
      <c r="G2166" s="1562"/>
      <c r="H2166" s="1988"/>
      <c r="I2166" s="1558"/>
      <c r="J2166" s="97" t="s">
        <v>80</v>
      </c>
      <c r="K2166" s="91"/>
      <c r="L2166" s="364">
        <f t="shared" ref="L2166:U2166" si="1065">SUM(L2167:L2173)</f>
        <v>200</v>
      </c>
      <c r="M2166" s="364">
        <f t="shared" si="1065"/>
        <v>150</v>
      </c>
      <c r="N2166" s="364">
        <f t="shared" si="1065"/>
        <v>150</v>
      </c>
      <c r="O2166" s="364">
        <f t="shared" si="1065"/>
        <v>0</v>
      </c>
      <c r="P2166" s="364">
        <f t="shared" si="1065"/>
        <v>0</v>
      </c>
      <c r="Q2166" s="1475">
        <f t="shared" si="1065"/>
        <v>400000</v>
      </c>
      <c r="R2166" s="1475">
        <f t="shared" si="1065"/>
        <v>300000</v>
      </c>
      <c r="S2166" s="1475">
        <f t="shared" si="1065"/>
        <v>300000</v>
      </c>
      <c r="T2166" s="1475">
        <f t="shared" si="1065"/>
        <v>0</v>
      </c>
      <c r="U2166" s="1475">
        <f t="shared" si="1065"/>
        <v>0</v>
      </c>
      <c r="V2166" s="1475">
        <f t="shared" si="1064"/>
        <v>1000000</v>
      </c>
    </row>
    <row r="2167" spans="1:22" s="39" customFormat="1" ht="24" customHeight="1">
      <c r="A2167" s="1860">
        <v>3</v>
      </c>
      <c r="B2167" s="1860"/>
      <c r="C2167" s="1860"/>
      <c r="D2167" s="1860"/>
      <c r="E2167" s="1839"/>
      <c r="F2167" s="1844"/>
      <c r="G2167" s="1562"/>
      <c r="H2167" s="1988"/>
      <c r="I2167" s="1558"/>
      <c r="J2167" s="40" t="s">
        <v>429</v>
      </c>
      <c r="K2167" s="91"/>
      <c r="L2167" s="364">
        <v>0</v>
      </c>
      <c r="M2167" s="364">
        <v>0</v>
      </c>
      <c r="N2167" s="364">
        <v>0</v>
      </c>
      <c r="O2167" s="364">
        <v>0</v>
      </c>
      <c r="P2167" s="364">
        <v>0</v>
      </c>
      <c r="Q2167" s="1475">
        <f>L2167*$H2170</f>
        <v>0</v>
      </c>
      <c r="R2167" s="1475">
        <f>M2167*$H2170</f>
        <v>0</v>
      </c>
      <c r="S2167" s="1475">
        <f>N2167*$H2170</f>
        <v>0</v>
      </c>
      <c r="T2167" s="1475">
        <f>O2167*$H2170</f>
        <v>0</v>
      </c>
      <c r="U2167" s="1475">
        <f>P2167*$H2170</f>
        <v>0</v>
      </c>
      <c r="V2167" s="1475">
        <f t="shared" si="1064"/>
        <v>0</v>
      </c>
    </row>
    <row r="2168" spans="1:22" s="39" customFormat="1" ht="24" customHeight="1">
      <c r="A2168" s="1860">
        <v>3</v>
      </c>
      <c r="B2168" s="1860"/>
      <c r="C2168" s="1860"/>
      <c r="D2168" s="1860"/>
      <c r="E2168" s="1839"/>
      <c r="F2168" s="1844"/>
      <c r="G2168" s="1562"/>
      <c r="H2168" s="1988"/>
      <c r="I2168" s="1558"/>
      <c r="J2168" s="97" t="s">
        <v>133</v>
      </c>
      <c r="K2168" s="91"/>
      <c r="L2168" s="364">
        <v>0</v>
      </c>
      <c r="M2168" s="364">
        <v>0</v>
      </c>
      <c r="N2168" s="364">
        <v>0</v>
      </c>
      <c r="O2168" s="364">
        <v>0</v>
      </c>
      <c r="P2168" s="364">
        <v>0</v>
      </c>
      <c r="Q2168" s="1475">
        <f>L2168*$H2170</f>
        <v>0</v>
      </c>
      <c r="R2168" s="1475">
        <f>M2168*$H2170</f>
        <v>0</v>
      </c>
      <c r="S2168" s="1475">
        <f>N2168*$H2170</f>
        <v>0</v>
      </c>
      <c r="T2168" s="1475">
        <f>O2168*$H2170</f>
        <v>0</v>
      </c>
      <c r="U2168" s="1475">
        <f>P2168*$H2170</f>
        <v>0</v>
      </c>
      <c r="V2168" s="1475">
        <f t="shared" si="1064"/>
        <v>0</v>
      </c>
    </row>
    <row r="2169" spans="1:22" s="39" customFormat="1" ht="24" customHeight="1">
      <c r="A2169" s="1860">
        <v>3</v>
      </c>
      <c r="B2169" s="1860"/>
      <c r="C2169" s="1860"/>
      <c r="D2169" s="1860"/>
      <c r="E2169" s="1839"/>
      <c r="F2169" s="1844"/>
      <c r="G2169" s="1562"/>
      <c r="H2169" s="1988"/>
      <c r="I2169" s="1558"/>
      <c r="J2169" s="97" t="s">
        <v>81</v>
      </c>
      <c r="K2169" s="91"/>
      <c r="L2169" s="364">
        <v>0</v>
      </c>
      <c r="M2169" s="364">
        <v>0</v>
      </c>
      <c r="N2169" s="364">
        <v>0</v>
      </c>
      <c r="O2169" s="364">
        <v>0</v>
      </c>
      <c r="P2169" s="364">
        <v>0</v>
      </c>
      <c r="Q2169" s="1475">
        <f>L2169*$H2170</f>
        <v>0</v>
      </c>
      <c r="R2169" s="1475">
        <f>M2169*$H2170</f>
        <v>0</v>
      </c>
      <c r="S2169" s="1475">
        <f>N2169*$H2170</f>
        <v>0</v>
      </c>
      <c r="T2169" s="1475">
        <f>O2169*$H2170</f>
        <v>0</v>
      </c>
      <c r="U2169" s="1475">
        <f>P2169*$H2170</f>
        <v>0</v>
      </c>
      <c r="V2169" s="1475">
        <f t="shared" si="1064"/>
        <v>0</v>
      </c>
    </row>
    <row r="2170" spans="1:22" s="39" customFormat="1" ht="24" customHeight="1">
      <c r="A2170" s="1860">
        <v>3</v>
      </c>
      <c r="B2170" s="1860"/>
      <c r="C2170" s="1860"/>
      <c r="D2170" s="1860"/>
      <c r="E2170" s="1839"/>
      <c r="F2170" s="1844"/>
      <c r="G2170" s="1562"/>
      <c r="H2170" s="1602">
        <f>'Budget assumption'!$C$4</f>
        <v>2000</v>
      </c>
      <c r="I2170" s="1558"/>
      <c r="J2170" s="97" t="s">
        <v>134</v>
      </c>
      <c r="K2170" s="91"/>
      <c r="L2170" s="364">
        <v>0</v>
      </c>
      <c r="M2170" s="364">
        <v>0</v>
      </c>
      <c r="N2170" s="364">
        <v>0</v>
      </c>
      <c r="O2170" s="364">
        <v>0</v>
      </c>
      <c r="P2170" s="364">
        <v>0</v>
      </c>
      <c r="Q2170" s="1475">
        <f>L2170*$H2170</f>
        <v>0</v>
      </c>
      <c r="R2170" s="1475">
        <f>M2170*$H2170</f>
        <v>0</v>
      </c>
      <c r="S2170" s="1475">
        <f>N2170*$H2170</f>
        <v>0</v>
      </c>
      <c r="T2170" s="1475">
        <f>O2170*$H2170</f>
        <v>0</v>
      </c>
      <c r="U2170" s="1475">
        <f>P2170*$H2170</f>
        <v>0</v>
      </c>
      <c r="V2170" s="1475">
        <f t="shared" si="1064"/>
        <v>0</v>
      </c>
    </row>
    <row r="2171" spans="1:22" s="39" customFormat="1" ht="24" customHeight="1">
      <c r="A2171" s="1860">
        <v>3</v>
      </c>
      <c r="B2171" s="1860"/>
      <c r="C2171" s="1860"/>
      <c r="D2171" s="1860"/>
      <c r="E2171" s="1839"/>
      <c r="F2171" s="1844"/>
      <c r="G2171" s="1562"/>
      <c r="H2171" s="1603"/>
      <c r="I2171" s="1558"/>
      <c r="J2171" s="97" t="s">
        <v>82</v>
      </c>
      <c r="K2171" s="91"/>
      <c r="L2171" s="364">
        <v>200</v>
      </c>
      <c r="M2171" s="364">
        <v>150</v>
      </c>
      <c r="N2171" s="364">
        <v>150</v>
      </c>
      <c r="O2171" s="364">
        <v>0</v>
      </c>
      <c r="P2171" s="364">
        <v>0</v>
      </c>
      <c r="Q2171" s="1475">
        <f>L2171*$H2170</f>
        <v>400000</v>
      </c>
      <c r="R2171" s="1475">
        <f>M2171*$H2170</f>
        <v>300000</v>
      </c>
      <c r="S2171" s="1475">
        <f>N2171*$H2170</f>
        <v>300000</v>
      </c>
      <c r="T2171" s="1475">
        <f>O2171*$H2170</f>
        <v>0</v>
      </c>
      <c r="U2171" s="1475">
        <f>P2171*$H2170</f>
        <v>0</v>
      </c>
      <c r="V2171" s="1475">
        <f t="shared" ref="V2171:V2174" si="1066">SUM(Q2171:U2171)</f>
        <v>1000000</v>
      </c>
    </row>
    <row r="2172" spans="1:22" s="39" customFormat="1" ht="24" customHeight="1">
      <c r="A2172" s="1860">
        <v>3</v>
      </c>
      <c r="B2172" s="1860"/>
      <c r="C2172" s="1860"/>
      <c r="D2172" s="1860"/>
      <c r="E2172" s="1839"/>
      <c r="F2172" s="1844"/>
      <c r="G2172" s="1562"/>
      <c r="H2172" s="1603"/>
      <c r="I2172" s="1558"/>
      <c r="J2172" s="97" t="s">
        <v>90</v>
      </c>
      <c r="K2172" s="91"/>
      <c r="L2172" s="364">
        <v>0</v>
      </c>
      <c r="M2172" s="364">
        <v>0</v>
      </c>
      <c r="N2172" s="364">
        <v>0</v>
      </c>
      <c r="O2172" s="364">
        <v>0</v>
      </c>
      <c r="P2172" s="364">
        <v>0</v>
      </c>
      <c r="Q2172" s="1475">
        <f>L2172*$H2170</f>
        <v>0</v>
      </c>
      <c r="R2172" s="1475">
        <f>M2172*$H2170</f>
        <v>0</v>
      </c>
      <c r="S2172" s="1475">
        <f>N2172*$H2170</f>
        <v>0</v>
      </c>
      <c r="T2172" s="1475">
        <f>O2172*$H2170</f>
        <v>0</v>
      </c>
      <c r="U2172" s="1475">
        <f>P2172*$H2170</f>
        <v>0</v>
      </c>
      <c r="V2172" s="1475">
        <f t="shared" si="1066"/>
        <v>0</v>
      </c>
    </row>
    <row r="2173" spans="1:22" s="39" customFormat="1" ht="24" customHeight="1">
      <c r="A2173" s="1860">
        <v>3</v>
      </c>
      <c r="B2173" s="1860"/>
      <c r="C2173" s="1860"/>
      <c r="D2173" s="1860"/>
      <c r="E2173" s="1839"/>
      <c r="F2173" s="1844"/>
      <c r="G2173" s="1562"/>
      <c r="H2173" s="1603"/>
      <c r="I2173" s="1558"/>
      <c r="J2173" s="97" t="s">
        <v>83</v>
      </c>
      <c r="K2173" s="91"/>
      <c r="L2173" s="364">
        <v>0</v>
      </c>
      <c r="M2173" s="364">
        <v>0</v>
      </c>
      <c r="N2173" s="364">
        <v>0</v>
      </c>
      <c r="O2173" s="364">
        <v>0</v>
      </c>
      <c r="P2173" s="364">
        <v>0</v>
      </c>
      <c r="Q2173" s="1475">
        <f>L2173*$H2170</f>
        <v>0</v>
      </c>
      <c r="R2173" s="1475">
        <f>M2173*$H2170</f>
        <v>0</v>
      </c>
      <c r="S2173" s="1475">
        <f>N2173*$H2170</f>
        <v>0</v>
      </c>
      <c r="T2173" s="1475">
        <f>O2173*$H2170</f>
        <v>0</v>
      </c>
      <c r="U2173" s="1475">
        <f>P2173*$H2170</f>
        <v>0</v>
      </c>
      <c r="V2173" s="1475">
        <f t="shared" si="1066"/>
        <v>0</v>
      </c>
    </row>
    <row r="2174" spans="1:22" s="39" customFormat="1" ht="24" customHeight="1" thickBot="1">
      <c r="A2174" s="1860">
        <v>3</v>
      </c>
      <c r="B2174" s="1860"/>
      <c r="C2174" s="1860"/>
      <c r="D2174" s="1860"/>
      <c r="E2174" s="1839"/>
      <c r="F2174" s="1844"/>
      <c r="G2174" s="1563"/>
      <c r="H2174" s="1604"/>
      <c r="I2174" s="1559"/>
      <c r="J2174" s="97" t="s">
        <v>84</v>
      </c>
      <c r="K2174" s="91"/>
      <c r="L2174" s="364">
        <f t="shared" ref="L2174:U2174" si="1067">L2165-L2166</f>
        <v>0</v>
      </c>
      <c r="M2174" s="364">
        <f t="shared" si="1067"/>
        <v>0</v>
      </c>
      <c r="N2174" s="364">
        <f t="shared" si="1067"/>
        <v>0</v>
      </c>
      <c r="O2174" s="364">
        <f t="shared" si="1067"/>
        <v>150</v>
      </c>
      <c r="P2174" s="364">
        <f t="shared" si="1067"/>
        <v>150</v>
      </c>
      <c r="Q2174" s="1475">
        <f t="shared" si="1067"/>
        <v>0</v>
      </c>
      <c r="R2174" s="1475">
        <f t="shared" si="1067"/>
        <v>0</v>
      </c>
      <c r="S2174" s="1475">
        <f t="shared" si="1067"/>
        <v>0</v>
      </c>
      <c r="T2174" s="1475">
        <f t="shared" si="1067"/>
        <v>300000</v>
      </c>
      <c r="U2174" s="1475">
        <f t="shared" si="1067"/>
        <v>300000</v>
      </c>
      <c r="V2174" s="1475">
        <f t="shared" si="1066"/>
        <v>600000</v>
      </c>
    </row>
    <row r="2175" spans="1:22" s="39" customFormat="1" ht="24" customHeight="1">
      <c r="A2175" s="1860">
        <v>3</v>
      </c>
      <c r="B2175" s="1860">
        <v>6</v>
      </c>
      <c r="C2175" s="1860">
        <v>2</v>
      </c>
      <c r="D2175" s="1860">
        <v>2</v>
      </c>
      <c r="E2175" s="1839" t="s">
        <v>15</v>
      </c>
      <c r="F2175" s="1844" t="str">
        <f>CONCATENATE(A2175,".",B2175,".",C2175,".",D2175,)</f>
        <v>3.6.2.2</v>
      </c>
      <c r="G2175" s="1624" t="s">
        <v>246</v>
      </c>
      <c r="H2175" s="1988" t="s">
        <v>247</v>
      </c>
      <c r="I2175" s="1557" t="s">
        <v>248</v>
      </c>
      <c r="J2175" s="96" t="s">
        <v>79</v>
      </c>
      <c r="K2175" s="896"/>
      <c r="L2175" s="893">
        <v>12</v>
      </c>
      <c r="M2175" s="893">
        <v>12</v>
      </c>
      <c r="N2175" s="893">
        <v>12</v>
      </c>
      <c r="O2175" s="893">
        <v>12</v>
      </c>
      <c r="P2175" s="893">
        <v>12</v>
      </c>
      <c r="Q2175" s="1475">
        <f>L2175*H2180</f>
        <v>146160</v>
      </c>
      <c r="R2175" s="1475">
        <f>M2175*H2180</f>
        <v>146160</v>
      </c>
      <c r="S2175" s="1475">
        <f>N2175*H2180</f>
        <v>146160</v>
      </c>
      <c r="T2175" s="1475">
        <f>O2175*H2180</f>
        <v>146160</v>
      </c>
      <c r="U2175" s="1475">
        <f>P2175*H2180</f>
        <v>146160</v>
      </c>
      <c r="V2175" s="1475">
        <f t="shared" ref="V2175:V2180" si="1068">SUM(Q2175:U2175)</f>
        <v>730800</v>
      </c>
    </row>
    <row r="2176" spans="1:22" s="39" customFormat="1" ht="24" customHeight="1">
      <c r="A2176" s="1860">
        <v>3</v>
      </c>
      <c r="B2176" s="1860"/>
      <c r="C2176" s="1860"/>
      <c r="D2176" s="1860"/>
      <c r="E2176" s="1839"/>
      <c r="F2176" s="1844"/>
      <c r="G2176" s="1562"/>
      <c r="H2176" s="1988"/>
      <c r="I2176" s="1558"/>
      <c r="J2176" s="97" t="s">
        <v>80</v>
      </c>
      <c r="K2176" s="91"/>
      <c r="L2176" s="364">
        <f t="shared" ref="L2176:U2176" si="1069">SUM(L2177:L2183)</f>
        <v>12</v>
      </c>
      <c r="M2176" s="364">
        <f t="shared" si="1069"/>
        <v>12</v>
      </c>
      <c r="N2176" s="364">
        <f t="shared" si="1069"/>
        <v>12</v>
      </c>
      <c r="O2176" s="364">
        <f t="shared" si="1069"/>
        <v>0</v>
      </c>
      <c r="P2176" s="364">
        <f t="shared" si="1069"/>
        <v>0</v>
      </c>
      <c r="Q2176" s="1475">
        <f t="shared" si="1069"/>
        <v>146160</v>
      </c>
      <c r="R2176" s="1475">
        <f t="shared" si="1069"/>
        <v>146160</v>
      </c>
      <c r="S2176" s="1475">
        <f t="shared" si="1069"/>
        <v>146160</v>
      </c>
      <c r="T2176" s="1475">
        <f t="shared" si="1069"/>
        <v>0</v>
      </c>
      <c r="U2176" s="1475">
        <f t="shared" si="1069"/>
        <v>0</v>
      </c>
      <c r="V2176" s="1475">
        <f t="shared" si="1068"/>
        <v>438480</v>
      </c>
    </row>
    <row r="2177" spans="1:22" s="39" customFormat="1" ht="24" customHeight="1">
      <c r="A2177" s="1860">
        <v>3</v>
      </c>
      <c r="B2177" s="1860"/>
      <c r="C2177" s="1860"/>
      <c r="D2177" s="1860"/>
      <c r="E2177" s="1839"/>
      <c r="F2177" s="1844"/>
      <c r="G2177" s="1562"/>
      <c r="H2177" s="1988"/>
      <c r="I2177" s="1558"/>
      <c r="J2177" s="40" t="s">
        <v>429</v>
      </c>
      <c r="K2177" s="91"/>
      <c r="L2177" s="364">
        <v>0</v>
      </c>
      <c r="M2177" s="364">
        <v>0</v>
      </c>
      <c r="N2177" s="364">
        <v>0</v>
      </c>
      <c r="O2177" s="364">
        <v>0</v>
      </c>
      <c r="P2177" s="364">
        <v>0</v>
      </c>
      <c r="Q2177" s="1475">
        <f>L2177*$H2180</f>
        <v>0</v>
      </c>
      <c r="R2177" s="1475">
        <f>M2177*$H2180</f>
        <v>0</v>
      </c>
      <c r="S2177" s="1475">
        <f>N2177*$H2180</f>
        <v>0</v>
      </c>
      <c r="T2177" s="1475">
        <f>O2177*$H2180</f>
        <v>0</v>
      </c>
      <c r="U2177" s="1475">
        <f>P2177*$H2180</f>
        <v>0</v>
      </c>
      <c r="V2177" s="1475">
        <f t="shared" si="1068"/>
        <v>0</v>
      </c>
    </row>
    <row r="2178" spans="1:22" s="39" customFormat="1" ht="24" customHeight="1">
      <c r="A2178" s="1860">
        <v>3</v>
      </c>
      <c r="B2178" s="1860"/>
      <c r="C2178" s="1860"/>
      <c r="D2178" s="1860"/>
      <c r="E2178" s="1839"/>
      <c r="F2178" s="1844"/>
      <c r="G2178" s="1562"/>
      <c r="H2178" s="1988"/>
      <c r="I2178" s="1558"/>
      <c r="J2178" s="97" t="s">
        <v>133</v>
      </c>
      <c r="K2178" s="91"/>
      <c r="L2178" s="364">
        <v>0</v>
      </c>
      <c r="M2178" s="364">
        <v>0</v>
      </c>
      <c r="N2178" s="364">
        <v>0</v>
      </c>
      <c r="O2178" s="364">
        <v>0</v>
      </c>
      <c r="P2178" s="364">
        <v>0</v>
      </c>
      <c r="Q2178" s="1475">
        <f>L2178*$H2180</f>
        <v>0</v>
      </c>
      <c r="R2178" s="1475">
        <f>M2178*$H2180</f>
        <v>0</v>
      </c>
      <c r="S2178" s="1475">
        <f>N2178*$H2180</f>
        <v>0</v>
      </c>
      <c r="T2178" s="1475">
        <f>O2178*$H2180</f>
        <v>0</v>
      </c>
      <c r="U2178" s="1475">
        <f>P2178*$H2180</f>
        <v>0</v>
      </c>
      <c r="V2178" s="1475">
        <f t="shared" si="1068"/>
        <v>0</v>
      </c>
    </row>
    <row r="2179" spans="1:22" s="39" customFormat="1" ht="24" customHeight="1">
      <c r="A2179" s="1860">
        <v>3</v>
      </c>
      <c r="B2179" s="1860"/>
      <c r="C2179" s="1860"/>
      <c r="D2179" s="1860"/>
      <c r="E2179" s="1839"/>
      <c r="F2179" s="1844"/>
      <c r="G2179" s="1562"/>
      <c r="H2179" s="1988"/>
      <c r="I2179" s="1558"/>
      <c r="J2179" s="97" t="s">
        <v>81</v>
      </c>
      <c r="K2179" s="91"/>
      <c r="L2179" s="364">
        <v>0</v>
      </c>
      <c r="M2179" s="364">
        <v>0</v>
      </c>
      <c r="N2179" s="364">
        <v>0</v>
      </c>
      <c r="O2179" s="364">
        <v>0</v>
      </c>
      <c r="P2179" s="364">
        <v>0</v>
      </c>
      <c r="Q2179" s="1475">
        <f>L2179*$H2180</f>
        <v>0</v>
      </c>
      <c r="R2179" s="1475">
        <f>M2179*$H2180</f>
        <v>0</v>
      </c>
      <c r="S2179" s="1475">
        <f>N2179*$H2180</f>
        <v>0</v>
      </c>
      <c r="T2179" s="1475">
        <f>O2179*$H2180</f>
        <v>0</v>
      </c>
      <c r="U2179" s="1475">
        <f>P2179*$H2180</f>
        <v>0</v>
      </c>
      <c r="V2179" s="1475">
        <f t="shared" si="1068"/>
        <v>0</v>
      </c>
    </row>
    <row r="2180" spans="1:22" s="39" customFormat="1" ht="24" customHeight="1">
      <c r="A2180" s="1860">
        <v>3</v>
      </c>
      <c r="B2180" s="1860"/>
      <c r="C2180" s="1860"/>
      <c r="D2180" s="1860"/>
      <c r="E2180" s="1839"/>
      <c r="F2180" s="1844"/>
      <c r="G2180" s="1562"/>
      <c r="H2180" s="1602">
        <f>'Budget assumption'!G15</f>
        <v>12180</v>
      </c>
      <c r="I2180" s="1558"/>
      <c r="J2180" s="97" t="s">
        <v>134</v>
      </c>
      <c r="K2180" s="91"/>
      <c r="L2180" s="364">
        <v>0</v>
      </c>
      <c r="M2180" s="364">
        <v>0</v>
      </c>
      <c r="N2180" s="364">
        <v>0</v>
      </c>
      <c r="O2180" s="364">
        <v>0</v>
      </c>
      <c r="P2180" s="364">
        <v>0</v>
      </c>
      <c r="Q2180" s="1475">
        <f>L2180*$H2180</f>
        <v>0</v>
      </c>
      <c r="R2180" s="1475">
        <f>M2180*$H2180</f>
        <v>0</v>
      </c>
      <c r="S2180" s="1475">
        <f>N2180*$H2180</f>
        <v>0</v>
      </c>
      <c r="T2180" s="1475">
        <f>O2180*$H2180</f>
        <v>0</v>
      </c>
      <c r="U2180" s="1475">
        <f>P2180*$H2180</f>
        <v>0</v>
      </c>
      <c r="V2180" s="1475">
        <f t="shared" si="1068"/>
        <v>0</v>
      </c>
    </row>
    <row r="2181" spans="1:22" s="39" customFormat="1" ht="24" customHeight="1">
      <c r="A2181" s="1860">
        <v>3</v>
      </c>
      <c r="B2181" s="1860"/>
      <c r="C2181" s="1860"/>
      <c r="D2181" s="1860"/>
      <c r="E2181" s="1839"/>
      <c r="F2181" s="1844"/>
      <c r="G2181" s="1562"/>
      <c r="H2181" s="1603"/>
      <c r="I2181" s="1558"/>
      <c r="J2181" s="97" t="s">
        <v>82</v>
      </c>
      <c r="K2181" s="91"/>
      <c r="L2181" s="364">
        <v>12</v>
      </c>
      <c r="M2181" s="364">
        <v>12</v>
      </c>
      <c r="N2181" s="364">
        <v>12</v>
      </c>
      <c r="O2181" s="364">
        <v>0</v>
      </c>
      <c r="P2181" s="364">
        <v>0</v>
      </c>
      <c r="Q2181" s="1475">
        <f>L2181*$H2180</f>
        <v>146160</v>
      </c>
      <c r="R2181" s="1475">
        <f>M2181*$H2180</f>
        <v>146160</v>
      </c>
      <c r="S2181" s="1475">
        <f>N2181*$H2180</f>
        <v>146160</v>
      </c>
      <c r="T2181" s="1475">
        <f>O2181*$H2180</f>
        <v>0</v>
      </c>
      <c r="U2181" s="1475">
        <f>P2181*$H2180</f>
        <v>0</v>
      </c>
      <c r="V2181" s="1475">
        <f t="shared" ref="V2181:V2184" si="1070">SUM(Q2181:U2181)</f>
        <v>438480</v>
      </c>
    </row>
    <row r="2182" spans="1:22" s="39" customFormat="1" ht="24" customHeight="1">
      <c r="A2182" s="1860">
        <v>3</v>
      </c>
      <c r="B2182" s="1860"/>
      <c r="C2182" s="1860"/>
      <c r="D2182" s="1860"/>
      <c r="E2182" s="1839"/>
      <c r="F2182" s="1844"/>
      <c r="G2182" s="1562"/>
      <c r="H2182" s="1603"/>
      <c r="I2182" s="1558"/>
      <c r="J2182" s="97" t="s">
        <v>90</v>
      </c>
      <c r="K2182" s="91"/>
      <c r="L2182" s="364">
        <v>0</v>
      </c>
      <c r="M2182" s="364">
        <v>0</v>
      </c>
      <c r="N2182" s="364">
        <v>0</v>
      </c>
      <c r="O2182" s="364">
        <v>0</v>
      </c>
      <c r="P2182" s="364">
        <v>0</v>
      </c>
      <c r="Q2182" s="1475">
        <f>L2182*$H2180</f>
        <v>0</v>
      </c>
      <c r="R2182" s="1475">
        <f>M2182*$H2180</f>
        <v>0</v>
      </c>
      <c r="S2182" s="1475">
        <f>N2182*$H2180</f>
        <v>0</v>
      </c>
      <c r="T2182" s="1475">
        <f>O2182*$H2180</f>
        <v>0</v>
      </c>
      <c r="U2182" s="1475">
        <f>P2182*$H2180</f>
        <v>0</v>
      </c>
      <c r="V2182" s="1475">
        <f t="shared" si="1070"/>
        <v>0</v>
      </c>
    </row>
    <row r="2183" spans="1:22" s="39" customFormat="1" ht="24" customHeight="1">
      <c r="A2183" s="1860">
        <v>3</v>
      </c>
      <c r="B2183" s="1860"/>
      <c r="C2183" s="1860"/>
      <c r="D2183" s="1860"/>
      <c r="E2183" s="1839"/>
      <c r="F2183" s="1844"/>
      <c r="G2183" s="1562"/>
      <c r="H2183" s="1603"/>
      <c r="I2183" s="1558"/>
      <c r="J2183" s="97" t="s">
        <v>83</v>
      </c>
      <c r="K2183" s="91"/>
      <c r="L2183" s="364">
        <v>0</v>
      </c>
      <c r="M2183" s="364">
        <v>0</v>
      </c>
      <c r="N2183" s="364">
        <v>0</v>
      </c>
      <c r="O2183" s="364">
        <v>0</v>
      </c>
      <c r="P2183" s="364">
        <v>0</v>
      </c>
      <c r="Q2183" s="1475">
        <f>L2183*$H2180</f>
        <v>0</v>
      </c>
      <c r="R2183" s="1475">
        <f>M2183*$H2180</f>
        <v>0</v>
      </c>
      <c r="S2183" s="1475">
        <f>N2183*$H2180</f>
        <v>0</v>
      </c>
      <c r="T2183" s="1475">
        <f>O2183*$H2180</f>
        <v>0</v>
      </c>
      <c r="U2183" s="1475">
        <f>P2183*$H2180</f>
        <v>0</v>
      </c>
      <c r="V2183" s="1475">
        <f t="shared" si="1070"/>
        <v>0</v>
      </c>
    </row>
    <row r="2184" spans="1:22" s="39" customFormat="1" ht="24" customHeight="1">
      <c r="A2184" s="1860">
        <v>3</v>
      </c>
      <c r="B2184" s="1860"/>
      <c r="C2184" s="1860"/>
      <c r="D2184" s="1860"/>
      <c r="E2184" s="1839"/>
      <c r="F2184" s="1844"/>
      <c r="G2184" s="1563"/>
      <c r="H2184" s="1604"/>
      <c r="I2184" s="1559"/>
      <c r="J2184" s="97" t="s">
        <v>84</v>
      </c>
      <c r="K2184" s="91"/>
      <c r="L2184" s="364">
        <f t="shared" ref="L2184:U2184" si="1071">L2175-L2176</f>
        <v>0</v>
      </c>
      <c r="M2184" s="364">
        <f t="shared" si="1071"/>
        <v>0</v>
      </c>
      <c r="N2184" s="364">
        <f t="shared" si="1071"/>
        <v>0</v>
      </c>
      <c r="O2184" s="364">
        <f t="shared" si="1071"/>
        <v>12</v>
      </c>
      <c r="P2184" s="364">
        <f t="shared" si="1071"/>
        <v>12</v>
      </c>
      <c r="Q2184" s="1475">
        <f t="shared" si="1071"/>
        <v>0</v>
      </c>
      <c r="R2184" s="1475">
        <f t="shared" si="1071"/>
        <v>0</v>
      </c>
      <c r="S2184" s="1475">
        <f t="shared" si="1071"/>
        <v>0</v>
      </c>
      <c r="T2184" s="1475">
        <f t="shared" si="1071"/>
        <v>146160</v>
      </c>
      <c r="U2184" s="1475">
        <f t="shared" si="1071"/>
        <v>146160</v>
      </c>
      <c r="V2184" s="1475">
        <f t="shared" si="1070"/>
        <v>292320</v>
      </c>
    </row>
    <row r="2185" spans="1:22" s="39" customFormat="1" ht="24" customHeight="1">
      <c r="A2185" s="1860">
        <v>3</v>
      </c>
      <c r="B2185" s="1860">
        <v>6</v>
      </c>
      <c r="C2185" s="1860">
        <v>2</v>
      </c>
      <c r="D2185" s="1860">
        <v>3</v>
      </c>
      <c r="E2185" s="1839" t="s">
        <v>15</v>
      </c>
      <c r="F2185" s="1841" t="str">
        <f>CONCATENATE(A2185,".",B2185,".",C2185,".",D2185,)</f>
        <v>3.6.2.3</v>
      </c>
      <c r="G2185" s="1614" t="s">
        <v>249</v>
      </c>
      <c r="H2185" s="1619" t="s">
        <v>142</v>
      </c>
      <c r="I2185" s="1614" t="s">
        <v>250</v>
      </c>
      <c r="J2185" s="96" t="s">
        <v>79</v>
      </c>
      <c r="K2185" s="896"/>
      <c r="L2185" s="893">
        <v>2</v>
      </c>
      <c r="M2185" s="893">
        <v>2</v>
      </c>
      <c r="N2185" s="893">
        <v>2</v>
      </c>
      <c r="O2185" s="893">
        <v>2</v>
      </c>
      <c r="P2185" s="893">
        <v>2</v>
      </c>
      <c r="Q2185" s="1475">
        <f>L2185*H2190</f>
        <v>89682.6</v>
      </c>
      <c r="R2185" s="1475">
        <f>M2185*H2190</f>
        <v>89682.6</v>
      </c>
      <c r="S2185" s="1475">
        <f>N2185*H2190</f>
        <v>89682.6</v>
      </c>
      <c r="T2185" s="1475">
        <f>O2185*H2190</f>
        <v>89682.6</v>
      </c>
      <c r="U2185" s="1475">
        <f>P2185*H2190</f>
        <v>89682.6</v>
      </c>
      <c r="V2185" s="1475">
        <f t="shared" ref="V2185:V2190" si="1072">SUM(Q2185:U2185)</f>
        <v>448413</v>
      </c>
    </row>
    <row r="2186" spans="1:22" s="39" customFormat="1" ht="24" customHeight="1">
      <c r="A2186" s="1860">
        <v>3</v>
      </c>
      <c r="B2186" s="1860"/>
      <c r="C2186" s="1860"/>
      <c r="D2186" s="1860"/>
      <c r="E2186" s="1839"/>
      <c r="F2186" s="1841"/>
      <c r="G2186" s="1615"/>
      <c r="H2186" s="1619"/>
      <c r="I2186" s="1615"/>
      <c r="J2186" s="97" t="s">
        <v>80</v>
      </c>
      <c r="K2186" s="91"/>
      <c r="L2186" s="364">
        <f t="shared" ref="L2186:U2186" si="1073">SUM(L2187:L2193)</f>
        <v>2</v>
      </c>
      <c r="M2186" s="364">
        <f t="shared" si="1073"/>
        <v>2</v>
      </c>
      <c r="N2186" s="364">
        <f t="shared" si="1073"/>
        <v>2</v>
      </c>
      <c r="O2186" s="364">
        <f t="shared" si="1073"/>
        <v>0</v>
      </c>
      <c r="P2186" s="364">
        <f t="shared" si="1073"/>
        <v>0</v>
      </c>
      <c r="Q2186" s="1475">
        <f t="shared" si="1073"/>
        <v>89682.6</v>
      </c>
      <c r="R2186" s="1475">
        <f t="shared" si="1073"/>
        <v>89682.6</v>
      </c>
      <c r="S2186" s="1475">
        <f t="shared" si="1073"/>
        <v>89682.6</v>
      </c>
      <c r="T2186" s="1475">
        <f t="shared" si="1073"/>
        <v>0</v>
      </c>
      <c r="U2186" s="1475">
        <f t="shared" si="1073"/>
        <v>0</v>
      </c>
      <c r="V2186" s="1475">
        <f t="shared" si="1072"/>
        <v>269047.80000000005</v>
      </c>
    </row>
    <row r="2187" spans="1:22" s="39" customFormat="1" ht="24" customHeight="1">
      <c r="A2187" s="1860">
        <v>3</v>
      </c>
      <c r="B2187" s="1860"/>
      <c r="C2187" s="1860"/>
      <c r="D2187" s="1860"/>
      <c r="E2187" s="1839"/>
      <c r="F2187" s="1841"/>
      <c r="G2187" s="1615"/>
      <c r="H2187" s="1619"/>
      <c r="I2187" s="1615"/>
      <c r="J2187" s="40" t="s">
        <v>429</v>
      </c>
      <c r="K2187" s="91"/>
      <c r="L2187" s="364">
        <v>0</v>
      </c>
      <c r="M2187" s="364">
        <v>0</v>
      </c>
      <c r="N2187" s="364">
        <v>0</v>
      </c>
      <c r="O2187" s="364">
        <v>0</v>
      </c>
      <c r="P2187" s="364">
        <v>0</v>
      </c>
      <c r="Q2187" s="1475">
        <f>L2187*$H2190</f>
        <v>0</v>
      </c>
      <c r="R2187" s="1475">
        <f>M2187*$H2190</f>
        <v>0</v>
      </c>
      <c r="S2187" s="1475">
        <f>N2187*$H2190</f>
        <v>0</v>
      </c>
      <c r="T2187" s="1475">
        <f>O2187*$H2190</f>
        <v>0</v>
      </c>
      <c r="U2187" s="1475">
        <f>P2187*$H2190</f>
        <v>0</v>
      </c>
      <c r="V2187" s="1475">
        <f t="shared" si="1072"/>
        <v>0</v>
      </c>
    </row>
    <row r="2188" spans="1:22" s="39" customFormat="1" ht="24" customHeight="1">
      <c r="A2188" s="1860">
        <v>3</v>
      </c>
      <c r="B2188" s="1860"/>
      <c r="C2188" s="1860"/>
      <c r="D2188" s="1860"/>
      <c r="E2188" s="1839"/>
      <c r="F2188" s="1841"/>
      <c r="G2188" s="1615"/>
      <c r="H2188" s="1619"/>
      <c r="I2188" s="1615"/>
      <c r="J2188" s="97" t="s">
        <v>133</v>
      </c>
      <c r="K2188" s="91"/>
      <c r="L2188" s="364">
        <v>0</v>
      </c>
      <c r="M2188" s="364">
        <v>0</v>
      </c>
      <c r="N2188" s="364">
        <v>0</v>
      </c>
      <c r="O2188" s="364">
        <v>0</v>
      </c>
      <c r="P2188" s="364">
        <v>0</v>
      </c>
      <c r="Q2188" s="1475">
        <f>L2188*$H2190</f>
        <v>0</v>
      </c>
      <c r="R2188" s="1475">
        <f>M2188*$H2190</f>
        <v>0</v>
      </c>
      <c r="S2188" s="1475">
        <f>N2188*$H2190</f>
        <v>0</v>
      </c>
      <c r="T2188" s="1475">
        <f>O2188*$H2190</f>
        <v>0</v>
      </c>
      <c r="U2188" s="1475">
        <f>P2188*$H2190</f>
        <v>0</v>
      </c>
      <c r="V2188" s="1475">
        <f t="shared" si="1072"/>
        <v>0</v>
      </c>
    </row>
    <row r="2189" spans="1:22" s="39" customFormat="1" ht="24" customHeight="1">
      <c r="A2189" s="1860">
        <v>3</v>
      </c>
      <c r="B2189" s="1860"/>
      <c r="C2189" s="1860"/>
      <c r="D2189" s="1860"/>
      <c r="E2189" s="1839"/>
      <c r="F2189" s="1841"/>
      <c r="G2189" s="1615"/>
      <c r="H2189" s="1619"/>
      <c r="I2189" s="1615"/>
      <c r="J2189" s="97" t="s">
        <v>81</v>
      </c>
      <c r="K2189" s="91"/>
      <c r="L2189" s="364">
        <v>0</v>
      </c>
      <c r="M2189" s="364">
        <v>0</v>
      </c>
      <c r="N2189" s="364">
        <v>0</v>
      </c>
      <c r="O2189" s="364">
        <v>0</v>
      </c>
      <c r="P2189" s="364">
        <v>0</v>
      </c>
      <c r="Q2189" s="1475">
        <f>L2189*$H2190</f>
        <v>0</v>
      </c>
      <c r="R2189" s="1475">
        <f>M2189*$H2190</f>
        <v>0</v>
      </c>
      <c r="S2189" s="1475">
        <f>N2189*$H2190</f>
        <v>0</v>
      </c>
      <c r="T2189" s="1475">
        <f>O2189*$H2190</f>
        <v>0</v>
      </c>
      <c r="U2189" s="1475">
        <f>P2189*$H2190</f>
        <v>0</v>
      </c>
      <c r="V2189" s="1475">
        <f t="shared" si="1072"/>
        <v>0</v>
      </c>
    </row>
    <row r="2190" spans="1:22" s="39" customFormat="1" ht="24" customHeight="1">
      <c r="A2190" s="1860">
        <v>3</v>
      </c>
      <c r="B2190" s="1860"/>
      <c r="C2190" s="1860"/>
      <c r="D2190" s="1860"/>
      <c r="E2190" s="1839"/>
      <c r="F2190" s="1841"/>
      <c r="G2190" s="1615"/>
      <c r="H2190" s="1595">
        <f>'Budget assumption'!H43</f>
        <v>44841.3</v>
      </c>
      <c r="I2190" s="1615"/>
      <c r="J2190" s="97" t="s">
        <v>134</v>
      </c>
      <c r="K2190" s="91"/>
      <c r="L2190" s="364">
        <v>0</v>
      </c>
      <c r="M2190" s="364">
        <v>0</v>
      </c>
      <c r="N2190" s="364">
        <v>0</v>
      </c>
      <c r="O2190" s="364">
        <v>0</v>
      </c>
      <c r="P2190" s="364">
        <v>0</v>
      </c>
      <c r="Q2190" s="1475">
        <f>L2190*$H2190</f>
        <v>0</v>
      </c>
      <c r="R2190" s="1475">
        <f>M2190*$H2190</f>
        <v>0</v>
      </c>
      <c r="S2190" s="1475">
        <f>N2190*$H2190</f>
        <v>0</v>
      </c>
      <c r="T2190" s="1475">
        <f>O2190*$H2190</f>
        <v>0</v>
      </c>
      <c r="U2190" s="1475">
        <f>P2190*$H2190</f>
        <v>0</v>
      </c>
      <c r="V2190" s="1475">
        <f t="shared" si="1072"/>
        <v>0</v>
      </c>
    </row>
    <row r="2191" spans="1:22" s="39" customFormat="1" ht="24" customHeight="1">
      <c r="A2191" s="1860">
        <v>3</v>
      </c>
      <c r="B2191" s="1860"/>
      <c r="C2191" s="1860"/>
      <c r="D2191" s="1860"/>
      <c r="E2191" s="1839"/>
      <c r="F2191" s="1841"/>
      <c r="G2191" s="1615"/>
      <c r="H2191" s="1596"/>
      <c r="I2191" s="1615"/>
      <c r="J2191" s="97" t="s">
        <v>82</v>
      </c>
      <c r="K2191" s="91"/>
      <c r="L2191" s="364">
        <v>2</v>
      </c>
      <c r="M2191" s="364">
        <v>2</v>
      </c>
      <c r="N2191" s="364">
        <v>2</v>
      </c>
      <c r="O2191" s="364">
        <v>0</v>
      </c>
      <c r="P2191" s="364">
        <v>0</v>
      </c>
      <c r="Q2191" s="1475">
        <f>L2191*$H2190</f>
        <v>89682.6</v>
      </c>
      <c r="R2191" s="1475">
        <f>M2191*$H2190</f>
        <v>89682.6</v>
      </c>
      <c r="S2191" s="1475">
        <f>N2191*$H2190</f>
        <v>89682.6</v>
      </c>
      <c r="T2191" s="1475">
        <f>O2191*$H2190</f>
        <v>0</v>
      </c>
      <c r="U2191" s="1475">
        <f>P2191*$H2190</f>
        <v>0</v>
      </c>
      <c r="V2191" s="1475">
        <f t="shared" ref="V2191:V2194" si="1074">SUM(Q2191:U2191)</f>
        <v>269047.80000000005</v>
      </c>
    </row>
    <row r="2192" spans="1:22" s="39" customFormat="1" ht="24" customHeight="1">
      <c r="A2192" s="1860">
        <v>3</v>
      </c>
      <c r="B2192" s="1860"/>
      <c r="C2192" s="1860"/>
      <c r="D2192" s="1860"/>
      <c r="E2192" s="1839"/>
      <c r="F2192" s="1841"/>
      <c r="G2192" s="1615"/>
      <c r="H2192" s="1596"/>
      <c r="I2192" s="1615"/>
      <c r="J2192" s="97" t="s">
        <v>90</v>
      </c>
      <c r="K2192" s="91"/>
      <c r="L2192" s="364">
        <v>0</v>
      </c>
      <c r="M2192" s="364">
        <v>0</v>
      </c>
      <c r="N2192" s="364">
        <v>0</v>
      </c>
      <c r="O2192" s="364">
        <v>0</v>
      </c>
      <c r="P2192" s="364">
        <v>0</v>
      </c>
      <c r="Q2192" s="1475">
        <f>L2192*$H2190</f>
        <v>0</v>
      </c>
      <c r="R2192" s="1475">
        <f>M2192*$H2190</f>
        <v>0</v>
      </c>
      <c r="S2192" s="1475">
        <f>N2192*$H2190</f>
        <v>0</v>
      </c>
      <c r="T2192" s="1475">
        <f>O2192*$H2190</f>
        <v>0</v>
      </c>
      <c r="U2192" s="1475">
        <f>P2192*$H2190</f>
        <v>0</v>
      </c>
      <c r="V2192" s="1475">
        <f t="shared" si="1074"/>
        <v>0</v>
      </c>
    </row>
    <row r="2193" spans="1:22" s="39" customFormat="1" ht="24" customHeight="1">
      <c r="A2193" s="1860">
        <v>3</v>
      </c>
      <c r="B2193" s="1860"/>
      <c r="C2193" s="1860"/>
      <c r="D2193" s="1860"/>
      <c r="E2193" s="1839"/>
      <c r="F2193" s="1841"/>
      <c r="G2193" s="1615"/>
      <c r="H2193" s="1596"/>
      <c r="I2193" s="1615"/>
      <c r="J2193" s="97" t="s">
        <v>83</v>
      </c>
      <c r="K2193" s="91"/>
      <c r="L2193" s="364">
        <v>0</v>
      </c>
      <c r="M2193" s="364">
        <v>0</v>
      </c>
      <c r="N2193" s="364">
        <v>0</v>
      </c>
      <c r="O2193" s="364">
        <v>0</v>
      </c>
      <c r="P2193" s="364">
        <v>0</v>
      </c>
      <c r="Q2193" s="1475">
        <f>L2193*$H2190</f>
        <v>0</v>
      </c>
      <c r="R2193" s="1475">
        <f>M2193*$H2190</f>
        <v>0</v>
      </c>
      <c r="S2193" s="1475">
        <f>N2193*$H2190</f>
        <v>0</v>
      </c>
      <c r="T2193" s="1475">
        <f>O2193*$H2190</f>
        <v>0</v>
      </c>
      <c r="U2193" s="1475">
        <f>P2193*$H2190</f>
        <v>0</v>
      </c>
      <c r="V2193" s="1475">
        <f t="shared" si="1074"/>
        <v>0</v>
      </c>
    </row>
    <row r="2194" spans="1:22" s="39" customFormat="1" ht="24" customHeight="1">
      <c r="A2194" s="1860">
        <v>3</v>
      </c>
      <c r="B2194" s="1860"/>
      <c r="C2194" s="1860"/>
      <c r="D2194" s="1860"/>
      <c r="E2194" s="1839"/>
      <c r="F2194" s="1841"/>
      <c r="G2194" s="1617"/>
      <c r="H2194" s="1618"/>
      <c r="I2194" s="1617"/>
      <c r="J2194" s="97" t="s">
        <v>84</v>
      </c>
      <c r="K2194" s="91"/>
      <c r="L2194" s="364">
        <f t="shared" ref="L2194:U2194" si="1075">L2185-L2186</f>
        <v>0</v>
      </c>
      <c r="M2194" s="364">
        <f t="shared" si="1075"/>
        <v>0</v>
      </c>
      <c r="N2194" s="364">
        <f t="shared" si="1075"/>
        <v>0</v>
      </c>
      <c r="O2194" s="364">
        <f t="shared" si="1075"/>
        <v>2</v>
      </c>
      <c r="P2194" s="364">
        <f t="shared" si="1075"/>
        <v>2</v>
      </c>
      <c r="Q2194" s="1475">
        <f t="shared" si="1075"/>
        <v>0</v>
      </c>
      <c r="R2194" s="1475">
        <f t="shared" si="1075"/>
        <v>0</v>
      </c>
      <c r="S2194" s="1475">
        <f t="shared" si="1075"/>
        <v>0</v>
      </c>
      <c r="T2194" s="1475">
        <f t="shared" si="1075"/>
        <v>89682.6</v>
      </c>
      <c r="U2194" s="1475">
        <f t="shared" si="1075"/>
        <v>89682.6</v>
      </c>
      <c r="V2194" s="1475">
        <f t="shared" si="1074"/>
        <v>179365.2</v>
      </c>
    </row>
    <row r="2195" spans="1:22" s="39" customFormat="1" ht="24" customHeight="1">
      <c r="A2195" s="1860">
        <v>3</v>
      </c>
      <c r="B2195" s="1860">
        <v>6</v>
      </c>
      <c r="C2195" s="1860">
        <v>2</v>
      </c>
      <c r="D2195" s="1860">
        <v>4</v>
      </c>
      <c r="E2195" s="1839" t="s">
        <v>15</v>
      </c>
      <c r="F2195" s="1841" t="str">
        <f>CONCATENATE(A2195,".",B2195,".",C2195,".",D2195,)</f>
        <v>3.6.2.4</v>
      </c>
      <c r="G2195" s="1614" t="s">
        <v>251</v>
      </c>
      <c r="H2195" s="1620" t="s">
        <v>195</v>
      </c>
      <c r="I2195" s="1614" t="s">
        <v>252</v>
      </c>
      <c r="J2195" s="96" t="s">
        <v>79</v>
      </c>
      <c r="K2195" s="896"/>
      <c r="L2195" s="893">
        <v>40</v>
      </c>
      <c r="M2195" s="893">
        <v>30</v>
      </c>
      <c r="N2195" s="893">
        <v>0</v>
      </c>
      <c r="O2195" s="893">
        <v>0</v>
      </c>
      <c r="P2195" s="893">
        <v>0</v>
      </c>
      <c r="Q2195" s="1475">
        <f>L2195*H2200</f>
        <v>80000</v>
      </c>
      <c r="R2195" s="1475">
        <f>M2195*H2200</f>
        <v>60000</v>
      </c>
      <c r="S2195" s="1475">
        <f>N2195*H2200</f>
        <v>0</v>
      </c>
      <c r="T2195" s="1475">
        <f>O2195*H2200</f>
        <v>0</v>
      </c>
      <c r="U2195" s="1475">
        <f>P2195*H2200</f>
        <v>0</v>
      </c>
      <c r="V2195" s="1475">
        <f t="shared" si="1064"/>
        <v>140000</v>
      </c>
    </row>
    <row r="2196" spans="1:22" s="39" customFormat="1" ht="24" customHeight="1">
      <c r="A2196" s="1860">
        <v>3</v>
      </c>
      <c r="B2196" s="1860"/>
      <c r="C2196" s="1860"/>
      <c r="D2196" s="1860"/>
      <c r="E2196" s="1839"/>
      <c r="F2196" s="1841"/>
      <c r="G2196" s="1615"/>
      <c r="H2196" s="1620"/>
      <c r="I2196" s="1615"/>
      <c r="J2196" s="97" t="s">
        <v>80</v>
      </c>
      <c r="K2196" s="91"/>
      <c r="L2196" s="364">
        <f t="shared" ref="L2196:U2196" si="1076">SUM(L2197:L2203)</f>
        <v>40</v>
      </c>
      <c r="M2196" s="364">
        <f t="shared" si="1076"/>
        <v>30</v>
      </c>
      <c r="N2196" s="364">
        <f t="shared" si="1076"/>
        <v>0</v>
      </c>
      <c r="O2196" s="364">
        <f t="shared" si="1076"/>
        <v>0</v>
      </c>
      <c r="P2196" s="364">
        <f t="shared" si="1076"/>
        <v>0</v>
      </c>
      <c r="Q2196" s="1475">
        <f t="shared" si="1076"/>
        <v>80000</v>
      </c>
      <c r="R2196" s="1475">
        <f t="shared" si="1076"/>
        <v>60000</v>
      </c>
      <c r="S2196" s="1475">
        <f t="shared" si="1076"/>
        <v>0</v>
      </c>
      <c r="T2196" s="1475">
        <f t="shared" si="1076"/>
        <v>0</v>
      </c>
      <c r="U2196" s="1475">
        <f t="shared" si="1076"/>
        <v>0</v>
      </c>
      <c r="V2196" s="1475">
        <f t="shared" si="1064"/>
        <v>140000</v>
      </c>
    </row>
    <row r="2197" spans="1:22" s="39" customFormat="1" ht="24" customHeight="1">
      <c r="A2197" s="1860">
        <v>3</v>
      </c>
      <c r="B2197" s="1860"/>
      <c r="C2197" s="1860"/>
      <c r="D2197" s="1860"/>
      <c r="E2197" s="1839"/>
      <c r="F2197" s="1841"/>
      <c r="G2197" s="1615"/>
      <c r="H2197" s="1620"/>
      <c r="I2197" s="1615"/>
      <c r="J2197" s="40" t="s">
        <v>429</v>
      </c>
      <c r="K2197" s="91"/>
      <c r="L2197" s="364">
        <v>0</v>
      </c>
      <c r="M2197" s="364">
        <v>0</v>
      </c>
      <c r="N2197" s="364">
        <v>0</v>
      </c>
      <c r="O2197" s="364">
        <v>0</v>
      </c>
      <c r="P2197" s="364">
        <v>0</v>
      </c>
      <c r="Q2197" s="1475">
        <f>L2197*$H2200</f>
        <v>0</v>
      </c>
      <c r="R2197" s="1475">
        <f>M2197*$H2200</f>
        <v>0</v>
      </c>
      <c r="S2197" s="1475">
        <f>N2197*$H2200</f>
        <v>0</v>
      </c>
      <c r="T2197" s="1475">
        <f>O2197*$H2200</f>
        <v>0</v>
      </c>
      <c r="U2197" s="1475">
        <f>P2197*$H2200</f>
        <v>0</v>
      </c>
      <c r="V2197" s="1475">
        <f t="shared" si="1064"/>
        <v>0</v>
      </c>
    </row>
    <row r="2198" spans="1:22" s="39" customFormat="1" ht="24" customHeight="1">
      <c r="A2198" s="1860">
        <v>3</v>
      </c>
      <c r="B2198" s="1860"/>
      <c r="C2198" s="1860"/>
      <c r="D2198" s="1860"/>
      <c r="E2198" s="1839"/>
      <c r="F2198" s="1841"/>
      <c r="G2198" s="1615"/>
      <c r="H2198" s="1620"/>
      <c r="I2198" s="1615"/>
      <c r="J2198" s="97" t="s">
        <v>133</v>
      </c>
      <c r="K2198" s="91"/>
      <c r="L2198" s="364">
        <v>0</v>
      </c>
      <c r="M2198" s="364">
        <v>0</v>
      </c>
      <c r="N2198" s="364">
        <v>0</v>
      </c>
      <c r="O2198" s="364">
        <v>0</v>
      </c>
      <c r="P2198" s="364">
        <v>0</v>
      </c>
      <c r="Q2198" s="1475">
        <f>L2198*$H2200</f>
        <v>0</v>
      </c>
      <c r="R2198" s="1475">
        <f>M2198*$H2200</f>
        <v>0</v>
      </c>
      <c r="S2198" s="1475">
        <f>N2198*$H2200</f>
        <v>0</v>
      </c>
      <c r="T2198" s="1475">
        <f>O2198*$H2200</f>
        <v>0</v>
      </c>
      <c r="U2198" s="1475">
        <f>P2198*$H2200</f>
        <v>0</v>
      </c>
      <c r="V2198" s="1475">
        <f t="shared" si="1064"/>
        <v>0</v>
      </c>
    </row>
    <row r="2199" spans="1:22" s="39" customFormat="1" ht="24" customHeight="1">
      <c r="A2199" s="1860">
        <v>3</v>
      </c>
      <c r="B2199" s="1860"/>
      <c r="C2199" s="1860"/>
      <c r="D2199" s="1860"/>
      <c r="E2199" s="1839"/>
      <c r="F2199" s="1841"/>
      <c r="G2199" s="1615"/>
      <c r="H2199" s="1620"/>
      <c r="I2199" s="1615"/>
      <c r="J2199" s="97" t="s">
        <v>81</v>
      </c>
      <c r="K2199" s="91"/>
      <c r="L2199" s="364">
        <v>0</v>
      </c>
      <c r="M2199" s="364">
        <v>0</v>
      </c>
      <c r="N2199" s="364">
        <v>0</v>
      </c>
      <c r="O2199" s="364">
        <v>0</v>
      </c>
      <c r="P2199" s="364">
        <v>0</v>
      </c>
      <c r="Q2199" s="1475">
        <f>L2199*$H2200</f>
        <v>0</v>
      </c>
      <c r="R2199" s="1475">
        <f>M2199*$H2200</f>
        <v>0</v>
      </c>
      <c r="S2199" s="1475">
        <f>N2199*$H2200</f>
        <v>0</v>
      </c>
      <c r="T2199" s="1475">
        <f>O2199*$H2200</f>
        <v>0</v>
      </c>
      <c r="U2199" s="1475">
        <f>P2199*$H2200</f>
        <v>0</v>
      </c>
      <c r="V2199" s="1475">
        <f t="shared" si="1064"/>
        <v>0</v>
      </c>
    </row>
    <row r="2200" spans="1:22" s="39" customFormat="1" ht="24" customHeight="1">
      <c r="A2200" s="1860">
        <v>3</v>
      </c>
      <c r="B2200" s="1860"/>
      <c r="C2200" s="1860"/>
      <c r="D2200" s="1860"/>
      <c r="E2200" s="1839"/>
      <c r="F2200" s="1841"/>
      <c r="G2200" s="1615"/>
      <c r="H2200" s="1598">
        <f>'Budget assumption'!$C$4</f>
        <v>2000</v>
      </c>
      <c r="I2200" s="1615"/>
      <c r="J2200" s="97" t="s">
        <v>134</v>
      </c>
      <c r="K2200" s="91"/>
      <c r="L2200" s="364">
        <v>0</v>
      </c>
      <c r="M2200" s="364">
        <v>0</v>
      </c>
      <c r="N2200" s="364">
        <v>0</v>
      </c>
      <c r="O2200" s="364">
        <v>0</v>
      </c>
      <c r="P2200" s="364">
        <v>0</v>
      </c>
      <c r="Q2200" s="1475">
        <f>L2200*$H2200</f>
        <v>0</v>
      </c>
      <c r="R2200" s="1475">
        <f>M2200*$H2200</f>
        <v>0</v>
      </c>
      <c r="S2200" s="1475">
        <f>N2200*$H2200</f>
        <v>0</v>
      </c>
      <c r="T2200" s="1475">
        <f>O2200*$H2200</f>
        <v>0</v>
      </c>
      <c r="U2200" s="1475">
        <f>P2200*$H2200</f>
        <v>0</v>
      </c>
      <c r="V2200" s="1475">
        <f t="shared" si="1064"/>
        <v>0</v>
      </c>
    </row>
    <row r="2201" spans="1:22" s="39" customFormat="1" ht="24" customHeight="1">
      <c r="A2201" s="1860">
        <v>3</v>
      </c>
      <c r="B2201" s="1860"/>
      <c r="C2201" s="1860"/>
      <c r="D2201" s="1860"/>
      <c r="E2201" s="1839"/>
      <c r="F2201" s="1841"/>
      <c r="G2201" s="1615"/>
      <c r="H2201" s="1599"/>
      <c r="I2201" s="1615"/>
      <c r="J2201" s="97" t="s">
        <v>82</v>
      </c>
      <c r="K2201" s="91"/>
      <c r="L2201" s="364">
        <v>40</v>
      </c>
      <c r="M2201" s="364">
        <v>30</v>
      </c>
      <c r="N2201" s="364">
        <v>0</v>
      </c>
      <c r="O2201" s="364">
        <v>0</v>
      </c>
      <c r="P2201" s="364">
        <v>0</v>
      </c>
      <c r="Q2201" s="1475">
        <f>L2201*$H2200</f>
        <v>80000</v>
      </c>
      <c r="R2201" s="1475">
        <f>M2201*$H2200</f>
        <v>60000</v>
      </c>
      <c r="S2201" s="1475">
        <f>N2201*$H2200</f>
        <v>0</v>
      </c>
      <c r="T2201" s="1475">
        <f>O2201*$H2200</f>
        <v>0</v>
      </c>
      <c r="U2201" s="1475">
        <f>P2201*$H2200</f>
        <v>0</v>
      </c>
      <c r="V2201" s="1475">
        <f t="shared" si="1064"/>
        <v>140000</v>
      </c>
    </row>
    <row r="2202" spans="1:22" s="39" customFormat="1" ht="24" customHeight="1">
      <c r="A2202" s="1860">
        <v>3</v>
      </c>
      <c r="B2202" s="1860"/>
      <c r="C2202" s="1860"/>
      <c r="D2202" s="1860"/>
      <c r="E2202" s="1839"/>
      <c r="F2202" s="1841"/>
      <c r="G2202" s="1615"/>
      <c r="H2202" s="1599"/>
      <c r="I2202" s="1615"/>
      <c r="J2202" s="97" t="s">
        <v>90</v>
      </c>
      <c r="K2202" s="91"/>
      <c r="L2202" s="364">
        <v>0</v>
      </c>
      <c r="M2202" s="364">
        <v>0</v>
      </c>
      <c r="N2202" s="364">
        <v>0</v>
      </c>
      <c r="O2202" s="364">
        <v>0</v>
      </c>
      <c r="P2202" s="364">
        <v>0</v>
      </c>
      <c r="Q2202" s="1475">
        <f>L2202*$H2200</f>
        <v>0</v>
      </c>
      <c r="R2202" s="1475">
        <f>M2202*$H2200</f>
        <v>0</v>
      </c>
      <c r="S2202" s="1475">
        <f>N2202*$H2200</f>
        <v>0</v>
      </c>
      <c r="T2202" s="1475">
        <f>O2202*$H2200</f>
        <v>0</v>
      </c>
      <c r="U2202" s="1475">
        <f>P2202*$H2200</f>
        <v>0</v>
      </c>
      <c r="V2202" s="1475">
        <f t="shared" si="1064"/>
        <v>0</v>
      </c>
    </row>
    <row r="2203" spans="1:22" s="39" customFormat="1" ht="24" customHeight="1">
      <c r="A2203" s="1860">
        <v>3</v>
      </c>
      <c r="B2203" s="1860"/>
      <c r="C2203" s="1860"/>
      <c r="D2203" s="1860"/>
      <c r="E2203" s="1839"/>
      <c r="F2203" s="1841"/>
      <c r="G2203" s="1615"/>
      <c r="H2203" s="1599"/>
      <c r="I2203" s="1615"/>
      <c r="J2203" s="97" t="s">
        <v>83</v>
      </c>
      <c r="K2203" s="91"/>
      <c r="L2203" s="364">
        <v>0</v>
      </c>
      <c r="M2203" s="364">
        <v>0</v>
      </c>
      <c r="N2203" s="364">
        <v>0</v>
      </c>
      <c r="O2203" s="364">
        <v>0</v>
      </c>
      <c r="P2203" s="364">
        <v>0</v>
      </c>
      <c r="Q2203" s="1475">
        <f>L2203*$H2200</f>
        <v>0</v>
      </c>
      <c r="R2203" s="1475">
        <f>M2203*$H2200</f>
        <v>0</v>
      </c>
      <c r="S2203" s="1475">
        <f>N2203*$H2200</f>
        <v>0</v>
      </c>
      <c r="T2203" s="1475">
        <f>O2203*$H2200</f>
        <v>0</v>
      </c>
      <c r="U2203" s="1475">
        <f>P2203*$H2200</f>
        <v>0</v>
      </c>
      <c r="V2203" s="1475">
        <f t="shared" si="1064"/>
        <v>0</v>
      </c>
    </row>
    <row r="2204" spans="1:22" s="39" customFormat="1" ht="24" customHeight="1" thickBot="1">
      <c r="A2204" s="1860">
        <v>3</v>
      </c>
      <c r="B2204" s="1860"/>
      <c r="C2204" s="1860"/>
      <c r="D2204" s="1860"/>
      <c r="E2204" s="1839"/>
      <c r="F2204" s="1841"/>
      <c r="G2204" s="1617"/>
      <c r="H2204" s="1600"/>
      <c r="I2204" s="1617"/>
      <c r="J2204" s="97" t="s">
        <v>84</v>
      </c>
      <c r="K2204" s="91"/>
      <c r="L2204" s="364">
        <f>L2195-L2196</f>
        <v>0</v>
      </c>
      <c r="M2204" s="364">
        <f t="shared" ref="M2204:U2204" si="1077">M2195-M2196</f>
        <v>0</v>
      </c>
      <c r="N2204" s="364">
        <f t="shared" si="1077"/>
        <v>0</v>
      </c>
      <c r="O2204" s="364">
        <f t="shared" si="1077"/>
        <v>0</v>
      </c>
      <c r="P2204" s="364">
        <f t="shared" si="1077"/>
        <v>0</v>
      </c>
      <c r="Q2204" s="1475">
        <f t="shared" si="1077"/>
        <v>0</v>
      </c>
      <c r="R2204" s="1475">
        <f t="shared" si="1077"/>
        <v>0</v>
      </c>
      <c r="S2204" s="1475">
        <f t="shared" si="1077"/>
        <v>0</v>
      </c>
      <c r="T2204" s="1475">
        <f t="shared" si="1077"/>
        <v>0</v>
      </c>
      <c r="U2204" s="1475">
        <f t="shared" si="1077"/>
        <v>0</v>
      </c>
      <c r="V2204" s="1475">
        <f t="shared" si="1064"/>
        <v>0</v>
      </c>
    </row>
    <row r="2205" spans="1:22" s="39" customFormat="1" ht="24" customHeight="1">
      <c r="A2205" s="1860">
        <v>3</v>
      </c>
      <c r="B2205" s="1860">
        <v>6</v>
      </c>
      <c r="C2205" s="1860">
        <v>2</v>
      </c>
      <c r="D2205" s="1860">
        <v>5</v>
      </c>
      <c r="E2205" s="1839" t="s">
        <v>15</v>
      </c>
      <c r="F2205" s="1841" t="str">
        <f>CONCATENATE(A2205,".",B2205,".",C2205,".",D2205,)</f>
        <v>3.6.2.5</v>
      </c>
      <c r="G2205" s="1624" t="s">
        <v>227</v>
      </c>
      <c r="H2205" s="1619" t="s">
        <v>195</v>
      </c>
      <c r="I2205" s="1645" t="s">
        <v>471</v>
      </c>
      <c r="J2205" s="96" t="s">
        <v>79</v>
      </c>
      <c r="K2205" s="896"/>
      <c r="L2205" s="893">
        <f>4*5*4</f>
        <v>80</v>
      </c>
      <c r="M2205" s="893">
        <f t="shared" ref="M2205:P2205" si="1078">4*5*4</f>
        <v>80</v>
      </c>
      <c r="N2205" s="893">
        <f>4*5*4</f>
        <v>80</v>
      </c>
      <c r="O2205" s="893">
        <f t="shared" si="1078"/>
        <v>80</v>
      </c>
      <c r="P2205" s="893">
        <f t="shared" si="1078"/>
        <v>80</v>
      </c>
      <c r="Q2205" s="1475">
        <f>L2205*H2210</f>
        <v>160000</v>
      </c>
      <c r="R2205" s="1475">
        <f>M2205*H2210</f>
        <v>160000</v>
      </c>
      <c r="S2205" s="1475">
        <f>N2205*H2210</f>
        <v>160000</v>
      </c>
      <c r="T2205" s="1475">
        <f>O2205*H2210</f>
        <v>160000</v>
      </c>
      <c r="U2205" s="1475">
        <f>P2205*H2210</f>
        <v>160000</v>
      </c>
      <c r="V2205" s="1475">
        <f t="shared" si="1064"/>
        <v>800000</v>
      </c>
    </row>
    <row r="2206" spans="1:22" s="39" customFormat="1" ht="24" customHeight="1">
      <c r="A2206" s="1860">
        <v>3</v>
      </c>
      <c r="B2206" s="1860"/>
      <c r="C2206" s="1860"/>
      <c r="D2206" s="1860"/>
      <c r="E2206" s="1839"/>
      <c r="F2206" s="1841"/>
      <c r="G2206" s="1562"/>
      <c r="H2206" s="1619"/>
      <c r="I2206" s="1646"/>
      <c r="J2206" s="97" t="s">
        <v>80</v>
      </c>
      <c r="K2206" s="91"/>
      <c r="L2206" s="364">
        <f t="shared" ref="L2206:U2206" si="1079">SUM(L2207:L2213)</f>
        <v>80</v>
      </c>
      <c r="M2206" s="364">
        <f t="shared" si="1079"/>
        <v>80</v>
      </c>
      <c r="N2206" s="364">
        <f t="shared" si="1079"/>
        <v>80</v>
      </c>
      <c r="O2206" s="364">
        <f t="shared" si="1079"/>
        <v>0</v>
      </c>
      <c r="P2206" s="364">
        <f t="shared" si="1079"/>
        <v>0</v>
      </c>
      <c r="Q2206" s="1475">
        <f t="shared" si="1079"/>
        <v>160000</v>
      </c>
      <c r="R2206" s="1475">
        <f t="shared" si="1079"/>
        <v>160000</v>
      </c>
      <c r="S2206" s="1475">
        <f t="shared" si="1079"/>
        <v>160000</v>
      </c>
      <c r="T2206" s="1475">
        <f t="shared" si="1079"/>
        <v>0</v>
      </c>
      <c r="U2206" s="1475">
        <f t="shared" si="1079"/>
        <v>0</v>
      </c>
      <c r="V2206" s="1475">
        <f t="shared" si="1064"/>
        <v>480000</v>
      </c>
    </row>
    <row r="2207" spans="1:22" s="39" customFormat="1" ht="24" customHeight="1">
      <c r="A2207" s="1860">
        <v>3</v>
      </c>
      <c r="B2207" s="1860"/>
      <c r="C2207" s="1860"/>
      <c r="D2207" s="1860"/>
      <c r="E2207" s="1839"/>
      <c r="F2207" s="1841"/>
      <c r="G2207" s="1562"/>
      <c r="H2207" s="1619"/>
      <c r="I2207" s="1646"/>
      <c r="J2207" s="40" t="s">
        <v>429</v>
      </c>
      <c r="K2207" s="91"/>
      <c r="L2207" s="364">
        <v>0</v>
      </c>
      <c r="M2207" s="364">
        <v>0</v>
      </c>
      <c r="N2207" s="364">
        <v>0</v>
      </c>
      <c r="O2207" s="364">
        <v>0</v>
      </c>
      <c r="P2207" s="364">
        <v>0</v>
      </c>
      <c r="Q2207" s="1475">
        <f>L2207*$H2210</f>
        <v>0</v>
      </c>
      <c r="R2207" s="1475">
        <f>M2207*$H2210</f>
        <v>0</v>
      </c>
      <c r="S2207" s="1475">
        <f>N2207*$H2210</f>
        <v>0</v>
      </c>
      <c r="T2207" s="1475">
        <f>O2207*$H2210</f>
        <v>0</v>
      </c>
      <c r="U2207" s="1475">
        <f>P2207*$H2210</f>
        <v>0</v>
      </c>
      <c r="V2207" s="1475">
        <f t="shared" si="1064"/>
        <v>0</v>
      </c>
    </row>
    <row r="2208" spans="1:22" s="39" customFormat="1" ht="24" customHeight="1">
      <c r="A2208" s="1860">
        <v>3</v>
      </c>
      <c r="B2208" s="1860"/>
      <c r="C2208" s="1860"/>
      <c r="D2208" s="1860"/>
      <c r="E2208" s="1839"/>
      <c r="F2208" s="1841"/>
      <c r="G2208" s="1562"/>
      <c r="H2208" s="1619"/>
      <c r="I2208" s="1646"/>
      <c r="J2208" s="97" t="s">
        <v>133</v>
      </c>
      <c r="K2208" s="91"/>
      <c r="L2208" s="364">
        <v>0</v>
      </c>
      <c r="M2208" s="364">
        <v>0</v>
      </c>
      <c r="N2208" s="364">
        <v>0</v>
      </c>
      <c r="O2208" s="364">
        <v>0</v>
      </c>
      <c r="P2208" s="364">
        <v>0</v>
      </c>
      <c r="Q2208" s="1475">
        <f>L2208*$H2210</f>
        <v>0</v>
      </c>
      <c r="R2208" s="1475">
        <f>M2208*$H2210</f>
        <v>0</v>
      </c>
      <c r="S2208" s="1475">
        <f>N2208*$H2210</f>
        <v>0</v>
      </c>
      <c r="T2208" s="1475">
        <f>O2208*$H2210</f>
        <v>0</v>
      </c>
      <c r="U2208" s="1475">
        <f>P2208*$H2210</f>
        <v>0</v>
      </c>
      <c r="V2208" s="1475">
        <f t="shared" si="1064"/>
        <v>0</v>
      </c>
    </row>
    <row r="2209" spans="1:22" s="39" customFormat="1" ht="24" customHeight="1">
      <c r="A2209" s="1860">
        <v>3</v>
      </c>
      <c r="B2209" s="1860"/>
      <c r="C2209" s="1860"/>
      <c r="D2209" s="1860"/>
      <c r="E2209" s="1839"/>
      <c r="F2209" s="1841"/>
      <c r="G2209" s="1562"/>
      <c r="H2209" s="1619"/>
      <c r="I2209" s="1646"/>
      <c r="J2209" s="97" t="s">
        <v>81</v>
      </c>
      <c r="K2209" s="91"/>
      <c r="L2209" s="364">
        <v>0</v>
      </c>
      <c r="M2209" s="364">
        <v>0</v>
      </c>
      <c r="N2209" s="364">
        <v>0</v>
      </c>
      <c r="O2209" s="364">
        <v>0</v>
      </c>
      <c r="P2209" s="364">
        <v>0</v>
      </c>
      <c r="Q2209" s="1475">
        <f>L2209*$H2210</f>
        <v>0</v>
      </c>
      <c r="R2209" s="1475">
        <f>M2209*$H2210</f>
        <v>0</v>
      </c>
      <c r="S2209" s="1475">
        <f>N2209*$H2210</f>
        <v>0</v>
      </c>
      <c r="T2209" s="1475">
        <f>O2209*$H2210</f>
        <v>0</v>
      </c>
      <c r="U2209" s="1475">
        <f>P2209*$H2210</f>
        <v>0</v>
      </c>
      <c r="V2209" s="1475">
        <f t="shared" si="1064"/>
        <v>0</v>
      </c>
    </row>
    <row r="2210" spans="1:22" s="39" customFormat="1" ht="24" customHeight="1">
      <c r="A2210" s="1860">
        <v>3</v>
      </c>
      <c r="B2210" s="1860"/>
      <c r="C2210" s="1860"/>
      <c r="D2210" s="1860"/>
      <c r="E2210" s="1839"/>
      <c r="F2210" s="1841"/>
      <c r="G2210" s="1562"/>
      <c r="H2210" s="1598">
        <f>'Budget assumption'!$C$4</f>
        <v>2000</v>
      </c>
      <c r="I2210" s="1646"/>
      <c r="J2210" s="97" t="s">
        <v>134</v>
      </c>
      <c r="K2210" s="91"/>
      <c r="L2210" s="364">
        <v>0</v>
      </c>
      <c r="M2210" s="364">
        <v>0</v>
      </c>
      <c r="N2210" s="364">
        <f>N2201*30%</f>
        <v>0</v>
      </c>
      <c r="O2210" s="364">
        <f>O2201*30%</f>
        <v>0</v>
      </c>
      <c r="P2210" s="364">
        <f>P2201*30%</f>
        <v>0</v>
      </c>
      <c r="Q2210" s="1475">
        <f>L2210*$H2210</f>
        <v>0</v>
      </c>
      <c r="R2210" s="1475">
        <f>M2210*$H2210</f>
        <v>0</v>
      </c>
      <c r="S2210" s="1475">
        <f>N2210*$H2210</f>
        <v>0</v>
      </c>
      <c r="T2210" s="1475">
        <f>O2210*$H2210</f>
        <v>0</v>
      </c>
      <c r="U2210" s="1475">
        <f>P2210*$H2210</f>
        <v>0</v>
      </c>
      <c r="V2210" s="1475">
        <f t="shared" si="1064"/>
        <v>0</v>
      </c>
    </row>
    <row r="2211" spans="1:22" s="39" customFormat="1" ht="24" customHeight="1">
      <c r="A2211" s="1860">
        <v>3</v>
      </c>
      <c r="B2211" s="1860"/>
      <c r="C2211" s="1860"/>
      <c r="D2211" s="1860"/>
      <c r="E2211" s="1839"/>
      <c r="F2211" s="1841"/>
      <c r="G2211" s="1562"/>
      <c r="H2211" s="1599"/>
      <c r="I2211" s="1646"/>
      <c r="J2211" s="97" t="s">
        <v>82</v>
      </c>
      <c r="K2211" s="91"/>
      <c r="L2211" s="893">
        <f>4*5*4</f>
        <v>80</v>
      </c>
      <c r="M2211" s="893">
        <f t="shared" ref="M2211:N2211" si="1080">4*5*4</f>
        <v>80</v>
      </c>
      <c r="N2211" s="893">
        <f t="shared" si="1080"/>
        <v>80</v>
      </c>
      <c r="O2211" s="364">
        <v>0</v>
      </c>
      <c r="P2211" s="364">
        <v>0</v>
      </c>
      <c r="Q2211" s="1475">
        <f>L2211*$H2210</f>
        <v>160000</v>
      </c>
      <c r="R2211" s="1475">
        <f>M2211*$H2210</f>
        <v>160000</v>
      </c>
      <c r="S2211" s="1475">
        <f>N2211*$H2210</f>
        <v>160000</v>
      </c>
      <c r="T2211" s="1475">
        <f>O2211*$H2210</f>
        <v>0</v>
      </c>
      <c r="U2211" s="1475">
        <f>P2211*$H2210</f>
        <v>0</v>
      </c>
      <c r="V2211" s="1475">
        <f t="shared" si="1064"/>
        <v>480000</v>
      </c>
    </row>
    <row r="2212" spans="1:22" s="39" customFormat="1" ht="24" customHeight="1">
      <c r="A2212" s="1860">
        <v>3</v>
      </c>
      <c r="B2212" s="1860"/>
      <c r="C2212" s="1860"/>
      <c r="D2212" s="1860"/>
      <c r="E2212" s="1839"/>
      <c r="F2212" s="1841"/>
      <c r="G2212" s="1562"/>
      <c r="H2212" s="1599"/>
      <c r="I2212" s="1646"/>
      <c r="J2212" s="97" t="s">
        <v>90</v>
      </c>
      <c r="K2212" s="91"/>
      <c r="L2212" s="364">
        <v>0</v>
      </c>
      <c r="M2212" s="364">
        <v>0</v>
      </c>
      <c r="N2212" s="364">
        <v>0</v>
      </c>
      <c r="O2212" s="364">
        <v>0</v>
      </c>
      <c r="P2212" s="364">
        <v>0</v>
      </c>
      <c r="Q2212" s="1475">
        <f>L2212*$H2210</f>
        <v>0</v>
      </c>
      <c r="R2212" s="1475">
        <f>M2212*$H2210</f>
        <v>0</v>
      </c>
      <c r="S2212" s="1475">
        <f>N2212*$H2210</f>
        <v>0</v>
      </c>
      <c r="T2212" s="1475">
        <f>O2212*$H2210</f>
        <v>0</v>
      </c>
      <c r="U2212" s="1475">
        <f>P2212*$H2210</f>
        <v>0</v>
      </c>
      <c r="V2212" s="1475">
        <f t="shared" si="1064"/>
        <v>0</v>
      </c>
    </row>
    <row r="2213" spans="1:22" s="39" customFormat="1" ht="24" customHeight="1">
      <c r="A2213" s="1860">
        <v>3</v>
      </c>
      <c r="B2213" s="1860"/>
      <c r="C2213" s="1860"/>
      <c r="D2213" s="1860"/>
      <c r="E2213" s="1839"/>
      <c r="F2213" s="1841"/>
      <c r="G2213" s="1562"/>
      <c r="H2213" s="1599"/>
      <c r="I2213" s="1646"/>
      <c r="J2213" s="97" t="s">
        <v>83</v>
      </c>
      <c r="K2213" s="91"/>
      <c r="L2213" s="364">
        <v>0</v>
      </c>
      <c r="M2213" s="364">
        <v>0</v>
      </c>
      <c r="N2213" s="364">
        <v>0</v>
      </c>
      <c r="O2213" s="364">
        <v>0</v>
      </c>
      <c r="P2213" s="364">
        <v>0</v>
      </c>
      <c r="Q2213" s="1475">
        <f>L2213*$H2210</f>
        <v>0</v>
      </c>
      <c r="R2213" s="1475">
        <f>M2213*$H2210</f>
        <v>0</v>
      </c>
      <c r="S2213" s="1475">
        <f>N2213*$H2210</f>
        <v>0</v>
      </c>
      <c r="T2213" s="1475">
        <f>O2213*$H2210</f>
        <v>0</v>
      </c>
      <c r="U2213" s="1475">
        <f>P2213*$H2210</f>
        <v>0</v>
      </c>
      <c r="V2213" s="1475">
        <f t="shared" si="1064"/>
        <v>0</v>
      </c>
    </row>
    <row r="2214" spans="1:22" s="39" customFormat="1" ht="24" customHeight="1" thickBot="1">
      <c r="A2214" s="1860">
        <v>3</v>
      </c>
      <c r="B2214" s="1860"/>
      <c r="C2214" s="1860"/>
      <c r="D2214" s="1860"/>
      <c r="E2214" s="1839"/>
      <c r="F2214" s="1863"/>
      <c r="G2214" s="1562"/>
      <c r="H2214" s="1599"/>
      <c r="I2214" s="1646"/>
      <c r="J2214" s="97" t="s">
        <v>84</v>
      </c>
      <c r="K2214" s="91"/>
      <c r="L2214" s="364">
        <f>L2205-L2206</f>
        <v>0</v>
      </c>
      <c r="M2214" s="364">
        <f t="shared" ref="M2214:U2214" si="1081">M2205-M2206</f>
        <v>0</v>
      </c>
      <c r="N2214" s="364">
        <f t="shared" si="1081"/>
        <v>0</v>
      </c>
      <c r="O2214" s="364">
        <f t="shared" si="1081"/>
        <v>80</v>
      </c>
      <c r="P2214" s="364">
        <f t="shared" si="1081"/>
        <v>80</v>
      </c>
      <c r="Q2214" s="1475">
        <f t="shared" si="1081"/>
        <v>0</v>
      </c>
      <c r="R2214" s="1475">
        <f t="shared" si="1081"/>
        <v>0</v>
      </c>
      <c r="S2214" s="1475">
        <f t="shared" si="1081"/>
        <v>0</v>
      </c>
      <c r="T2214" s="1475">
        <f t="shared" si="1081"/>
        <v>160000</v>
      </c>
      <c r="U2214" s="1475">
        <f t="shared" si="1081"/>
        <v>160000</v>
      </c>
      <c r="V2214" s="1475">
        <f t="shared" si="1064"/>
        <v>320000</v>
      </c>
    </row>
    <row r="2215" spans="1:22" s="67" customFormat="1" ht="24" customHeight="1" thickBot="1">
      <c r="A2215" s="825">
        <v>3</v>
      </c>
      <c r="B2215" s="826">
        <v>7</v>
      </c>
      <c r="C2215" s="826"/>
      <c r="D2215" s="826"/>
      <c r="E2215" s="827" t="s">
        <v>13</v>
      </c>
      <c r="F2215" s="834" t="str">
        <f>CONCATENATE(A2215,".",B2215)</f>
        <v>3.7</v>
      </c>
      <c r="G2215" s="1636" t="s">
        <v>61</v>
      </c>
      <c r="H2215" s="1637"/>
      <c r="I2215" s="1637"/>
      <c r="J2215" s="1638"/>
      <c r="K2215" s="834"/>
      <c r="L2215" s="835"/>
      <c r="M2215" s="835"/>
      <c r="N2215" s="835"/>
      <c r="O2215" s="835"/>
      <c r="P2215" s="835"/>
      <c r="Q2215" s="1538">
        <f>Q2216+Q2237+Q2278+Q2309</f>
        <v>2202461.2999999998</v>
      </c>
      <c r="R2215" s="1538">
        <f t="shared" ref="R2215:U2215" si="1082">R2216+R2237+R2278+R2309</f>
        <v>2129161.2999999998</v>
      </c>
      <c r="S2215" s="1538">
        <f t="shared" si="1082"/>
        <v>1659161.3</v>
      </c>
      <c r="T2215" s="1538">
        <f t="shared" si="1082"/>
        <v>595000</v>
      </c>
      <c r="U2215" s="1538">
        <f t="shared" si="1082"/>
        <v>595000</v>
      </c>
      <c r="V2215" s="1539">
        <f t="shared" ref="V2215:V2216" si="1083">SUM(Q2215:U2215)</f>
        <v>7180783.8999999994</v>
      </c>
    </row>
    <row r="2216" spans="1:22" s="39" customFormat="1" ht="29.1" customHeight="1">
      <c r="A2216" s="73">
        <v>3</v>
      </c>
      <c r="B2216" s="73">
        <v>7</v>
      </c>
      <c r="C2216" s="73">
        <v>1</v>
      </c>
      <c r="D2216" s="73"/>
      <c r="E2216" s="73" t="s">
        <v>15</v>
      </c>
      <c r="F2216" s="978" t="str">
        <f>CONCATENATE(A2216,".",B2216,".",C2216,)</f>
        <v>3.7.1</v>
      </c>
      <c r="G2216" s="1621" t="s">
        <v>62</v>
      </c>
      <c r="H2216" s="1622"/>
      <c r="I2216" s="1622"/>
      <c r="J2216" s="1623"/>
      <c r="K2216" s="944"/>
      <c r="L2216" s="945"/>
      <c r="M2216" s="945"/>
      <c r="N2216" s="945"/>
      <c r="O2216" s="945"/>
      <c r="P2216" s="945"/>
      <c r="Q2216" s="1540">
        <f>Q2218+Q2228</f>
        <v>595000</v>
      </c>
      <c r="R2216" s="1540">
        <f t="shared" ref="R2216:U2216" si="1084">R2218+R2228</f>
        <v>595000</v>
      </c>
      <c r="S2216" s="1540">
        <f t="shared" si="1084"/>
        <v>595000</v>
      </c>
      <c r="T2216" s="1540">
        <f t="shared" si="1084"/>
        <v>595000</v>
      </c>
      <c r="U2216" s="1540">
        <f t="shared" si="1084"/>
        <v>595000</v>
      </c>
      <c r="V2216" s="1540">
        <f t="shared" si="1083"/>
        <v>2975000</v>
      </c>
    </row>
    <row r="2217" spans="1:22" s="51" customFormat="1" ht="24" customHeight="1">
      <c r="A2217" s="1860">
        <v>3</v>
      </c>
      <c r="B2217" s="1860">
        <v>7</v>
      </c>
      <c r="C2217" s="1860">
        <v>1</v>
      </c>
      <c r="D2217" s="1860">
        <v>1</v>
      </c>
      <c r="E2217" s="1839" t="s">
        <v>13</v>
      </c>
      <c r="F2217" s="1841" t="str">
        <f>CONCATENATE(A2217,".",B2217,".",C2217,".",D2217,)</f>
        <v>3.7.1.1</v>
      </c>
      <c r="G2217" s="1642" t="s">
        <v>253</v>
      </c>
      <c r="H2217" s="1619" t="s">
        <v>145</v>
      </c>
      <c r="I2217" s="1614" t="s">
        <v>254</v>
      </c>
      <c r="J2217" s="96" t="s">
        <v>79</v>
      </c>
      <c r="K2217" s="946"/>
      <c r="L2217" s="947">
        <v>3</v>
      </c>
      <c r="M2217" s="947">
        <v>3</v>
      </c>
      <c r="N2217" s="947">
        <v>3</v>
      </c>
      <c r="O2217" s="947">
        <v>3</v>
      </c>
      <c r="P2217" s="947">
        <v>3</v>
      </c>
      <c r="Q2217" s="1475">
        <f>L2217*H2222</f>
        <v>345000</v>
      </c>
      <c r="R2217" s="1475">
        <f>M2217*H2222</f>
        <v>345000</v>
      </c>
      <c r="S2217" s="1475">
        <f>N2217*H2222</f>
        <v>345000</v>
      </c>
      <c r="T2217" s="1475">
        <f>O2217*H2222</f>
        <v>345000</v>
      </c>
      <c r="U2217" s="1475">
        <f>P2217*H2222</f>
        <v>345000</v>
      </c>
      <c r="V2217" s="1475">
        <f t="shared" ref="V2217:V2277" si="1085">SUM(Q2217:U2217)</f>
        <v>1725000</v>
      </c>
    </row>
    <row r="2218" spans="1:22" s="39" customFormat="1" ht="24" customHeight="1">
      <c r="A2218" s="1860">
        <v>1</v>
      </c>
      <c r="B2218" s="1860"/>
      <c r="C2218" s="1860"/>
      <c r="D2218" s="1860"/>
      <c r="E2218" s="1839"/>
      <c r="F2218" s="1841"/>
      <c r="G2218" s="1643"/>
      <c r="H2218" s="1619"/>
      <c r="I2218" s="1615"/>
      <c r="J2218" s="97" t="s">
        <v>80</v>
      </c>
      <c r="K2218" s="91"/>
      <c r="L2218" s="364">
        <f t="shared" ref="L2218:U2218" si="1086">SUM(L2219:L2225)</f>
        <v>3</v>
      </c>
      <c r="M2218" s="364">
        <f t="shared" si="1086"/>
        <v>3</v>
      </c>
      <c r="N2218" s="364">
        <f t="shared" si="1086"/>
        <v>3</v>
      </c>
      <c r="O2218" s="364">
        <f t="shared" si="1086"/>
        <v>3</v>
      </c>
      <c r="P2218" s="364">
        <f t="shared" si="1086"/>
        <v>3</v>
      </c>
      <c r="Q2218" s="1475">
        <f t="shared" si="1086"/>
        <v>345000</v>
      </c>
      <c r="R2218" s="1475">
        <f t="shared" si="1086"/>
        <v>345000</v>
      </c>
      <c r="S2218" s="1475">
        <f t="shared" si="1086"/>
        <v>345000</v>
      </c>
      <c r="T2218" s="1475">
        <f t="shared" si="1086"/>
        <v>345000</v>
      </c>
      <c r="U2218" s="1475">
        <f t="shared" si="1086"/>
        <v>345000</v>
      </c>
      <c r="V2218" s="1475">
        <f t="shared" si="1085"/>
        <v>1725000</v>
      </c>
    </row>
    <row r="2219" spans="1:22" s="39" customFormat="1" ht="24" customHeight="1">
      <c r="A2219" s="1860">
        <v>1</v>
      </c>
      <c r="B2219" s="1860"/>
      <c r="C2219" s="1860"/>
      <c r="D2219" s="1860"/>
      <c r="E2219" s="1839"/>
      <c r="F2219" s="1841"/>
      <c r="G2219" s="1643"/>
      <c r="H2219" s="1619"/>
      <c r="I2219" s="1615"/>
      <c r="J2219" s="40" t="s">
        <v>429</v>
      </c>
      <c r="K2219" s="91"/>
      <c r="L2219" s="364">
        <v>0</v>
      </c>
      <c r="M2219" s="364">
        <v>0</v>
      </c>
      <c r="N2219" s="364">
        <v>0</v>
      </c>
      <c r="O2219" s="364">
        <v>0</v>
      </c>
      <c r="P2219" s="364">
        <v>0</v>
      </c>
      <c r="Q2219" s="1475">
        <f>L2219*$H2222</f>
        <v>0</v>
      </c>
      <c r="R2219" s="1475">
        <f>M2219*$H2222</f>
        <v>0</v>
      </c>
      <c r="S2219" s="1475">
        <f>N2219*$H2222</f>
        <v>0</v>
      </c>
      <c r="T2219" s="1475">
        <f>O2219*$H2222</f>
        <v>0</v>
      </c>
      <c r="U2219" s="1475">
        <f>P2219*$H2222</f>
        <v>0</v>
      </c>
      <c r="V2219" s="1475">
        <f t="shared" si="1085"/>
        <v>0</v>
      </c>
    </row>
    <row r="2220" spans="1:22" s="39" customFormat="1" ht="24" customHeight="1">
      <c r="A2220" s="1860">
        <v>1</v>
      </c>
      <c r="B2220" s="1860"/>
      <c r="C2220" s="1860"/>
      <c r="D2220" s="1860"/>
      <c r="E2220" s="1839"/>
      <c r="F2220" s="1841"/>
      <c r="G2220" s="1643"/>
      <c r="H2220" s="1619"/>
      <c r="I2220" s="1615"/>
      <c r="J2220" s="97" t="s">
        <v>133</v>
      </c>
      <c r="K2220" s="91"/>
      <c r="L2220" s="364">
        <v>0</v>
      </c>
      <c r="M2220" s="364">
        <v>0</v>
      </c>
      <c r="N2220" s="364">
        <v>0</v>
      </c>
      <c r="O2220" s="364">
        <v>0</v>
      </c>
      <c r="P2220" s="364">
        <v>0</v>
      </c>
      <c r="Q2220" s="1475">
        <f>L2220*$H2222</f>
        <v>0</v>
      </c>
      <c r="R2220" s="1475">
        <f>M2220*$H2222</f>
        <v>0</v>
      </c>
      <c r="S2220" s="1475">
        <f>N2220*$H2222</f>
        <v>0</v>
      </c>
      <c r="T2220" s="1475">
        <f>O2220*$H2222</f>
        <v>0</v>
      </c>
      <c r="U2220" s="1475">
        <f>P2220*$H2222</f>
        <v>0</v>
      </c>
      <c r="V2220" s="1475">
        <f t="shared" si="1085"/>
        <v>0</v>
      </c>
    </row>
    <row r="2221" spans="1:22" s="39" customFormat="1" ht="24" customHeight="1">
      <c r="A2221" s="1860">
        <v>1</v>
      </c>
      <c r="B2221" s="1860"/>
      <c r="C2221" s="1860"/>
      <c r="D2221" s="1860"/>
      <c r="E2221" s="1839"/>
      <c r="F2221" s="1841"/>
      <c r="G2221" s="1643"/>
      <c r="H2221" s="1619"/>
      <c r="I2221" s="1615"/>
      <c r="J2221" s="97" t="s">
        <v>81</v>
      </c>
      <c r="K2221" s="91"/>
      <c r="L2221" s="364">
        <v>0</v>
      </c>
      <c r="M2221" s="364">
        <v>0</v>
      </c>
      <c r="N2221" s="364">
        <v>0</v>
      </c>
      <c r="O2221" s="364">
        <v>0</v>
      </c>
      <c r="P2221" s="364">
        <v>0</v>
      </c>
      <c r="Q2221" s="1475">
        <f>L2221*$H2222</f>
        <v>0</v>
      </c>
      <c r="R2221" s="1475">
        <f>M2221*$H2222</f>
        <v>0</v>
      </c>
      <c r="S2221" s="1475">
        <f>N2221*$H2222</f>
        <v>0</v>
      </c>
      <c r="T2221" s="1475">
        <f>O2221*$H2222</f>
        <v>0</v>
      </c>
      <c r="U2221" s="1475">
        <f>P2221*$H2222</f>
        <v>0</v>
      </c>
      <c r="V2221" s="1475">
        <f t="shared" si="1085"/>
        <v>0</v>
      </c>
    </row>
    <row r="2222" spans="1:22" s="39" customFormat="1" ht="24" customHeight="1">
      <c r="A2222" s="1860">
        <v>1</v>
      </c>
      <c r="B2222" s="1860"/>
      <c r="C2222" s="1860"/>
      <c r="D2222" s="1860"/>
      <c r="E2222" s="1839"/>
      <c r="F2222" s="1841"/>
      <c r="G2222" s="1643"/>
      <c r="H2222" s="1595">
        <v>115000</v>
      </c>
      <c r="I2222" s="1615"/>
      <c r="J2222" s="97" t="s">
        <v>134</v>
      </c>
      <c r="K2222" s="91"/>
      <c r="L2222" s="364">
        <v>1</v>
      </c>
      <c r="M2222" s="364">
        <v>1</v>
      </c>
      <c r="N2222" s="364">
        <v>1</v>
      </c>
      <c r="O2222" s="364">
        <v>3</v>
      </c>
      <c r="P2222" s="364">
        <v>3</v>
      </c>
      <c r="Q2222" s="1475">
        <f>L2222*$H2222</f>
        <v>115000</v>
      </c>
      <c r="R2222" s="1475">
        <f>M2222*$H2222</f>
        <v>115000</v>
      </c>
      <c r="S2222" s="1475">
        <f>N2222*$H2222</f>
        <v>115000</v>
      </c>
      <c r="T2222" s="1475">
        <f>O2222*$H2222</f>
        <v>345000</v>
      </c>
      <c r="U2222" s="1475">
        <f>P2222*$H2222</f>
        <v>345000</v>
      </c>
      <c r="V2222" s="1475">
        <f t="shared" si="1085"/>
        <v>1035000</v>
      </c>
    </row>
    <row r="2223" spans="1:22" s="39" customFormat="1" ht="24" customHeight="1">
      <c r="A2223" s="1860">
        <v>1</v>
      </c>
      <c r="B2223" s="1860"/>
      <c r="C2223" s="1860"/>
      <c r="D2223" s="1860"/>
      <c r="E2223" s="1839"/>
      <c r="F2223" s="1841"/>
      <c r="G2223" s="1643"/>
      <c r="H2223" s="1596"/>
      <c r="I2223" s="1615"/>
      <c r="J2223" s="97" t="s">
        <v>82</v>
      </c>
      <c r="K2223" s="91"/>
      <c r="L2223" s="364">
        <v>2</v>
      </c>
      <c r="M2223" s="364">
        <v>2</v>
      </c>
      <c r="N2223" s="364">
        <v>2</v>
      </c>
      <c r="O2223" s="364">
        <v>0</v>
      </c>
      <c r="P2223" s="364">
        <v>0</v>
      </c>
      <c r="Q2223" s="1475">
        <f>L2223*$H2222</f>
        <v>230000</v>
      </c>
      <c r="R2223" s="1475">
        <f>M2223*$H2222</f>
        <v>230000</v>
      </c>
      <c r="S2223" s="1475">
        <f>N2223*$H2222</f>
        <v>230000</v>
      </c>
      <c r="T2223" s="1475">
        <f>O2223*$H2222</f>
        <v>0</v>
      </c>
      <c r="U2223" s="1475">
        <f>P2223*$H2222</f>
        <v>0</v>
      </c>
      <c r="V2223" s="1475">
        <f t="shared" si="1085"/>
        <v>690000</v>
      </c>
    </row>
    <row r="2224" spans="1:22" s="39" customFormat="1" ht="24" customHeight="1">
      <c r="A2224" s="1860">
        <v>1</v>
      </c>
      <c r="B2224" s="1860"/>
      <c r="C2224" s="1860"/>
      <c r="D2224" s="1860"/>
      <c r="E2224" s="1839"/>
      <c r="F2224" s="1841"/>
      <c r="G2224" s="1643"/>
      <c r="H2224" s="1596"/>
      <c r="I2224" s="1615"/>
      <c r="J2224" s="97" t="s">
        <v>90</v>
      </c>
      <c r="K2224" s="91"/>
      <c r="L2224" s="364">
        <v>0</v>
      </c>
      <c r="M2224" s="364">
        <v>0</v>
      </c>
      <c r="N2224" s="364">
        <v>0</v>
      </c>
      <c r="O2224" s="364">
        <v>0</v>
      </c>
      <c r="P2224" s="364">
        <v>0</v>
      </c>
      <c r="Q2224" s="1475">
        <f>L2224*$H2222</f>
        <v>0</v>
      </c>
      <c r="R2224" s="1475">
        <f>M2224*$H2222</f>
        <v>0</v>
      </c>
      <c r="S2224" s="1475">
        <f>N2224*$H2222</f>
        <v>0</v>
      </c>
      <c r="T2224" s="1475">
        <f>O2224*$H2222</f>
        <v>0</v>
      </c>
      <c r="U2224" s="1475">
        <f>P2224*$H2222</f>
        <v>0</v>
      </c>
      <c r="V2224" s="1475">
        <f t="shared" si="1085"/>
        <v>0</v>
      </c>
    </row>
    <row r="2225" spans="1:22" s="39" customFormat="1" ht="24" customHeight="1">
      <c r="A2225" s="1860">
        <v>1</v>
      </c>
      <c r="B2225" s="1860"/>
      <c r="C2225" s="1860"/>
      <c r="D2225" s="1860"/>
      <c r="E2225" s="1839"/>
      <c r="F2225" s="1841"/>
      <c r="G2225" s="1643"/>
      <c r="H2225" s="1596"/>
      <c r="I2225" s="1615"/>
      <c r="J2225" s="97" t="s">
        <v>83</v>
      </c>
      <c r="K2225" s="91"/>
      <c r="L2225" s="364">
        <v>0</v>
      </c>
      <c r="M2225" s="364">
        <v>0</v>
      </c>
      <c r="N2225" s="364">
        <v>0</v>
      </c>
      <c r="O2225" s="364">
        <v>0</v>
      </c>
      <c r="P2225" s="364">
        <v>0</v>
      </c>
      <c r="Q2225" s="1475">
        <f>L2225*$H2222</f>
        <v>0</v>
      </c>
      <c r="R2225" s="1475">
        <f>M2225*$H2222</f>
        <v>0</v>
      </c>
      <c r="S2225" s="1475">
        <f>N2225*$H2222</f>
        <v>0</v>
      </c>
      <c r="T2225" s="1475">
        <f>O2225*$H2222</f>
        <v>0</v>
      </c>
      <c r="U2225" s="1475">
        <f>P2225*$H2222</f>
        <v>0</v>
      </c>
      <c r="V2225" s="1475">
        <f t="shared" si="1085"/>
        <v>0</v>
      </c>
    </row>
    <row r="2226" spans="1:22" s="39" customFormat="1" ht="24" customHeight="1">
      <c r="A2226" s="1860">
        <v>1</v>
      </c>
      <c r="B2226" s="1860"/>
      <c r="C2226" s="1860"/>
      <c r="D2226" s="1860"/>
      <c r="E2226" s="1839"/>
      <c r="F2226" s="1841"/>
      <c r="G2226" s="1644"/>
      <c r="H2226" s="1618"/>
      <c r="I2226" s="1617"/>
      <c r="J2226" s="97" t="s">
        <v>84</v>
      </c>
      <c r="K2226" s="91"/>
      <c r="L2226" s="364">
        <f>L2217-L2218</f>
        <v>0</v>
      </c>
      <c r="M2226" s="364">
        <f t="shared" ref="M2226:U2226" si="1087">M2217-M2218</f>
        <v>0</v>
      </c>
      <c r="N2226" s="364">
        <f t="shared" si="1087"/>
        <v>0</v>
      </c>
      <c r="O2226" s="364">
        <f t="shared" si="1087"/>
        <v>0</v>
      </c>
      <c r="P2226" s="364">
        <f t="shared" si="1087"/>
        <v>0</v>
      </c>
      <c r="Q2226" s="1475">
        <f t="shared" si="1087"/>
        <v>0</v>
      </c>
      <c r="R2226" s="1475">
        <f t="shared" si="1087"/>
        <v>0</v>
      </c>
      <c r="S2226" s="1475">
        <f t="shared" si="1087"/>
        <v>0</v>
      </c>
      <c r="T2226" s="1475">
        <f t="shared" si="1087"/>
        <v>0</v>
      </c>
      <c r="U2226" s="1475">
        <f t="shared" si="1087"/>
        <v>0</v>
      </c>
      <c r="V2226" s="1475">
        <f t="shared" si="1085"/>
        <v>0</v>
      </c>
    </row>
    <row r="2227" spans="1:22" s="39" customFormat="1" ht="24" customHeight="1">
      <c r="A2227" s="1860">
        <v>3</v>
      </c>
      <c r="B2227" s="1860">
        <v>7</v>
      </c>
      <c r="C2227" s="1860">
        <v>1</v>
      </c>
      <c r="D2227" s="1860">
        <v>2</v>
      </c>
      <c r="E2227" s="1839"/>
      <c r="F2227" s="1841" t="str">
        <f>CONCATENATE(A2227,".",B2227,".",C2227,".",D2227,)</f>
        <v>3.7.1.2</v>
      </c>
      <c r="G2227" s="1983" t="s">
        <v>255</v>
      </c>
      <c r="H2227" s="1619" t="s">
        <v>256</v>
      </c>
      <c r="I2227" s="1614" t="s">
        <v>257</v>
      </c>
      <c r="J2227" s="96" t="s">
        <v>79</v>
      </c>
      <c r="K2227" s="896"/>
      <c r="L2227" s="383">
        <v>100000</v>
      </c>
      <c r="M2227" s="383">
        <v>100000</v>
      </c>
      <c r="N2227" s="383">
        <v>100000</v>
      </c>
      <c r="O2227" s="383">
        <v>100000</v>
      </c>
      <c r="P2227" s="383">
        <v>100000</v>
      </c>
      <c r="Q2227" s="1475">
        <f>L2227*H2232</f>
        <v>250000</v>
      </c>
      <c r="R2227" s="1475">
        <f>M2227*H2232</f>
        <v>250000</v>
      </c>
      <c r="S2227" s="1475">
        <f>N2227*H2232</f>
        <v>250000</v>
      </c>
      <c r="T2227" s="1475">
        <f>O2227*H2232</f>
        <v>250000</v>
      </c>
      <c r="U2227" s="1475">
        <f>P2227*H2232</f>
        <v>250000</v>
      </c>
      <c r="V2227" s="1475">
        <f t="shared" si="1085"/>
        <v>1250000</v>
      </c>
    </row>
    <row r="2228" spans="1:22" s="39" customFormat="1" ht="24" customHeight="1">
      <c r="A2228" s="1860">
        <v>3</v>
      </c>
      <c r="B2228" s="1860"/>
      <c r="C2228" s="1860"/>
      <c r="D2228" s="1860"/>
      <c r="E2228" s="1839"/>
      <c r="F2228" s="1841"/>
      <c r="G2228" s="1891"/>
      <c r="H2228" s="1619"/>
      <c r="I2228" s="1615"/>
      <c r="J2228" s="97" t="s">
        <v>80</v>
      </c>
      <c r="K2228" s="91"/>
      <c r="L2228" s="364">
        <f t="shared" ref="L2228:U2228" si="1088">SUM(L2229:L2235)</f>
        <v>100000</v>
      </c>
      <c r="M2228" s="364">
        <f t="shared" si="1088"/>
        <v>100000</v>
      </c>
      <c r="N2228" s="364">
        <f t="shared" si="1088"/>
        <v>100000</v>
      </c>
      <c r="O2228" s="364">
        <f t="shared" si="1088"/>
        <v>100000</v>
      </c>
      <c r="P2228" s="364">
        <f t="shared" si="1088"/>
        <v>100000</v>
      </c>
      <c r="Q2228" s="1475">
        <f t="shared" si="1088"/>
        <v>250000</v>
      </c>
      <c r="R2228" s="1475">
        <f t="shared" si="1088"/>
        <v>250000</v>
      </c>
      <c r="S2228" s="1475">
        <f t="shared" si="1088"/>
        <v>250000</v>
      </c>
      <c r="T2228" s="1475">
        <f t="shared" si="1088"/>
        <v>250000</v>
      </c>
      <c r="U2228" s="1475">
        <f t="shared" si="1088"/>
        <v>250000</v>
      </c>
      <c r="V2228" s="1475">
        <f t="shared" si="1085"/>
        <v>1250000</v>
      </c>
    </row>
    <row r="2229" spans="1:22" s="39" customFormat="1" ht="24" customHeight="1">
      <c r="A2229" s="1860">
        <v>3</v>
      </c>
      <c r="B2229" s="1860"/>
      <c r="C2229" s="1860"/>
      <c r="D2229" s="1860"/>
      <c r="E2229" s="1839"/>
      <c r="F2229" s="1841"/>
      <c r="G2229" s="1891"/>
      <c r="H2229" s="1619"/>
      <c r="I2229" s="1615"/>
      <c r="J2229" s="40" t="s">
        <v>429</v>
      </c>
      <c r="K2229" s="91"/>
      <c r="L2229" s="364">
        <v>0</v>
      </c>
      <c r="M2229" s="364">
        <v>0</v>
      </c>
      <c r="N2229" s="364">
        <v>0</v>
      </c>
      <c r="O2229" s="364">
        <v>70000</v>
      </c>
      <c r="P2229" s="364">
        <v>70000</v>
      </c>
      <c r="Q2229" s="1475">
        <f>L2229*$H2232</f>
        <v>0</v>
      </c>
      <c r="R2229" s="1475">
        <f>M2229*$H2232</f>
        <v>0</v>
      </c>
      <c r="S2229" s="1475">
        <f>N2229*$H2232</f>
        <v>0</v>
      </c>
      <c r="T2229" s="1475">
        <f>O2229*$H2232</f>
        <v>175000</v>
      </c>
      <c r="U2229" s="1475">
        <f>P2229*$H2232</f>
        <v>175000</v>
      </c>
      <c r="V2229" s="1475">
        <f t="shared" si="1085"/>
        <v>350000</v>
      </c>
    </row>
    <row r="2230" spans="1:22" s="39" customFormat="1" ht="24" customHeight="1">
      <c r="A2230" s="1860">
        <v>3</v>
      </c>
      <c r="B2230" s="1860"/>
      <c r="C2230" s="1860"/>
      <c r="D2230" s="1860"/>
      <c r="E2230" s="1839"/>
      <c r="F2230" s="1841"/>
      <c r="G2230" s="1891"/>
      <c r="H2230" s="1619"/>
      <c r="I2230" s="1615"/>
      <c r="J2230" s="97" t="s">
        <v>133</v>
      </c>
      <c r="K2230" s="91"/>
      <c r="L2230" s="364">
        <v>0</v>
      </c>
      <c r="M2230" s="364">
        <v>0</v>
      </c>
      <c r="N2230" s="364">
        <v>0</v>
      </c>
      <c r="O2230" s="364">
        <v>30000</v>
      </c>
      <c r="P2230" s="364">
        <v>30000</v>
      </c>
      <c r="Q2230" s="1475">
        <f>L2230*$H2232</f>
        <v>0</v>
      </c>
      <c r="R2230" s="1475">
        <f>M2230*$H2232</f>
        <v>0</v>
      </c>
      <c r="S2230" s="1475">
        <f>N2230*$H2232</f>
        <v>0</v>
      </c>
      <c r="T2230" s="1475">
        <f>O2230*$H2232</f>
        <v>75000</v>
      </c>
      <c r="U2230" s="1475">
        <f>P2230*$H2232</f>
        <v>75000</v>
      </c>
      <c r="V2230" s="1475">
        <f t="shared" si="1085"/>
        <v>150000</v>
      </c>
    </row>
    <row r="2231" spans="1:22" s="39" customFormat="1" ht="24" customHeight="1">
      <c r="A2231" s="1860">
        <v>3</v>
      </c>
      <c r="B2231" s="1860"/>
      <c r="C2231" s="1860"/>
      <c r="D2231" s="1860"/>
      <c r="E2231" s="1839"/>
      <c r="F2231" s="1841"/>
      <c r="G2231" s="1891"/>
      <c r="H2231" s="1619"/>
      <c r="I2231" s="1615"/>
      <c r="J2231" s="97" t="s">
        <v>81</v>
      </c>
      <c r="K2231" s="91"/>
      <c r="L2231" s="364">
        <v>0</v>
      </c>
      <c r="M2231" s="364">
        <v>0</v>
      </c>
      <c r="N2231" s="364">
        <v>0</v>
      </c>
      <c r="O2231" s="364">
        <v>0</v>
      </c>
      <c r="P2231" s="364">
        <v>0</v>
      </c>
      <c r="Q2231" s="1475">
        <f>L2231*$H2232</f>
        <v>0</v>
      </c>
      <c r="R2231" s="1475">
        <f>M2231*$H2232</f>
        <v>0</v>
      </c>
      <c r="S2231" s="1475">
        <f>N2231*$H2232</f>
        <v>0</v>
      </c>
      <c r="T2231" s="1475">
        <f>O2231*$H2232</f>
        <v>0</v>
      </c>
      <c r="U2231" s="1475">
        <f>P2231*$H2232</f>
        <v>0</v>
      </c>
      <c r="V2231" s="1475">
        <f t="shared" si="1085"/>
        <v>0</v>
      </c>
    </row>
    <row r="2232" spans="1:22" s="39" customFormat="1" ht="24" customHeight="1">
      <c r="A2232" s="1860">
        <v>3</v>
      </c>
      <c r="B2232" s="1860"/>
      <c r="C2232" s="1860"/>
      <c r="D2232" s="1860"/>
      <c r="E2232" s="1839"/>
      <c r="F2232" s="1841"/>
      <c r="G2232" s="1891"/>
      <c r="H2232" s="1595">
        <v>2.5</v>
      </c>
      <c r="I2232" s="1615"/>
      <c r="J2232" s="97" t="s">
        <v>134</v>
      </c>
      <c r="K2232" s="91"/>
      <c r="L2232" s="364">
        <v>0</v>
      </c>
      <c r="M2232" s="364">
        <v>0</v>
      </c>
      <c r="N2232" s="364">
        <v>0</v>
      </c>
      <c r="O2232" s="364">
        <v>0</v>
      </c>
      <c r="P2232" s="364">
        <v>0</v>
      </c>
      <c r="Q2232" s="1475">
        <f>L2232*$H2232</f>
        <v>0</v>
      </c>
      <c r="R2232" s="1475">
        <f>M2232*$H2232</f>
        <v>0</v>
      </c>
      <c r="S2232" s="1475">
        <f>N2232*$H2232</f>
        <v>0</v>
      </c>
      <c r="T2232" s="1475">
        <f>O2232*$H2232</f>
        <v>0</v>
      </c>
      <c r="U2232" s="1475">
        <f>P2232*$H2232</f>
        <v>0</v>
      </c>
      <c r="V2232" s="1475">
        <f t="shared" si="1085"/>
        <v>0</v>
      </c>
    </row>
    <row r="2233" spans="1:22" s="39" customFormat="1" ht="24" customHeight="1">
      <c r="A2233" s="1860">
        <v>3</v>
      </c>
      <c r="B2233" s="1860"/>
      <c r="C2233" s="1860"/>
      <c r="D2233" s="1860"/>
      <c r="E2233" s="1839"/>
      <c r="F2233" s="1841"/>
      <c r="G2233" s="1891"/>
      <c r="H2233" s="1596"/>
      <c r="I2233" s="1615"/>
      <c r="J2233" s="97" t="s">
        <v>82</v>
      </c>
      <c r="K2233" s="91"/>
      <c r="L2233" s="364">
        <v>70000</v>
      </c>
      <c r="M2233" s="364">
        <v>70000</v>
      </c>
      <c r="N2233" s="364">
        <v>70000</v>
      </c>
      <c r="O2233" s="364">
        <v>0</v>
      </c>
      <c r="P2233" s="364">
        <v>0</v>
      </c>
      <c r="Q2233" s="1475">
        <f>L2233*$H2232</f>
        <v>175000</v>
      </c>
      <c r="R2233" s="1475">
        <f>M2233*$H2232</f>
        <v>175000</v>
      </c>
      <c r="S2233" s="1475">
        <f>N2233*$H2232</f>
        <v>175000</v>
      </c>
      <c r="T2233" s="1475">
        <f>O2233*$H2232</f>
        <v>0</v>
      </c>
      <c r="U2233" s="1475">
        <f>P2233*$H2232</f>
        <v>0</v>
      </c>
      <c r="V2233" s="1475">
        <f t="shared" si="1085"/>
        <v>525000</v>
      </c>
    </row>
    <row r="2234" spans="1:22" s="39" customFormat="1" ht="24" customHeight="1">
      <c r="A2234" s="1860">
        <v>3</v>
      </c>
      <c r="B2234" s="1860"/>
      <c r="C2234" s="1860"/>
      <c r="D2234" s="1860"/>
      <c r="E2234" s="1839"/>
      <c r="F2234" s="1841"/>
      <c r="G2234" s="1891"/>
      <c r="H2234" s="1596"/>
      <c r="I2234" s="1615"/>
      <c r="J2234" s="97" t="s">
        <v>90</v>
      </c>
      <c r="K2234" s="91"/>
      <c r="L2234" s="364">
        <v>30000</v>
      </c>
      <c r="M2234" s="364">
        <v>30000</v>
      </c>
      <c r="N2234" s="364">
        <v>30000</v>
      </c>
      <c r="O2234" s="364">
        <v>0</v>
      </c>
      <c r="P2234" s="364">
        <v>0</v>
      </c>
      <c r="Q2234" s="1475">
        <f>L2234*$H2232</f>
        <v>75000</v>
      </c>
      <c r="R2234" s="1475">
        <f>M2234*$H2232</f>
        <v>75000</v>
      </c>
      <c r="S2234" s="1475">
        <f>N2234*$H2232</f>
        <v>75000</v>
      </c>
      <c r="T2234" s="1475">
        <f>O2234*$H2232</f>
        <v>0</v>
      </c>
      <c r="U2234" s="1475">
        <f>P2234*$H2232</f>
        <v>0</v>
      </c>
      <c r="V2234" s="1475">
        <f t="shared" si="1085"/>
        <v>225000</v>
      </c>
    </row>
    <row r="2235" spans="1:22" s="39" customFormat="1" ht="24" customHeight="1">
      <c r="A2235" s="1860">
        <v>3</v>
      </c>
      <c r="B2235" s="1860"/>
      <c r="C2235" s="1860"/>
      <c r="D2235" s="1860"/>
      <c r="E2235" s="1839"/>
      <c r="F2235" s="1841"/>
      <c r="G2235" s="1891"/>
      <c r="H2235" s="1596"/>
      <c r="I2235" s="1615"/>
      <c r="J2235" s="97" t="s">
        <v>83</v>
      </c>
      <c r="K2235" s="91"/>
      <c r="L2235" s="364">
        <v>0</v>
      </c>
      <c r="M2235" s="364">
        <v>0</v>
      </c>
      <c r="N2235" s="364">
        <v>0</v>
      </c>
      <c r="O2235" s="364">
        <v>0</v>
      </c>
      <c r="P2235" s="364">
        <v>0</v>
      </c>
      <c r="Q2235" s="1475">
        <f>L2235*$H2232</f>
        <v>0</v>
      </c>
      <c r="R2235" s="1475">
        <f>M2235*$H2232</f>
        <v>0</v>
      </c>
      <c r="S2235" s="1475">
        <f>N2235*$H2232</f>
        <v>0</v>
      </c>
      <c r="T2235" s="1475">
        <f>O2235*$H2232</f>
        <v>0</v>
      </c>
      <c r="U2235" s="1475">
        <f>P2235*$H2232</f>
        <v>0</v>
      </c>
      <c r="V2235" s="1475">
        <f t="shared" si="1085"/>
        <v>0</v>
      </c>
    </row>
    <row r="2236" spans="1:22" s="39" customFormat="1" ht="24" customHeight="1">
      <c r="A2236" s="1860">
        <v>3</v>
      </c>
      <c r="B2236" s="1860"/>
      <c r="C2236" s="1860"/>
      <c r="D2236" s="1860"/>
      <c r="E2236" s="1839"/>
      <c r="F2236" s="1841"/>
      <c r="G2236" s="1984"/>
      <c r="H2236" s="1618"/>
      <c r="I2236" s="1617"/>
      <c r="J2236" s="97" t="s">
        <v>84</v>
      </c>
      <c r="K2236" s="91"/>
      <c r="L2236" s="364">
        <f t="shared" ref="L2236:U2236" si="1089">L2227-L2228</f>
        <v>0</v>
      </c>
      <c r="M2236" s="364">
        <f t="shared" si="1089"/>
        <v>0</v>
      </c>
      <c r="N2236" s="364">
        <f t="shared" si="1089"/>
        <v>0</v>
      </c>
      <c r="O2236" s="364">
        <f t="shared" si="1089"/>
        <v>0</v>
      </c>
      <c r="P2236" s="364">
        <f t="shared" si="1089"/>
        <v>0</v>
      </c>
      <c r="Q2236" s="1475">
        <f t="shared" si="1089"/>
        <v>0</v>
      </c>
      <c r="R2236" s="1475">
        <f t="shared" si="1089"/>
        <v>0</v>
      </c>
      <c r="S2236" s="1475">
        <f t="shared" si="1089"/>
        <v>0</v>
      </c>
      <c r="T2236" s="1475">
        <f t="shared" si="1089"/>
        <v>0</v>
      </c>
      <c r="U2236" s="1475">
        <f t="shared" si="1089"/>
        <v>0</v>
      </c>
      <c r="V2236" s="1475">
        <f t="shared" si="1085"/>
        <v>0</v>
      </c>
    </row>
    <row r="2237" spans="1:22" s="99" customFormat="1" ht="38.1" customHeight="1">
      <c r="A2237" s="73">
        <v>3</v>
      </c>
      <c r="B2237" s="73">
        <v>7</v>
      </c>
      <c r="C2237" s="73">
        <v>2</v>
      </c>
      <c r="D2237" s="73"/>
      <c r="E2237" s="73" t="s">
        <v>15</v>
      </c>
      <c r="F2237" s="70" t="str">
        <f>CONCATENATE(A2237,".",B2237,".",C2237,)</f>
        <v>3.7.2</v>
      </c>
      <c r="G2237" s="1605" t="s">
        <v>63</v>
      </c>
      <c r="H2237" s="1606"/>
      <c r="I2237" s="1606"/>
      <c r="J2237" s="1607"/>
      <c r="K2237" s="930"/>
      <c r="L2237" s="382"/>
      <c r="M2237" s="382"/>
      <c r="N2237" s="382"/>
      <c r="O2237" s="382"/>
      <c r="P2237" s="382"/>
      <c r="Q2237" s="1541">
        <f>Q2239+Q2249+Q2259+Q2269</f>
        <v>824841.3</v>
      </c>
      <c r="R2237" s="1541">
        <f t="shared" ref="R2237:U2237" si="1090">R2239+R2249+R2259+R2269</f>
        <v>824841.3</v>
      </c>
      <c r="S2237" s="1541">
        <f t="shared" si="1090"/>
        <v>824841.3</v>
      </c>
      <c r="T2237" s="1541">
        <f t="shared" si="1090"/>
        <v>0</v>
      </c>
      <c r="U2237" s="1541">
        <f t="shared" si="1090"/>
        <v>0</v>
      </c>
      <c r="V2237" s="1541">
        <f t="shared" si="1085"/>
        <v>2474523.9000000004</v>
      </c>
    </row>
    <row r="2238" spans="1:22" s="99" customFormat="1" ht="24" customHeight="1">
      <c r="A2238" s="1860">
        <v>3</v>
      </c>
      <c r="B2238" s="1860">
        <v>7</v>
      </c>
      <c r="C2238" s="1860">
        <v>2</v>
      </c>
      <c r="D2238" s="1860">
        <v>1</v>
      </c>
      <c r="E2238" s="1839" t="s">
        <v>15</v>
      </c>
      <c r="F2238" s="1841" t="str">
        <f>CONCATENATE(A2238,".",B2238,".",C2238,".",D2238,)</f>
        <v>3.7.2.1</v>
      </c>
      <c r="G2238" s="1983" t="s">
        <v>473</v>
      </c>
      <c r="H2238" s="1601" t="s">
        <v>195</v>
      </c>
      <c r="I2238" s="2001" t="s">
        <v>472</v>
      </c>
      <c r="J2238" s="36" t="s">
        <v>79</v>
      </c>
      <c r="K2238" s="896"/>
      <c r="L2238" s="383">
        <v>90</v>
      </c>
      <c r="M2238" s="383">
        <v>90</v>
      </c>
      <c r="N2238" s="383">
        <v>90</v>
      </c>
      <c r="O2238" s="383">
        <v>90</v>
      </c>
      <c r="P2238" s="383">
        <v>90</v>
      </c>
      <c r="Q2238" s="1475">
        <f>L2238*H2243</f>
        <v>180000</v>
      </c>
      <c r="R2238" s="1475">
        <f>M2238*H2243</f>
        <v>180000</v>
      </c>
      <c r="S2238" s="1475">
        <f>N2238*H2243</f>
        <v>180000</v>
      </c>
      <c r="T2238" s="1475">
        <f>O2238*H2243</f>
        <v>180000</v>
      </c>
      <c r="U2238" s="1475">
        <f>P2238*H2243</f>
        <v>180000</v>
      </c>
      <c r="V2238" s="1475">
        <f t="shared" si="1085"/>
        <v>900000</v>
      </c>
    </row>
    <row r="2239" spans="1:22" s="99" customFormat="1" ht="24" customHeight="1">
      <c r="A2239" s="1860">
        <v>3</v>
      </c>
      <c r="B2239" s="1860"/>
      <c r="C2239" s="1860"/>
      <c r="D2239" s="1860"/>
      <c r="E2239" s="1839"/>
      <c r="F2239" s="1841"/>
      <c r="G2239" s="1891"/>
      <c r="H2239" s="1601"/>
      <c r="I2239" s="1646"/>
      <c r="J2239" s="40" t="s">
        <v>80</v>
      </c>
      <c r="K2239" s="91"/>
      <c r="L2239" s="364">
        <f t="shared" ref="L2239:U2239" si="1091">SUM(L2240:L2246)</f>
        <v>90</v>
      </c>
      <c r="M2239" s="364">
        <f t="shared" si="1091"/>
        <v>90</v>
      </c>
      <c r="N2239" s="364">
        <f t="shared" si="1091"/>
        <v>90</v>
      </c>
      <c r="O2239" s="364">
        <f t="shared" si="1091"/>
        <v>0</v>
      </c>
      <c r="P2239" s="364">
        <f t="shared" si="1091"/>
        <v>0</v>
      </c>
      <c r="Q2239" s="1475">
        <f t="shared" si="1091"/>
        <v>180000</v>
      </c>
      <c r="R2239" s="1475">
        <f t="shared" si="1091"/>
        <v>180000</v>
      </c>
      <c r="S2239" s="1475">
        <f t="shared" si="1091"/>
        <v>180000</v>
      </c>
      <c r="T2239" s="1475">
        <f t="shared" si="1091"/>
        <v>0</v>
      </c>
      <c r="U2239" s="1475">
        <f t="shared" si="1091"/>
        <v>0</v>
      </c>
      <c r="V2239" s="1475">
        <f t="shared" si="1085"/>
        <v>540000</v>
      </c>
    </row>
    <row r="2240" spans="1:22" s="99" customFormat="1" ht="24" customHeight="1">
      <c r="A2240" s="1860">
        <v>3</v>
      </c>
      <c r="B2240" s="1860"/>
      <c r="C2240" s="1860"/>
      <c r="D2240" s="1860"/>
      <c r="E2240" s="1839"/>
      <c r="F2240" s="1841"/>
      <c r="G2240" s="1891"/>
      <c r="H2240" s="1601"/>
      <c r="I2240" s="1646"/>
      <c r="J2240" s="40" t="s">
        <v>429</v>
      </c>
      <c r="K2240" s="91"/>
      <c r="L2240" s="364">
        <v>0</v>
      </c>
      <c r="M2240" s="364">
        <v>0</v>
      </c>
      <c r="N2240" s="364">
        <v>0</v>
      </c>
      <c r="O2240" s="364">
        <v>0</v>
      </c>
      <c r="P2240" s="364">
        <v>0</v>
      </c>
      <c r="Q2240" s="1475">
        <f>L2240*$H2243</f>
        <v>0</v>
      </c>
      <c r="R2240" s="1475">
        <f>M2240*$H2243</f>
        <v>0</v>
      </c>
      <c r="S2240" s="1475">
        <f>N2240*$H2243</f>
        <v>0</v>
      </c>
      <c r="T2240" s="1475">
        <f>O2240*$H2243</f>
        <v>0</v>
      </c>
      <c r="U2240" s="1475">
        <f>P2240*$H2243</f>
        <v>0</v>
      </c>
      <c r="V2240" s="1475">
        <f t="shared" si="1085"/>
        <v>0</v>
      </c>
    </row>
    <row r="2241" spans="1:22" s="99" customFormat="1" ht="24" customHeight="1">
      <c r="A2241" s="1860">
        <v>3</v>
      </c>
      <c r="B2241" s="1860"/>
      <c r="C2241" s="1860"/>
      <c r="D2241" s="1860"/>
      <c r="E2241" s="1839"/>
      <c r="F2241" s="1841"/>
      <c r="G2241" s="1891"/>
      <c r="H2241" s="1601"/>
      <c r="I2241" s="1646"/>
      <c r="J2241" s="40" t="s">
        <v>133</v>
      </c>
      <c r="K2241" s="91"/>
      <c r="L2241" s="364">
        <v>0</v>
      </c>
      <c r="M2241" s="364">
        <v>0</v>
      </c>
      <c r="N2241" s="364">
        <v>0</v>
      </c>
      <c r="O2241" s="364">
        <v>0</v>
      </c>
      <c r="P2241" s="364">
        <v>0</v>
      </c>
      <c r="Q2241" s="1475">
        <f>L2241*$H2243</f>
        <v>0</v>
      </c>
      <c r="R2241" s="1475">
        <f>M2241*$H2243</f>
        <v>0</v>
      </c>
      <c r="S2241" s="1475">
        <f>N2241*$H2243</f>
        <v>0</v>
      </c>
      <c r="T2241" s="1475">
        <f>O2241*$H2243</f>
        <v>0</v>
      </c>
      <c r="U2241" s="1475">
        <f>P2241*$H2243</f>
        <v>0</v>
      </c>
      <c r="V2241" s="1475">
        <f t="shared" si="1085"/>
        <v>0</v>
      </c>
    </row>
    <row r="2242" spans="1:22" s="99" customFormat="1" ht="24" customHeight="1">
      <c r="A2242" s="1860">
        <v>3</v>
      </c>
      <c r="B2242" s="1860"/>
      <c r="C2242" s="1860"/>
      <c r="D2242" s="1860"/>
      <c r="E2242" s="1839"/>
      <c r="F2242" s="1841"/>
      <c r="G2242" s="1891"/>
      <c r="H2242" s="1601"/>
      <c r="I2242" s="1646"/>
      <c r="J2242" s="40" t="s">
        <v>81</v>
      </c>
      <c r="K2242" s="91"/>
      <c r="L2242" s="364">
        <v>0</v>
      </c>
      <c r="M2242" s="364">
        <v>0</v>
      </c>
      <c r="N2242" s="364">
        <v>0</v>
      </c>
      <c r="O2242" s="364">
        <v>0</v>
      </c>
      <c r="P2242" s="364">
        <v>0</v>
      </c>
      <c r="Q2242" s="1475">
        <f>L2242*$H2243</f>
        <v>0</v>
      </c>
      <c r="R2242" s="1475">
        <f>M2242*$H2243</f>
        <v>0</v>
      </c>
      <c r="S2242" s="1475">
        <f>N2242*$H2243</f>
        <v>0</v>
      </c>
      <c r="T2242" s="1475">
        <f>O2242*$H2243</f>
        <v>0</v>
      </c>
      <c r="U2242" s="1475">
        <f>P2242*$H2243</f>
        <v>0</v>
      </c>
      <c r="V2242" s="1475">
        <f t="shared" si="1085"/>
        <v>0</v>
      </c>
    </row>
    <row r="2243" spans="1:22" s="99" customFormat="1" ht="24" customHeight="1">
      <c r="A2243" s="1860">
        <v>3</v>
      </c>
      <c r="B2243" s="1860"/>
      <c r="C2243" s="1860"/>
      <c r="D2243" s="1860"/>
      <c r="E2243" s="1839"/>
      <c r="F2243" s="1841"/>
      <c r="G2243" s="1891"/>
      <c r="H2243" s="1595">
        <f>'Budget assumption'!$C$4</f>
        <v>2000</v>
      </c>
      <c r="I2243" s="1646"/>
      <c r="J2243" s="40" t="s">
        <v>134</v>
      </c>
      <c r="K2243" s="91"/>
      <c r="L2243" s="364">
        <v>0</v>
      </c>
      <c r="M2243" s="364">
        <v>0</v>
      </c>
      <c r="N2243" s="364">
        <v>0</v>
      </c>
      <c r="O2243" s="364">
        <v>0</v>
      </c>
      <c r="P2243" s="364">
        <v>0</v>
      </c>
      <c r="Q2243" s="1475">
        <f>L2243*$H2243</f>
        <v>0</v>
      </c>
      <c r="R2243" s="1475">
        <f>M2243*$H2243</f>
        <v>0</v>
      </c>
      <c r="S2243" s="1475">
        <f>N2243*$H2243</f>
        <v>0</v>
      </c>
      <c r="T2243" s="1475">
        <f>O2243*$H2243</f>
        <v>0</v>
      </c>
      <c r="U2243" s="1475">
        <f>P2243*$H2243</f>
        <v>0</v>
      </c>
      <c r="V2243" s="1475">
        <f t="shared" si="1085"/>
        <v>0</v>
      </c>
    </row>
    <row r="2244" spans="1:22" s="99" customFormat="1" ht="24" customHeight="1">
      <c r="A2244" s="1860">
        <v>3</v>
      </c>
      <c r="B2244" s="1860"/>
      <c r="C2244" s="1860"/>
      <c r="D2244" s="1860"/>
      <c r="E2244" s="1839"/>
      <c r="F2244" s="1841"/>
      <c r="G2244" s="1891"/>
      <c r="H2244" s="1596"/>
      <c r="I2244" s="1646"/>
      <c r="J2244" s="40" t="s">
        <v>82</v>
      </c>
      <c r="K2244" s="91"/>
      <c r="L2244" s="364">
        <f>L2238*70%</f>
        <v>62.999999999999993</v>
      </c>
      <c r="M2244" s="364">
        <f t="shared" ref="M2244:N2244" si="1092">M2238*70%</f>
        <v>62.999999999999993</v>
      </c>
      <c r="N2244" s="364">
        <f t="shared" si="1092"/>
        <v>62.999999999999993</v>
      </c>
      <c r="O2244" s="364">
        <v>0</v>
      </c>
      <c r="P2244" s="364">
        <v>0</v>
      </c>
      <c r="Q2244" s="1475">
        <f>L2244*$H2243</f>
        <v>125999.99999999999</v>
      </c>
      <c r="R2244" s="1475">
        <f>M2244*$H2243</f>
        <v>125999.99999999999</v>
      </c>
      <c r="S2244" s="1475">
        <f>N2244*$H2243</f>
        <v>125999.99999999999</v>
      </c>
      <c r="T2244" s="1475">
        <f>O2244*$H2243</f>
        <v>0</v>
      </c>
      <c r="U2244" s="1475">
        <f>P2244*$H2243</f>
        <v>0</v>
      </c>
      <c r="V2244" s="1475">
        <f t="shared" si="1085"/>
        <v>377999.99999999994</v>
      </c>
    </row>
    <row r="2245" spans="1:22" s="99" customFormat="1" ht="24" customHeight="1">
      <c r="A2245" s="1860">
        <v>3</v>
      </c>
      <c r="B2245" s="1860"/>
      <c r="C2245" s="1860"/>
      <c r="D2245" s="1860"/>
      <c r="E2245" s="1839"/>
      <c r="F2245" s="1841"/>
      <c r="G2245" s="1891"/>
      <c r="H2245" s="1596"/>
      <c r="I2245" s="1646"/>
      <c r="J2245" s="40" t="s">
        <v>90</v>
      </c>
      <c r="K2245" s="91"/>
      <c r="L2245" s="364">
        <f>L2238*30%</f>
        <v>27</v>
      </c>
      <c r="M2245" s="364">
        <f t="shared" ref="M2245:N2245" si="1093">M2238*30%</f>
        <v>27</v>
      </c>
      <c r="N2245" s="364">
        <f t="shared" si="1093"/>
        <v>27</v>
      </c>
      <c r="O2245" s="364">
        <v>0</v>
      </c>
      <c r="P2245" s="364">
        <v>0</v>
      </c>
      <c r="Q2245" s="1475">
        <f>L2245*$H2243</f>
        <v>54000</v>
      </c>
      <c r="R2245" s="1475">
        <f>M2245*$H2243</f>
        <v>54000</v>
      </c>
      <c r="S2245" s="1475">
        <f>N2245*$H2243</f>
        <v>54000</v>
      </c>
      <c r="T2245" s="1475">
        <f>O2245*$H2243</f>
        <v>0</v>
      </c>
      <c r="U2245" s="1475">
        <f>P2245*$H2243</f>
        <v>0</v>
      </c>
      <c r="V2245" s="1475">
        <f t="shared" si="1085"/>
        <v>162000</v>
      </c>
    </row>
    <row r="2246" spans="1:22" s="99" customFormat="1" ht="24" customHeight="1">
      <c r="A2246" s="1860">
        <v>3</v>
      </c>
      <c r="B2246" s="1860"/>
      <c r="C2246" s="1860"/>
      <c r="D2246" s="1860"/>
      <c r="E2246" s="1839"/>
      <c r="F2246" s="1841"/>
      <c r="G2246" s="1891"/>
      <c r="H2246" s="1596"/>
      <c r="I2246" s="1646"/>
      <c r="J2246" s="40" t="s">
        <v>83</v>
      </c>
      <c r="K2246" s="91"/>
      <c r="L2246" s="364">
        <v>0</v>
      </c>
      <c r="M2246" s="364">
        <v>0</v>
      </c>
      <c r="N2246" s="364">
        <v>0</v>
      </c>
      <c r="O2246" s="364">
        <v>0</v>
      </c>
      <c r="P2246" s="364">
        <v>0</v>
      </c>
      <c r="Q2246" s="1475">
        <f>L2246*$H2243</f>
        <v>0</v>
      </c>
      <c r="R2246" s="1475">
        <f>M2246*$H2243</f>
        <v>0</v>
      </c>
      <c r="S2246" s="1475">
        <f>N2246*$H2243</f>
        <v>0</v>
      </c>
      <c r="T2246" s="1475">
        <f>O2246*$H2243</f>
        <v>0</v>
      </c>
      <c r="U2246" s="1475">
        <f>P2246*$H2243</f>
        <v>0</v>
      </c>
      <c r="V2246" s="1475">
        <f t="shared" si="1085"/>
        <v>0</v>
      </c>
    </row>
    <row r="2247" spans="1:22" s="99" customFormat="1" ht="24" customHeight="1">
      <c r="A2247" s="1860">
        <v>3</v>
      </c>
      <c r="B2247" s="1860"/>
      <c r="C2247" s="1860"/>
      <c r="D2247" s="1860"/>
      <c r="E2247" s="1839"/>
      <c r="F2247" s="1841"/>
      <c r="G2247" s="1984"/>
      <c r="H2247" s="1618"/>
      <c r="I2247" s="1996"/>
      <c r="J2247" s="40" t="s">
        <v>84</v>
      </c>
      <c r="K2247" s="91"/>
      <c r="L2247" s="364">
        <f t="shared" ref="L2247:U2247" si="1094">L2238-L2239</f>
        <v>0</v>
      </c>
      <c r="M2247" s="364">
        <f t="shared" si="1094"/>
        <v>0</v>
      </c>
      <c r="N2247" s="364">
        <f t="shared" si="1094"/>
        <v>0</v>
      </c>
      <c r="O2247" s="364">
        <f t="shared" si="1094"/>
        <v>90</v>
      </c>
      <c r="P2247" s="364">
        <f t="shared" si="1094"/>
        <v>90</v>
      </c>
      <c r="Q2247" s="1475">
        <f t="shared" si="1094"/>
        <v>0</v>
      </c>
      <c r="R2247" s="1475">
        <f t="shared" si="1094"/>
        <v>0</v>
      </c>
      <c r="S2247" s="1475">
        <f t="shared" si="1094"/>
        <v>0</v>
      </c>
      <c r="T2247" s="1475">
        <f t="shared" si="1094"/>
        <v>180000</v>
      </c>
      <c r="U2247" s="1475">
        <f t="shared" si="1094"/>
        <v>180000</v>
      </c>
      <c r="V2247" s="1475">
        <f t="shared" si="1085"/>
        <v>360000</v>
      </c>
    </row>
    <row r="2248" spans="1:22" s="99" customFormat="1" ht="24" customHeight="1">
      <c r="A2248" s="1860">
        <v>3</v>
      </c>
      <c r="B2248" s="1860">
        <v>7</v>
      </c>
      <c r="C2248" s="1860">
        <v>2</v>
      </c>
      <c r="D2248" s="1860">
        <v>2</v>
      </c>
      <c r="E2248" s="1839" t="s">
        <v>15</v>
      </c>
      <c r="F2248" s="1841" t="str">
        <f>CONCATENATE(A2248,".",B2248,".",C2248,".",D2248,)</f>
        <v>3.7.2.2</v>
      </c>
      <c r="G2248" s="1983" t="s">
        <v>258</v>
      </c>
      <c r="H2248" s="1601" t="s">
        <v>195</v>
      </c>
      <c r="I2248" s="1995" t="s">
        <v>1176</v>
      </c>
      <c r="J2248" s="36" t="s">
        <v>79</v>
      </c>
      <c r="K2248" s="896"/>
      <c r="L2248" s="383">
        <v>180</v>
      </c>
      <c r="M2248" s="383">
        <v>180</v>
      </c>
      <c r="N2248" s="383">
        <v>180</v>
      </c>
      <c r="O2248" s="383">
        <v>180</v>
      </c>
      <c r="P2248" s="383">
        <v>180</v>
      </c>
      <c r="Q2248" s="1475">
        <f>L2248*H2253</f>
        <v>360000</v>
      </c>
      <c r="R2248" s="1475">
        <f>M2248*H2253</f>
        <v>360000</v>
      </c>
      <c r="S2248" s="1475">
        <f>N2248*H2253</f>
        <v>360000</v>
      </c>
      <c r="T2248" s="1475">
        <f>O2248*H2253</f>
        <v>360000</v>
      </c>
      <c r="U2248" s="1475">
        <f>P2248*H2253</f>
        <v>360000</v>
      </c>
      <c r="V2248" s="1475">
        <f t="shared" si="1085"/>
        <v>1800000</v>
      </c>
    </row>
    <row r="2249" spans="1:22" s="99" customFormat="1" ht="24" customHeight="1">
      <c r="A2249" s="1860">
        <v>3</v>
      </c>
      <c r="B2249" s="1860"/>
      <c r="C2249" s="1860"/>
      <c r="D2249" s="1860"/>
      <c r="E2249" s="1839"/>
      <c r="F2249" s="1841"/>
      <c r="G2249" s="1891"/>
      <c r="H2249" s="1601"/>
      <c r="I2249" s="1646"/>
      <c r="J2249" s="40" t="s">
        <v>80</v>
      </c>
      <c r="K2249" s="91"/>
      <c r="L2249" s="364">
        <f t="shared" ref="L2249:U2249" si="1095">SUM(L2250:L2256)</f>
        <v>180</v>
      </c>
      <c r="M2249" s="364">
        <f t="shared" si="1095"/>
        <v>180</v>
      </c>
      <c r="N2249" s="364">
        <f t="shared" si="1095"/>
        <v>180</v>
      </c>
      <c r="O2249" s="364">
        <f t="shared" si="1095"/>
        <v>0</v>
      </c>
      <c r="P2249" s="364">
        <f t="shared" si="1095"/>
        <v>0</v>
      </c>
      <c r="Q2249" s="1475">
        <f t="shared" si="1095"/>
        <v>360000</v>
      </c>
      <c r="R2249" s="1475">
        <f t="shared" si="1095"/>
        <v>360000</v>
      </c>
      <c r="S2249" s="1475">
        <f t="shared" si="1095"/>
        <v>360000</v>
      </c>
      <c r="T2249" s="1475">
        <f t="shared" si="1095"/>
        <v>0</v>
      </c>
      <c r="U2249" s="1475">
        <f t="shared" si="1095"/>
        <v>0</v>
      </c>
      <c r="V2249" s="1475">
        <f t="shared" si="1085"/>
        <v>1080000</v>
      </c>
    </row>
    <row r="2250" spans="1:22" s="99" customFormat="1" ht="24" customHeight="1">
      <c r="A2250" s="1860">
        <v>3</v>
      </c>
      <c r="B2250" s="1860"/>
      <c r="C2250" s="1860"/>
      <c r="D2250" s="1860"/>
      <c r="E2250" s="1839"/>
      <c r="F2250" s="1841"/>
      <c r="G2250" s="1891"/>
      <c r="H2250" s="1601"/>
      <c r="I2250" s="1646"/>
      <c r="J2250" s="40" t="s">
        <v>429</v>
      </c>
      <c r="K2250" s="91"/>
      <c r="L2250" s="364">
        <v>0</v>
      </c>
      <c r="M2250" s="364">
        <v>0</v>
      </c>
      <c r="N2250" s="364">
        <v>0</v>
      </c>
      <c r="O2250" s="364">
        <v>0</v>
      </c>
      <c r="P2250" s="364">
        <v>0</v>
      </c>
      <c r="Q2250" s="1475">
        <f>L2250*$H2253</f>
        <v>0</v>
      </c>
      <c r="R2250" s="1475">
        <f>M2250*$H2253</f>
        <v>0</v>
      </c>
      <c r="S2250" s="1475">
        <f>N2250*$H2253</f>
        <v>0</v>
      </c>
      <c r="T2250" s="1475">
        <f>O2250*$H2253</f>
        <v>0</v>
      </c>
      <c r="U2250" s="1475">
        <f>P2250*$H2253</f>
        <v>0</v>
      </c>
      <c r="V2250" s="1475">
        <f t="shared" si="1085"/>
        <v>0</v>
      </c>
    </row>
    <row r="2251" spans="1:22" s="99" customFormat="1" ht="24" customHeight="1">
      <c r="A2251" s="1860">
        <v>3</v>
      </c>
      <c r="B2251" s="1860"/>
      <c r="C2251" s="1860"/>
      <c r="D2251" s="1860"/>
      <c r="E2251" s="1839"/>
      <c r="F2251" s="1841"/>
      <c r="G2251" s="1891"/>
      <c r="H2251" s="1601"/>
      <c r="I2251" s="1646"/>
      <c r="J2251" s="40" t="s">
        <v>133</v>
      </c>
      <c r="K2251" s="91"/>
      <c r="L2251" s="364">
        <v>0</v>
      </c>
      <c r="M2251" s="364">
        <v>0</v>
      </c>
      <c r="N2251" s="364">
        <v>0</v>
      </c>
      <c r="O2251" s="364">
        <v>0</v>
      </c>
      <c r="P2251" s="364">
        <v>0</v>
      </c>
      <c r="Q2251" s="1475">
        <f>L2251*$H2253</f>
        <v>0</v>
      </c>
      <c r="R2251" s="1475">
        <f>M2251*$H2253</f>
        <v>0</v>
      </c>
      <c r="S2251" s="1475">
        <f>N2251*$H2253</f>
        <v>0</v>
      </c>
      <c r="T2251" s="1475">
        <f>O2251*$H2253</f>
        <v>0</v>
      </c>
      <c r="U2251" s="1475">
        <f>P2251*$H2253</f>
        <v>0</v>
      </c>
      <c r="V2251" s="1475">
        <f t="shared" si="1085"/>
        <v>0</v>
      </c>
    </row>
    <row r="2252" spans="1:22" s="99" customFormat="1" ht="24" customHeight="1">
      <c r="A2252" s="1860">
        <v>3</v>
      </c>
      <c r="B2252" s="1860"/>
      <c r="C2252" s="1860"/>
      <c r="D2252" s="1860"/>
      <c r="E2252" s="1839"/>
      <c r="F2252" s="1841"/>
      <c r="G2252" s="1891"/>
      <c r="H2252" s="1601"/>
      <c r="I2252" s="1646"/>
      <c r="J2252" s="40" t="s">
        <v>81</v>
      </c>
      <c r="K2252" s="91"/>
      <c r="L2252" s="364">
        <v>0</v>
      </c>
      <c r="M2252" s="364">
        <v>0</v>
      </c>
      <c r="N2252" s="364">
        <v>0</v>
      </c>
      <c r="O2252" s="364">
        <v>0</v>
      </c>
      <c r="P2252" s="364">
        <v>0</v>
      </c>
      <c r="Q2252" s="1475">
        <f>L2252*$H2253</f>
        <v>0</v>
      </c>
      <c r="R2252" s="1475">
        <f>M2252*$H2253</f>
        <v>0</v>
      </c>
      <c r="S2252" s="1475">
        <f>N2252*$H2253</f>
        <v>0</v>
      </c>
      <c r="T2252" s="1475">
        <f>O2252*$H2253</f>
        <v>0</v>
      </c>
      <c r="U2252" s="1475">
        <f>P2252*$H2253</f>
        <v>0</v>
      </c>
      <c r="V2252" s="1475">
        <f t="shared" si="1085"/>
        <v>0</v>
      </c>
    </row>
    <row r="2253" spans="1:22" s="99" customFormat="1" ht="24" customHeight="1">
      <c r="A2253" s="1860">
        <v>3</v>
      </c>
      <c r="B2253" s="1860"/>
      <c r="C2253" s="1860"/>
      <c r="D2253" s="1860"/>
      <c r="E2253" s="1839"/>
      <c r="F2253" s="1841"/>
      <c r="G2253" s="1891"/>
      <c r="H2253" s="1598">
        <f>'Budget assumption'!$C$4</f>
        <v>2000</v>
      </c>
      <c r="I2253" s="1646"/>
      <c r="J2253" s="40" t="s">
        <v>134</v>
      </c>
      <c r="K2253" s="91"/>
      <c r="L2253" s="364">
        <v>0</v>
      </c>
      <c r="M2253" s="364">
        <v>0</v>
      </c>
      <c r="N2253" s="364">
        <v>0</v>
      </c>
      <c r="O2253" s="364">
        <v>0</v>
      </c>
      <c r="P2253" s="364">
        <v>0</v>
      </c>
      <c r="Q2253" s="1475">
        <f>L2253*$H2253</f>
        <v>0</v>
      </c>
      <c r="R2253" s="1475">
        <f>M2253*$H2253</f>
        <v>0</v>
      </c>
      <c r="S2253" s="1475">
        <f>N2253*$H2253</f>
        <v>0</v>
      </c>
      <c r="T2253" s="1475">
        <f>O2253*$H2253</f>
        <v>0</v>
      </c>
      <c r="U2253" s="1475">
        <f>P2253*$H2253</f>
        <v>0</v>
      </c>
      <c r="V2253" s="1475">
        <f t="shared" si="1085"/>
        <v>0</v>
      </c>
    </row>
    <row r="2254" spans="1:22" s="99" customFormat="1" ht="24" customHeight="1">
      <c r="A2254" s="1860">
        <v>3</v>
      </c>
      <c r="B2254" s="1860"/>
      <c r="C2254" s="1860"/>
      <c r="D2254" s="1860"/>
      <c r="E2254" s="1839"/>
      <c r="F2254" s="1841"/>
      <c r="G2254" s="1891"/>
      <c r="H2254" s="1599"/>
      <c r="I2254" s="1646"/>
      <c r="J2254" s="40" t="s">
        <v>82</v>
      </c>
      <c r="K2254" s="91"/>
      <c r="L2254" s="364">
        <f>L2248*0.7</f>
        <v>125.99999999999999</v>
      </c>
      <c r="M2254" s="364">
        <f t="shared" ref="M2254:N2254" si="1096">M2248*0.7</f>
        <v>125.99999999999999</v>
      </c>
      <c r="N2254" s="364">
        <f t="shared" si="1096"/>
        <v>125.99999999999999</v>
      </c>
      <c r="O2254" s="364">
        <v>0</v>
      </c>
      <c r="P2254" s="364">
        <v>0</v>
      </c>
      <c r="Q2254" s="1475">
        <f>L2254*$H2253</f>
        <v>251999.99999999997</v>
      </c>
      <c r="R2254" s="1475">
        <f>M2254*$H2253</f>
        <v>251999.99999999997</v>
      </c>
      <c r="S2254" s="1475">
        <f>N2254*$H2253</f>
        <v>251999.99999999997</v>
      </c>
      <c r="T2254" s="1475">
        <f>O2254*$H2253</f>
        <v>0</v>
      </c>
      <c r="U2254" s="1475">
        <f>P2254*$H2253</f>
        <v>0</v>
      </c>
      <c r="V2254" s="1475">
        <f t="shared" si="1085"/>
        <v>755999.99999999988</v>
      </c>
    </row>
    <row r="2255" spans="1:22" s="99" customFormat="1" ht="24" customHeight="1">
      <c r="A2255" s="1860">
        <v>3</v>
      </c>
      <c r="B2255" s="1860"/>
      <c r="C2255" s="1860"/>
      <c r="D2255" s="1860"/>
      <c r="E2255" s="1839"/>
      <c r="F2255" s="1841"/>
      <c r="G2255" s="1891"/>
      <c r="H2255" s="1599"/>
      <c r="I2255" s="1646"/>
      <c r="J2255" s="40" t="s">
        <v>90</v>
      </c>
      <c r="K2255" s="91"/>
      <c r="L2255" s="364">
        <f>L2248*0.3</f>
        <v>54</v>
      </c>
      <c r="M2255" s="364">
        <f t="shared" ref="M2255:N2255" si="1097">M2248*0.3</f>
        <v>54</v>
      </c>
      <c r="N2255" s="364">
        <f t="shared" si="1097"/>
        <v>54</v>
      </c>
      <c r="O2255" s="364">
        <v>0</v>
      </c>
      <c r="P2255" s="364">
        <v>0</v>
      </c>
      <c r="Q2255" s="1475">
        <f>L2255*$H2253</f>
        <v>108000</v>
      </c>
      <c r="R2255" s="1475">
        <f>M2255*$H2253</f>
        <v>108000</v>
      </c>
      <c r="S2255" s="1475">
        <f>N2255*$H2253</f>
        <v>108000</v>
      </c>
      <c r="T2255" s="1475">
        <f>O2255*$H2253</f>
        <v>0</v>
      </c>
      <c r="U2255" s="1475">
        <f>P2255*$H2253</f>
        <v>0</v>
      </c>
      <c r="V2255" s="1475">
        <f t="shared" si="1085"/>
        <v>324000</v>
      </c>
    </row>
    <row r="2256" spans="1:22" s="99" customFormat="1" ht="24" customHeight="1">
      <c r="A2256" s="1860">
        <v>3</v>
      </c>
      <c r="B2256" s="1860"/>
      <c r="C2256" s="1860"/>
      <c r="D2256" s="1860"/>
      <c r="E2256" s="1839"/>
      <c r="F2256" s="1841"/>
      <c r="G2256" s="1891"/>
      <c r="H2256" s="1599"/>
      <c r="I2256" s="1646"/>
      <c r="J2256" s="40" t="s">
        <v>83</v>
      </c>
      <c r="K2256" s="91"/>
      <c r="L2256" s="364">
        <v>0</v>
      </c>
      <c r="M2256" s="364">
        <v>0</v>
      </c>
      <c r="N2256" s="364">
        <v>0</v>
      </c>
      <c r="O2256" s="364">
        <v>0</v>
      </c>
      <c r="P2256" s="364">
        <v>0</v>
      </c>
      <c r="Q2256" s="1475">
        <f>L2256*$H2253</f>
        <v>0</v>
      </c>
      <c r="R2256" s="1475">
        <f>M2256*$H2253</f>
        <v>0</v>
      </c>
      <c r="S2256" s="1475">
        <f>N2256*$H2253</f>
        <v>0</v>
      </c>
      <c r="T2256" s="1475">
        <f>O2256*$H2253</f>
        <v>0</v>
      </c>
      <c r="U2256" s="1475">
        <f>P2256*$H2253</f>
        <v>0</v>
      </c>
      <c r="V2256" s="1475">
        <f t="shared" si="1085"/>
        <v>0</v>
      </c>
    </row>
    <row r="2257" spans="1:22" s="99" customFormat="1" ht="24" customHeight="1">
      <c r="A2257" s="1860">
        <v>3</v>
      </c>
      <c r="B2257" s="1860"/>
      <c r="C2257" s="1860"/>
      <c r="D2257" s="1860"/>
      <c r="E2257" s="1839"/>
      <c r="F2257" s="1841"/>
      <c r="G2257" s="1984"/>
      <c r="H2257" s="1600"/>
      <c r="I2257" s="1996"/>
      <c r="J2257" s="40" t="s">
        <v>84</v>
      </c>
      <c r="K2257" s="91"/>
      <c r="L2257" s="364">
        <f t="shared" ref="L2257:U2257" si="1098">L2248-L2249</f>
        <v>0</v>
      </c>
      <c r="M2257" s="364">
        <f t="shared" si="1098"/>
        <v>0</v>
      </c>
      <c r="N2257" s="364">
        <f t="shared" si="1098"/>
        <v>0</v>
      </c>
      <c r="O2257" s="364">
        <f t="shared" si="1098"/>
        <v>180</v>
      </c>
      <c r="P2257" s="364">
        <f t="shared" si="1098"/>
        <v>180</v>
      </c>
      <c r="Q2257" s="1475">
        <f t="shared" si="1098"/>
        <v>0</v>
      </c>
      <c r="R2257" s="1475">
        <f t="shared" si="1098"/>
        <v>0</v>
      </c>
      <c r="S2257" s="1475">
        <f t="shared" si="1098"/>
        <v>0</v>
      </c>
      <c r="T2257" s="1475">
        <f t="shared" si="1098"/>
        <v>360000</v>
      </c>
      <c r="U2257" s="1475">
        <f t="shared" si="1098"/>
        <v>360000</v>
      </c>
      <c r="V2257" s="1475">
        <f t="shared" si="1085"/>
        <v>720000</v>
      </c>
    </row>
    <row r="2258" spans="1:22" s="99" customFormat="1" ht="24" customHeight="1">
      <c r="A2258" s="1860">
        <v>3</v>
      </c>
      <c r="B2258" s="1860">
        <v>7</v>
      </c>
      <c r="C2258" s="1860">
        <v>2</v>
      </c>
      <c r="D2258" s="1860">
        <v>3</v>
      </c>
      <c r="E2258" s="1839" t="s">
        <v>15</v>
      </c>
      <c r="F2258" s="1841" t="str">
        <f>CONCATENATE(A2258,".",B2258,".",C2258,".",D2258,)</f>
        <v>3.7.2.3</v>
      </c>
      <c r="G2258" s="1983" t="s">
        <v>260</v>
      </c>
      <c r="H2258" s="1601" t="s">
        <v>142</v>
      </c>
      <c r="I2258" s="1991" t="s">
        <v>1179</v>
      </c>
      <c r="J2258" s="36" t="s">
        <v>79</v>
      </c>
      <c r="K2258" s="896"/>
      <c r="L2258" s="383">
        <v>1</v>
      </c>
      <c r="M2258" s="383">
        <v>1</v>
      </c>
      <c r="N2258" s="383">
        <v>1</v>
      </c>
      <c r="O2258" s="383">
        <v>1</v>
      </c>
      <c r="P2258" s="383">
        <v>1</v>
      </c>
      <c r="Q2258" s="1475">
        <f>L2258*H2263</f>
        <v>44841.3</v>
      </c>
      <c r="R2258" s="1475">
        <f>M2258*H2263</f>
        <v>44841.3</v>
      </c>
      <c r="S2258" s="1475">
        <f>N2258*H2263</f>
        <v>44841.3</v>
      </c>
      <c r="T2258" s="1475">
        <f>O2258*H2263</f>
        <v>44841.3</v>
      </c>
      <c r="U2258" s="1475">
        <f>P2258*H2263</f>
        <v>44841.3</v>
      </c>
      <c r="V2258" s="1475">
        <f t="shared" si="1085"/>
        <v>224206.5</v>
      </c>
    </row>
    <row r="2259" spans="1:22" s="99" customFormat="1" ht="24" customHeight="1">
      <c r="A2259" s="1860">
        <v>3</v>
      </c>
      <c r="B2259" s="1860"/>
      <c r="C2259" s="1860"/>
      <c r="D2259" s="1860"/>
      <c r="E2259" s="1839"/>
      <c r="F2259" s="1841"/>
      <c r="G2259" s="1891"/>
      <c r="H2259" s="1601"/>
      <c r="I2259" s="1992"/>
      <c r="J2259" s="40" t="s">
        <v>80</v>
      </c>
      <c r="K2259" s="91"/>
      <c r="L2259" s="364">
        <f t="shared" ref="L2259:U2259" si="1099">SUM(L2260:L2266)</f>
        <v>1</v>
      </c>
      <c r="M2259" s="364">
        <f t="shared" si="1099"/>
        <v>1</v>
      </c>
      <c r="N2259" s="364">
        <f t="shared" si="1099"/>
        <v>1</v>
      </c>
      <c r="O2259" s="364">
        <f t="shared" si="1099"/>
        <v>0</v>
      </c>
      <c r="P2259" s="364">
        <f t="shared" si="1099"/>
        <v>0</v>
      </c>
      <c r="Q2259" s="1475">
        <f t="shared" si="1099"/>
        <v>44841.3</v>
      </c>
      <c r="R2259" s="1475">
        <f t="shared" si="1099"/>
        <v>44841.3</v>
      </c>
      <c r="S2259" s="1475">
        <f t="shared" si="1099"/>
        <v>44841.3</v>
      </c>
      <c r="T2259" s="1475">
        <f t="shared" si="1099"/>
        <v>0</v>
      </c>
      <c r="U2259" s="1475">
        <f t="shared" si="1099"/>
        <v>0</v>
      </c>
      <c r="V2259" s="1475">
        <f t="shared" si="1085"/>
        <v>134523.90000000002</v>
      </c>
    </row>
    <row r="2260" spans="1:22" s="99" customFormat="1" ht="24" customHeight="1">
      <c r="A2260" s="1860">
        <v>3</v>
      </c>
      <c r="B2260" s="1860"/>
      <c r="C2260" s="1860"/>
      <c r="D2260" s="1860"/>
      <c r="E2260" s="1839"/>
      <c r="F2260" s="1841"/>
      <c r="G2260" s="1891"/>
      <c r="H2260" s="1601"/>
      <c r="I2260" s="1992"/>
      <c r="J2260" s="40" t="s">
        <v>429</v>
      </c>
      <c r="K2260" s="91"/>
      <c r="L2260" s="364">
        <v>0</v>
      </c>
      <c r="M2260" s="364">
        <v>0</v>
      </c>
      <c r="N2260" s="364">
        <v>0</v>
      </c>
      <c r="O2260" s="364">
        <v>0</v>
      </c>
      <c r="P2260" s="364">
        <v>0</v>
      </c>
      <c r="Q2260" s="1475">
        <f>L2260*$H2263</f>
        <v>0</v>
      </c>
      <c r="R2260" s="1475">
        <f>M2260*$H2263</f>
        <v>0</v>
      </c>
      <c r="S2260" s="1475">
        <f>N2260*$H2263</f>
        <v>0</v>
      </c>
      <c r="T2260" s="1475">
        <f>O2260*$H2263</f>
        <v>0</v>
      </c>
      <c r="U2260" s="1475">
        <f>P2260*$H2263</f>
        <v>0</v>
      </c>
      <c r="V2260" s="1475">
        <f t="shared" si="1085"/>
        <v>0</v>
      </c>
    </row>
    <row r="2261" spans="1:22" s="99" customFormat="1" ht="24" customHeight="1">
      <c r="A2261" s="1860">
        <v>3</v>
      </c>
      <c r="B2261" s="1860"/>
      <c r="C2261" s="1860"/>
      <c r="D2261" s="1860"/>
      <c r="E2261" s="1839"/>
      <c r="F2261" s="1841"/>
      <c r="G2261" s="1891"/>
      <c r="H2261" s="1601"/>
      <c r="I2261" s="1992"/>
      <c r="J2261" s="40" t="s">
        <v>133</v>
      </c>
      <c r="K2261" s="91"/>
      <c r="L2261" s="364">
        <v>0</v>
      </c>
      <c r="M2261" s="364">
        <v>0</v>
      </c>
      <c r="N2261" s="364">
        <v>0</v>
      </c>
      <c r="O2261" s="364">
        <v>0</v>
      </c>
      <c r="P2261" s="364">
        <v>0</v>
      </c>
      <c r="Q2261" s="1475">
        <f>L2261*$H2263</f>
        <v>0</v>
      </c>
      <c r="R2261" s="1475">
        <f>M2261*$H2263</f>
        <v>0</v>
      </c>
      <c r="S2261" s="1475">
        <f>N2261*$H2263</f>
        <v>0</v>
      </c>
      <c r="T2261" s="1475">
        <f>O2261*$H2263</f>
        <v>0</v>
      </c>
      <c r="U2261" s="1475">
        <f>P2261*$H2263</f>
        <v>0</v>
      </c>
      <c r="V2261" s="1475">
        <f t="shared" si="1085"/>
        <v>0</v>
      </c>
    </row>
    <row r="2262" spans="1:22" s="99" customFormat="1" ht="24" customHeight="1">
      <c r="A2262" s="1860">
        <v>3</v>
      </c>
      <c r="B2262" s="1860"/>
      <c r="C2262" s="1860"/>
      <c r="D2262" s="1860"/>
      <c r="E2262" s="1839"/>
      <c r="F2262" s="1841"/>
      <c r="G2262" s="1891"/>
      <c r="H2262" s="1601"/>
      <c r="I2262" s="1992"/>
      <c r="J2262" s="40" t="s">
        <v>81</v>
      </c>
      <c r="K2262" s="91"/>
      <c r="L2262" s="364">
        <v>0</v>
      </c>
      <c r="M2262" s="364">
        <v>0</v>
      </c>
      <c r="N2262" s="364">
        <v>0</v>
      </c>
      <c r="O2262" s="364">
        <v>0</v>
      </c>
      <c r="P2262" s="364">
        <v>0</v>
      </c>
      <c r="Q2262" s="1475">
        <f>L2262*$H2263</f>
        <v>0</v>
      </c>
      <c r="R2262" s="1475">
        <f>M2262*$H2263</f>
        <v>0</v>
      </c>
      <c r="S2262" s="1475">
        <f>N2262*$H2263</f>
        <v>0</v>
      </c>
      <c r="T2262" s="1475">
        <f>O2262*$H2263</f>
        <v>0</v>
      </c>
      <c r="U2262" s="1475">
        <f>P2262*$H2263</f>
        <v>0</v>
      </c>
      <c r="V2262" s="1475">
        <f t="shared" si="1085"/>
        <v>0</v>
      </c>
    </row>
    <row r="2263" spans="1:22" s="99" customFormat="1" ht="24" customHeight="1">
      <c r="A2263" s="1860">
        <v>3</v>
      </c>
      <c r="B2263" s="1860"/>
      <c r="C2263" s="1860"/>
      <c r="D2263" s="1860"/>
      <c r="E2263" s="1839"/>
      <c r="F2263" s="1841"/>
      <c r="G2263" s="1891"/>
      <c r="H2263" s="1595">
        <f>'Budget assumption'!H43</f>
        <v>44841.3</v>
      </c>
      <c r="I2263" s="1992"/>
      <c r="J2263" s="40" t="s">
        <v>134</v>
      </c>
      <c r="K2263" s="91"/>
      <c r="L2263" s="364">
        <v>0</v>
      </c>
      <c r="M2263" s="364">
        <v>0</v>
      </c>
      <c r="N2263" s="364">
        <v>0</v>
      </c>
      <c r="O2263" s="364">
        <v>0</v>
      </c>
      <c r="P2263" s="364">
        <v>0</v>
      </c>
      <c r="Q2263" s="1475">
        <f>L2263*$H2263</f>
        <v>0</v>
      </c>
      <c r="R2263" s="1475">
        <f>M2263*$H2263</f>
        <v>0</v>
      </c>
      <c r="S2263" s="1475">
        <f>N2263*$H2263</f>
        <v>0</v>
      </c>
      <c r="T2263" s="1475">
        <f>O2263*$H2263</f>
        <v>0</v>
      </c>
      <c r="U2263" s="1475">
        <f>P2263*$H2263</f>
        <v>0</v>
      </c>
      <c r="V2263" s="1475">
        <f t="shared" si="1085"/>
        <v>0</v>
      </c>
    </row>
    <row r="2264" spans="1:22" s="99" customFormat="1" ht="24" customHeight="1">
      <c r="A2264" s="1860">
        <v>3</v>
      </c>
      <c r="B2264" s="1860"/>
      <c r="C2264" s="1860"/>
      <c r="D2264" s="1860"/>
      <c r="E2264" s="1839"/>
      <c r="F2264" s="1841"/>
      <c r="G2264" s="1891"/>
      <c r="H2264" s="1596"/>
      <c r="I2264" s="1992"/>
      <c r="J2264" s="40" t="s">
        <v>82</v>
      </c>
      <c r="K2264" s="91"/>
      <c r="L2264" s="364">
        <v>1</v>
      </c>
      <c r="M2264" s="364">
        <v>1</v>
      </c>
      <c r="N2264" s="364">
        <v>1</v>
      </c>
      <c r="O2264" s="364">
        <v>0</v>
      </c>
      <c r="P2264" s="364">
        <v>0</v>
      </c>
      <c r="Q2264" s="1475">
        <f>L2264*$H2263</f>
        <v>44841.3</v>
      </c>
      <c r="R2264" s="1475">
        <f>M2264*$H2263</f>
        <v>44841.3</v>
      </c>
      <c r="S2264" s="1475">
        <f>N2264*$H2263</f>
        <v>44841.3</v>
      </c>
      <c r="T2264" s="1475">
        <f>O2264*$H2263</f>
        <v>0</v>
      </c>
      <c r="U2264" s="1475">
        <f>P2264*$H2263</f>
        <v>0</v>
      </c>
      <c r="V2264" s="1475">
        <f t="shared" si="1085"/>
        <v>134523.90000000002</v>
      </c>
    </row>
    <row r="2265" spans="1:22" s="99" customFormat="1" ht="24" customHeight="1">
      <c r="A2265" s="1860">
        <v>3</v>
      </c>
      <c r="B2265" s="1860"/>
      <c r="C2265" s="1860"/>
      <c r="D2265" s="1860"/>
      <c r="E2265" s="1839"/>
      <c r="F2265" s="1841"/>
      <c r="G2265" s="1891"/>
      <c r="H2265" s="1596"/>
      <c r="I2265" s="1992"/>
      <c r="J2265" s="40" t="s">
        <v>90</v>
      </c>
      <c r="K2265" s="91"/>
      <c r="L2265" s="364">
        <v>0</v>
      </c>
      <c r="M2265" s="364">
        <v>0</v>
      </c>
      <c r="N2265" s="364">
        <v>0</v>
      </c>
      <c r="O2265" s="364">
        <v>0</v>
      </c>
      <c r="P2265" s="364">
        <v>0</v>
      </c>
      <c r="Q2265" s="1475">
        <f>L2265*$H2263</f>
        <v>0</v>
      </c>
      <c r="R2265" s="1475">
        <f>M2265*$H2263</f>
        <v>0</v>
      </c>
      <c r="S2265" s="1475">
        <f>N2265*$H2263</f>
        <v>0</v>
      </c>
      <c r="T2265" s="1475">
        <f>O2265*$H2263</f>
        <v>0</v>
      </c>
      <c r="U2265" s="1475">
        <f>P2265*$H2263</f>
        <v>0</v>
      </c>
      <c r="V2265" s="1475">
        <f t="shared" si="1085"/>
        <v>0</v>
      </c>
    </row>
    <row r="2266" spans="1:22" s="99" customFormat="1" ht="24" customHeight="1">
      <c r="A2266" s="1860">
        <v>3</v>
      </c>
      <c r="B2266" s="1860"/>
      <c r="C2266" s="1860"/>
      <c r="D2266" s="1860"/>
      <c r="E2266" s="1839"/>
      <c r="F2266" s="1841"/>
      <c r="G2266" s="1891"/>
      <c r="H2266" s="1596"/>
      <c r="I2266" s="1992"/>
      <c r="J2266" s="40" t="s">
        <v>83</v>
      </c>
      <c r="K2266" s="91"/>
      <c r="L2266" s="364">
        <v>0</v>
      </c>
      <c r="M2266" s="364">
        <v>0</v>
      </c>
      <c r="N2266" s="364">
        <v>0</v>
      </c>
      <c r="O2266" s="364">
        <v>0</v>
      </c>
      <c r="P2266" s="364">
        <v>0</v>
      </c>
      <c r="Q2266" s="1475">
        <f>L2266*$H2263</f>
        <v>0</v>
      </c>
      <c r="R2266" s="1475">
        <f>M2266*$H2263</f>
        <v>0</v>
      </c>
      <c r="S2266" s="1475">
        <f>N2266*$H2263</f>
        <v>0</v>
      </c>
      <c r="T2266" s="1475">
        <f>O2266*$H2263</f>
        <v>0</v>
      </c>
      <c r="U2266" s="1475">
        <f>P2266*$H2263</f>
        <v>0</v>
      </c>
      <c r="V2266" s="1475">
        <f t="shared" si="1085"/>
        <v>0</v>
      </c>
    </row>
    <row r="2267" spans="1:22" s="99" customFormat="1" ht="24" customHeight="1">
      <c r="A2267" s="1860">
        <v>3</v>
      </c>
      <c r="B2267" s="1860"/>
      <c r="C2267" s="1860"/>
      <c r="D2267" s="1860"/>
      <c r="E2267" s="1839"/>
      <c r="F2267" s="1841"/>
      <c r="G2267" s="1984"/>
      <c r="H2267" s="1618"/>
      <c r="I2267" s="1993"/>
      <c r="J2267" s="40" t="s">
        <v>84</v>
      </c>
      <c r="K2267" s="91"/>
      <c r="L2267" s="364">
        <f t="shared" ref="L2267:U2267" si="1100">L2258-L2259</f>
        <v>0</v>
      </c>
      <c r="M2267" s="364">
        <f t="shared" si="1100"/>
        <v>0</v>
      </c>
      <c r="N2267" s="364">
        <f t="shared" si="1100"/>
        <v>0</v>
      </c>
      <c r="O2267" s="364">
        <f t="shared" si="1100"/>
        <v>1</v>
      </c>
      <c r="P2267" s="364">
        <f t="shared" si="1100"/>
        <v>1</v>
      </c>
      <c r="Q2267" s="1475">
        <f t="shared" si="1100"/>
        <v>0</v>
      </c>
      <c r="R2267" s="1475">
        <f t="shared" si="1100"/>
        <v>0</v>
      </c>
      <c r="S2267" s="1475">
        <f t="shared" si="1100"/>
        <v>0</v>
      </c>
      <c r="T2267" s="1475">
        <f t="shared" si="1100"/>
        <v>44841.3</v>
      </c>
      <c r="U2267" s="1475">
        <f t="shared" si="1100"/>
        <v>44841.3</v>
      </c>
      <c r="V2267" s="1475">
        <f t="shared" si="1085"/>
        <v>89682.6</v>
      </c>
    </row>
    <row r="2268" spans="1:22" s="99" customFormat="1" ht="24" customHeight="1">
      <c r="A2268" s="1860">
        <v>3</v>
      </c>
      <c r="B2268" s="1860">
        <v>7</v>
      </c>
      <c r="C2268" s="1860">
        <v>2</v>
      </c>
      <c r="D2268" s="1860">
        <v>4</v>
      </c>
      <c r="E2268" s="1839" t="s">
        <v>15</v>
      </c>
      <c r="F2268" s="1841" t="str">
        <f>CONCATENATE(A2268,".",B2268,".",C2268,".",D2268,)</f>
        <v>3.7.2.4</v>
      </c>
      <c r="G2268" s="1983" t="s">
        <v>259</v>
      </c>
      <c r="H2268" s="1601" t="s">
        <v>195</v>
      </c>
      <c r="I2268" s="1645" t="s">
        <v>474</v>
      </c>
      <c r="J2268" s="36" t="s">
        <v>79</v>
      </c>
      <c r="K2268" s="896"/>
      <c r="L2268" s="383">
        <v>120</v>
      </c>
      <c r="M2268" s="383">
        <v>120</v>
      </c>
      <c r="N2268" s="383">
        <v>120</v>
      </c>
      <c r="O2268" s="383">
        <v>120</v>
      </c>
      <c r="P2268" s="383">
        <v>120</v>
      </c>
      <c r="Q2268" s="1475">
        <f>L2268*H2273</f>
        <v>240000</v>
      </c>
      <c r="R2268" s="1475">
        <f>M2268*H2273</f>
        <v>240000</v>
      </c>
      <c r="S2268" s="1475">
        <f>N2268*H2273</f>
        <v>240000</v>
      </c>
      <c r="T2268" s="1475">
        <f>O2268*H2273</f>
        <v>240000</v>
      </c>
      <c r="U2268" s="1475">
        <f>P2268*H2273</f>
        <v>240000</v>
      </c>
      <c r="V2268" s="1475">
        <f t="shared" si="1085"/>
        <v>1200000</v>
      </c>
    </row>
    <row r="2269" spans="1:22" s="99" customFormat="1" ht="24" customHeight="1">
      <c r="A2269" s="1860">
        <v>3</v>
      </c>
      <c r="B2269" s="1860"/>
      <c r="C2269" s="1860"/>
      <c r="D2269" s="1860"/>
      <c r="E2269" s="1839"/>
      <c r="F2269" s="1841"/>
      <c r="G2269" s="1891"/>
      <c r="H2269" s="1601"/>
      <c r="I2269" s="1646"/>
      <c r="J2269" s="40" t="s">
        <v>80</v>
      </c>
      <c r="K2269" s="91"/>
      <c r="L2269" s="364">
        <f t="shared" ref="L2269:U2269" si="1101">SUM(L2270:L2276)</f>
        <v>120</v>
      </c>
      <c r="M2269" s="364">
        <f t="shared" si="1101"/>
        <v>120</v>
      </c>
      <c r="N2269" s="364">
        <f t="shared" si="1101"/>
        <v>120</v>
      </c>
      <c r="O2269" s="364">
        <f t="shared" si="1101"/>
        <v>0</v>
      </c>
      <c r="P2269" s="364">
        <f t="shared" si="1101"/>
        <v>0</v>
      </c>
      <c r="Q2269" s="1475">
        <f t="shared" si="1101"/>
        <v>240000</v>
      </c>
      <c r="R2269" s="1475">
        <f t="shared" si="1101"/>
        <v>240000</v>
      </c>
      <c r="S2269" s="1475">
        <f t="shared" si="1101"/>
        <v>240000</v>
      </c>
      <c r="T2269" s="1475">
        <f t="shared" si="1101"/>
        <v>0</v>
      </c>
      <c r="U2269" s="1475">
        <f t="shared" si="1101"/>
        <v>0</v>
      </c>
      <c r="V2269" s="1475">
        <f t="shared" si="1085"/>
        <v>720000</v>
      </c>
    </row>
    <row r="2270" spans="1:22" s="99" customFormat="1" ht="24" customHeight="1">
      <c r="A2270" s="1860">
        <v>3</v>
      </c>
      <c r="B2270" s="1860"/>
      <c r="C2270" s="1860"/>
      <c r="D2270" s="1860"/>
      <c r="E2270" s="1839"/>
      <c r="F2270" s="1841"/>
      <c r="G2270" s="1891"/>
      <c r="H2270" s="1601"/>
      <c r="I2270" s="1646"/>
      <c r="J2270" s="40" t="s">
        <v>429</v>
      </c>
      <c r="K2270" s="91"/>
      <c r="L2270" s="364">
        <v>0</v>
      </c>
      <c r="M2270" s="364">
        <v>0</v>
      </c>
      <c r="N2270" s="364">
        <v>0</v>
      </c>
      <c r="O2270" s="364">
        <v>0</v>
      </c>
      <c r="P2270" s="364">
        <v>0</v>
      </c>
      <c r="Q2270" s="1475">
        <f>L2270*$H2273</f>
        <v>0</v>
      </c>
      <c r="R2270" s="1475">
        <f>M2270*$H2273</f>
        <v>0</v>
      </c>
      <c r="S2270" s="1475">
        <f>N2270*$H2273</f>
        <v>0</v>
      </c>
      <c r="T2270" s="1475">
        <f>O2270*$H2273</f>
        <v>0</v>
      </c>
      <c r="U2270" s="1475">
        <f>P2270*$H2273</f>
        <v>0</v>
      </c>
      <c r="V2270" s="1475">
        <f t="shared" si="1085"/>
        <v>0</v>
      </c>
    </row>
    <row r="2271" spans="1:22" s="99" customFormat="1" ht="24" customHeight="1">
      <c r="A2271" s="1860">
        <v>3</v>
      </c>
      <c r="B2271" s="1860"/>
      <c r="C2271" s="1860"/>
      <c r="D2271" s="1860"/>
      <c r="E2271" s="1839"/>
      <c r="F2271" s="1841"/>
      <c r="G2271" s="1891"/>
      <c r="H2271" s="1601"/>
      <c r="I2271" s="1646"/>
      <c r="J2271" s="40" t="s">
        <v>133</v>
      </c>
      <c r="K2271" s="91"/>
      <c r="L2271" s="364">
        <v>0</v>
      </c>
      <c r="M2271" s="364">
        <v>0</v>
      </c>
      <c r="N2271" s="364">
        <v>0</v>
      </c>
      <c r="O2271" s="364">
        <v>0</v>
      </c>
      <c r="P2271" s="364">
        <v>0</v>
      </c>
      <c r="Q2271" s="1475">
        <f>L2271*$H2273</f>
        <v>0</v>
      </c>
      <c r="R2271" s="1475">
        <f>M2271*$H2273</f>
        <v>0</v>
      </c>
      <c r="S2271" s="1475">
        <f>N2271*$H2273</f>
        <v>0</v>
      </c>
      <c r="T2271" s="1475">
        <f>O2271*$H2273</f>
        <v>0</v>
      </c>
      <c r="U2271" s="1475">
        <f>P2271*$H2273</f>
        <v>0</v>
      </c>
      <c r="V2271" s="1475">
        <f t="shared" si="1085"/>
        <v>0</v>
      </c>
    </row>
    <row r="2272" spans="1:22" s="99" customFormat="1" ht="24" customHeight="1">
      <c r="A2272" s="1860">
        <v>3</v>
      </c>
      <c r="B2272" s="1860"/>
      <c r="C2272" s="1860"/>
      <c r="D2272" s="1860"/>
      <c r="E2272" s="1839"/>
      <c r="F2272" s="1841"/>
      <c r="G2272" s="1891"/>
      <c r="H2272" s="1601"/>
      <c r="I2272" s="1646"/>
      <c r="J2272" s="40" t="s">
        <v>81</v>
      </c>
      <c r="K2272" s="91"/>
      <c r="L2272" s="364">
        <v>0</v>
      </c>
      <c r="M2272" s="364">
        <v>0</v>
      </c>
      <c r="N2272" s="364">
        <v>0</v>
      </c>
      <c r="O2272" s="364">
        <v>0</v>
      </c>
      <c r="P2272" s="364">
        <v>0</v>
      </c>
      <c r="Q2272" s="1475">
        <f>L2272*$H2273</f>
        <v>0</v>
      </c>
      <c r="R2272" s="1475">
        <f>M2272*$H2273</f>
        <v>0</v>
      </c>
      <c r="S2272" s="1475">
        <f>N2272*$H2273</f>
        <v>0</v>
      </c>
      <c r="T2272" s="1475">
        <f>O2272*$H2273</f>
        <v>0</v>
      </c>
      <c r="U2272" s="1475">
        <f>P2272*$H2273</f>
        <v>0</v>
      </c>
      <c r="V2272" s="1475">
        <f t="shared" si="1085"/>
        <v>0</v>
      </c>
    </row>
    <row r="2273" spans="1:22" s="99" customFormat="1" ht="24" customHeight="1">
      <c r="A2273" s="1860">
        <v>3</v>
      </c>
      <c r="B2273" s="1860"/>
      <c r="C2273" s="1860"/>
      <c r="D2273" s="1860"/>
      <c r="E2273" s="1839"/>
      <c r="F2273" s="1841"/>
      <c r="G2273" s="1891"/>
      <c r="H2273" s="1595">
        <f>'Budget assumption'!$C$4</f>
        <v>2000</v>
      </c>
      <c r="I2273" s="1646"/>
      <c r="J2273" s="40" t="s">
        <v>134</v>
      </c>
      <c r="K2273" s="91"/>
      <c r="L2273" s="364">
        <v>0</v>
      </c>
      <c r="M2273" s="364">
        <v>0</v>
      </c>
      <c r="N2273" s="364">
        <v>0</v>
      </c>
      <c r="O2273" s="364">
        <v>0</v>
      </c>
      <c r="P2273" s="364">
        <v>0</v>
      </c>
      <c r="Q2273" s="1475">
        <f>L2273*$H2273</f>
        <v>0</v>
      </c>
      <c r="R2273" s="1475">
        <f>M2273*$H2273</f>
        <v>0</v>
      </c>
      <c r="S2273" s="1475">
        <f>N2273*$H2273</f>
        <v>0</v>
      </c>
      <c r="T2273" s="1475">
        <f>O2273*$H2273</f>
        <v>0</v>
      </c>
      <c r="U2273" s="1475">
        <f>P2273*$H2273</f>
        <v>0</v>
      </c>
      <c r="V2273" s="1475">
        <f t="shared" si="1085"/>
        <v>0</v>
      </c>
    </row>
    <row r="2274" spans="1:22" s="99" customFormat="1" ht="24" customHeight="1">
      <c r="A2274" s="1860">
        <v>3</v>
      </c>
      <c r="B2274" s="1860"/>
      <c r="C2274" s="1860"/>
      <c r="D2274" s="1860"/>
      <c r="E2274" s="1839"/>
      <c r="F2274" s="1841"/>
      <c r="G2274" s="1891"/>
      <c r="H2274" s="1596"/>
      <c r="I2274" s="1646"/>
      <c r="J2274" s="40" t="s">
        <v>82</v>
      </c>
      <c r="K2274" s="91"/>
      <c r="L2274" s="364">
        <f>L2268*70%</f>
        <v>84</v>
      </c>
      <c r="M2274" s="364">
        <f t="shared" ref="M2274:N2274" si="1102">M2268*70%</f>
        <v>84</v>
      </c>
      <c r="N2274" s="364">
        <f t="shared" si="1102"/>
        <v>84</v>
      </c>
      <c r="O2274" s="364">
        <v>0</v>
      </c>
      <c r="P2274" s="364">
        <v>0</v>
      </c>
      <c r="Q2274" s="1475">
        <f>L2274*$H2273</f>
        <v>168000</v>
      </c>
      <c r="R2274" s="1475">
        <f>M2274*$H2273</f>
        <v>168000</v>
      </c>
      <c r="S2274" s="1475">
        <f>N2274*$H2273</f>
        <v>168000</v>
      </c>
      <c r="T2274" s="1475">
        <f>O2274*$H2273</f>
        <v>0</v>
      </c>
      <c r="U2274" s="1475">
        <f>P2274*$H2273</f>
        <v>0</v>
      </c>
      <c r="V2274" s="1475">
        <f t="shared" si="1085"/>
        <v>504000</v>
      </c>
    </row>
    <row r="2275" spans="1:22" s="99" customFormat="1" ht="24" customHeight="1">
      <c r="A2275" s="1860">
        <v>3</v>
      </c>
      <c r="B2275" s="1860"/>
      <c r="C2275" s="1860"/>
      <c r="D2275" s="1860"/>
      <c r="E2275" s="1839"/>
      <c r="F2275" s="1841"/>
      <c r="G2275" s="1891"/>
      <c r="H2275" s="1596"/>
      <c r="I2275" s="1646"/>
      <c r="J2275" s="40" t="s">
        <v>90</v>
      </c>
      <c r="K2275" s="91"/>
      <c r="L2275" s="364">
        <f>L2268*30%</f>
        <v>36</v>
      </c>
      <c r="M2275" s="364">
        <f t="shared" ref="M2275:N2275" si="1103">M2268*30%</f>
        <v>36</v>
      </c>
      <c r="N2275" s="364">
        <f t="shared" si="1103"/>
        <v>36</v>
      </c>
      <c r="O2275" s="364">
        <v>0</v>
      </c>
      <c r="P2275" s="364">
        <v>0</v>
      </c>
      <c r="Q2275" s="1475">
        <f>L2275*$H2273</f>
        <v>72000</v>
      </c>
      <c r="R2275" s="1475">
        <f>M2275*$H2273</f>
        <v>72000</v>
      </c>
      <c r="S2275" s="1475">
        <f>N2275*$H2273</f>
        <v>72000</v>
      </c>
      <c r="T2275" s="1475">
        <f>O2275*$H2273</f>
        <v>0</v>
      </c>
      <c r="U2275" s="1475">
        <f>P2275*$H2273</f>
        <v>0</v>
      </c>
      <c r="V2275" s="1475">
        <f t="shared" si="1085"/>
        <v>216000</v>
      </c>
    </row>
    <row r="2276" spans="1:22" s="99" customFormat="1" ht="24" customHeight="1">
      <c r="A2276" s="1860">
        <v>3</v>
      </c>
      <c r="B2276" s="1860"/>
      <c r="C2276" s="1860"/>
      <c r="D2276" s="1860"/>
      <c r="E2276" s="1839"/>
      <c r="F2276" s="1841"/>
      <c r="G2276" s="1891"/>
      <c r="H2276" s="1596"/>
      <c r="I2276" s="1646"/>
      <c r="J2276" s="40" t="s">
        <v>83</v>
      </c>
      <c r="K2276" s="91"/>
      <c r="L2276" s="364">
        <v>0</v>
      </c>
      <c r="M2276" s="364">
        <v>0</v>
      </c>
      <c r="N2276" s="364">
        <v>0</v>
      </c>
      <c r="O2276" s="364">
        <v>0</v>
      </c>
      <c r="P2276" s="364">
        <v>0</v>
      </c>
      <c r="Q2276" s="1475">
        <f>L2276*$H2273</f>
        <v>0</v>
      </c>
      <c r="R2276" s="1475">
        <f>M2276*$H2273</f>
        <v>0</v>
      </c>
      <c r="S2276" s="1475">
        <f>N2276*$H2273</f>
        <v>0</v>
      </c>
      <c r="T2276" s="1475">
        <f>O2276*$H2273</f>
        <v>0</v>
      </c>
      <c r="U2276" s="1475">
        <f>P2276*$H2273</f>
        <v>0</v>
      </c>
      <c r="V2276" s="1475">
        <f t="shared" si="1085"/>
        <v>0</v>
      </c>
    </row>
    <row r="2277" spans="1:22" s="99" customFormat="1" ht="24" customHeight="1">
      <c r="A2277" s="1860">
        <v>3</v>
      </c>
      <c r="B2277" s="1860"/>
      <c r="C2277" s="1860"/>
      <c r="D2277" s="1860"/>
      <c r="E2277" s="1839"/>
      <c r="F2277" s="1841"/>
      <c r="G2277" s="1984"/>
      <c r="H2277" s="1618"/>
      <c r="I2277" s="1996"/>
      <c r="J2277" s="40" t="s">
        <v>84</v>
      </c>
      <c r="K2277" s="91"/>
      <c r="L2277" s="364">
        <f t="shared" ref="L2277:U2277" si="1104">L2268-L2269</f>
        <v>0</v>
      </c>
      <c r="M2277" s="364">
        <f t="shared" si="1104"/>
        <v>0</v>
      </c>
      <c r="N2277" s="364">
        <f t="shared" si="1104"/>
        <v>0</v>
      </c>
      <c r="O2277" s="364">
        <f t="shared" si="1104"/>
        <v>120</v>
      </c>
      <c r="P2277" s="364">
        <f t="shared" si="1104"/>
        <v>120</v>
      </c>
      <c r="Q2277" s="1475">
        <f t="shared" si="1104"/>
        <v>0</v>
      </c>
      <c r="R2277" s="1475">
        <f t="shared" si="1104"/>
        <v>0</v>
      </c>
      <c r="S2277" s="1475">
        <f t="shared" si="1104"/>
        <v>0</v>
      </c>
      <c r="T2277" s="1475">
        <f t="shared" si="1104"/>
        <v>240000</v>
      </c>
      <c r="U2277" s="1475">
        <f t="shared" si="1104"/>
        <v>240000</v>
      </c>
      <c r="V2277" s="1475">
        <f t="shared" si="1085"/>
        <v>480000</v>
      </c>
    </row>
    <row r="2278" spans="1:22" s="99" customFormat="1" ht="24" customHeight="1">
      <c r="A2278" s="73">
        <v>3</v>
      </c>
      <c r="B2278" s="73">
        <v>7</v>
      </c>
      <c r="C2278" s="73">
        <v>3</v>
      </c>
      <c r="D2278" s="73"/>
      <c r="E2278" s="73" t="s">
        <v>15</v>
      </c>
      <c r="F2278" s="973" t="str">
        <f>CONCATENATE(A2278,".",B2278,".",C2278,)</f>
        <v>3.7.3</v>
      </c>
      <c r="G2278" s="1608" t="s">
        <v>64</v>
      </c>
      <c r="H2278" s="1609"/>
      <c r="I2278" s="1609"/>
      <c r="J2278" s="1610"/>
      <c r="K2278" s="948"/>
      <c r="L2278" s="949"/>
      <c r="M2278" s="949"/>
      <c r="N2278" s="949"/>
      <c r="O2278" s="949"/>
      <c r="P2278" s="949"/>
      <c r="Q2278" s="1542">
        <f>Q2280+Q2290+Q2300</f>
        <v>543300</v>
      </c>
      <c r="R2278" s="1542">
        <f t="shared" ref="R2278:U2278" si="1105">R2280+R2290+R2300</f>
        <v>470000</v>
      </c>
      <c r="S2278" s="1542">
        <f t="shared" si="1105"/>
        <v>0</v>
      </c>
      <c r="T2278" s="1542">
        <f t="shared" si="1105"/>
        <v>0</v>
      </c>
      <c r="U2278" s="1542">
        <f t="shared" si="1105"/>
        <v>0</v>
      </c>
      <c r="V2278" s="1542">
        <f>SUM(Q2278:U2278)</f>
        <v>1013300</v>
      </c>
    </row>
    <row r="2279" spans="1:22" s="99" customFormat="1" ht="24" customHeight="1">
      <c r="A2279" s="1860">
        <v>3</v>
      </c>
      <c r="B2279" s="1860">
        <v>7</v>
      </c>
      <c r="C2279" s="1860">
        <v>3</v>
      </c>
      <c r="D2279" s="1860">
        <v>1</v>
      </c>
      <c r="E2279" s="1839" t="s">
        <v>15</v>
      </c>
      <c r="F2279" s="1841" t="str">
        <f>CONCATENATE(A2279,".",B2279,".",C2279,".",D2279,)</f>
        <v>3.7.3.1</v>
      </c>
      <c r="G2279" s="1983" t="s">
        <v>261</v>
      </c>
      <c r="H2279" s="1817" t="s">
        <v>147</v>
      </c>
      <c r="I2279" s="1985" t="s">
        <v>1145</v>
      </c>
      <c r="J2279" s="36" t="s">
        <v>79</v>
      </c>
      <c r="K2279" s="896"/>
      <c r="L2279" s="383">
        <v>1</v>
      </c>
      <c r="M2279" s="383">
        <v>0</v>
      </c>
      <c r="N2279" s="383">
        <v>0</v>
      </c>
      <c r="O2279" s="383">
        <v>1</v>
      </c>
      <c r="P2279" s="383">
        <v>0</v>
      </c>
      <c r="Q2279" s="1475">
        <f>L2279*H2284</f>
        <v>350000</v>
      </c>
      <c r="R2279" s="1475">
        <f>M2279*H2284</f>
        <v>0</v>
      </c>
      <c r="S2279" s="1475">
        <f>N2279*H2284</f>
        <v>0</v>
      </c>
      <c r="T2279" s="1475">
        <f>O2279*H2284</f>
        <v>350000</v>
      </c>
      <c r="U2279" s="1475">
        <f>P2279*H2284</f>
        <v>0</v>
      </c>
      <c r="V2279" s="1475">
        <f t="shared" ref="V2279:V2308" si="1106">SUM(Q2279:U2279)</f>
        <v>700000</v>
      </c>
    </row>
    <row r="2280" spans="1:22" s="99" customFormat="1" ht="24" customHeight="1">
      <c r="A2280" s="1860">
        <v>3</v>
      </c>
      <c r="B2280" s="1860"/>
      <c r="C2280" s="1860"/>
      <c r="D2280" s="1860"/>
      <c r="E2280" s="1839"/>
      <c r="F2280" s="1841"/>
      <c r="G2280" s="1891"/>
      <c r="H2280" s="1817"/>
      <c r="I2280" s="1812"/>
      <c r="J2280" s="40" t="s">
        <v>80</v>
      </c>
      <c r="K2280" s="91"/>
      <c r="L2280" s="364">
        <f t="shared" ref="L2280:U2280" si="1107">SUM(L2281:L2287)</f>
        <v>1</v>
      </c>
      <c r="M2280" s="364">
        <f t="shared" si="1107"/>
        <v>0</v>
      </c>
      <c r="N2280" s="364">
        <f t="shared" si="1107"/>
        <v>0</v>
      </c>
      <c r="O2280" s="364">
        <f t="shared" si="1107"/>
        <v>0</v>
      </c>
      <c r="P2280" s="364">
        <f t="shared" si="1107"/>
        <v>0</v>
      </c>
      <c r="Q2280" s="1475">
        <f t="shared" si="1107"/>
        <v>350000</v>
      </c>
      <c r="R2280" s="1475">
        <f t="shared" si="1107"/>
        <v>0</v>
      </c>
      <c r="S2280" s="1475">
        <f t="shared" si="1107"/>
        <v>0</v>
      </c>
      <c r="T2280" s="1475">
        <f t="shared" si="1107"/>
        <v>0</v>
      </c>
      <c r="U2280" s="1475">
        <f t="shared" si="1107"/>
        <v>0</v>
      </c>
      <c r="V2280" s="1475">
        <f t="shared" si="1106"/>
        <v>350000</v>
      </c>
    </row>
    <row r="2281" spans="1:22" s="99" customFormat="1" ht="24" customHeight="1">
      <c r="A2281" s="1860">
        <v>3</v>
      </c>
      <c r="B2281" s="1860"/>
      <c r="C2281" s="1860"/>
      <c r="D2281" s="1860"/>
      <c r="E2281" s="1839"/>
      <c r="F2281" s="1841"/>
      <c r="G2281" s="1891"/>
      <c r="H2281" s="1817"/>
      <c r="I2281" s="1812"/>
      <c r="J2281" s="40" t="s">
        <v>429</v>
      </c>
      <c r="K2281" s="91"/>
      <c r="L2281" s="364">
        <v>0</v>
      </c>
      <c r="M2281" s="364">
        <v>0</v>
      </c>
      <c r="N2281" s="364">
        <v>0</v>
      </c>
      <c r="O2281" s="364">
        <v>0</v>
      </c>
      <c r="P2281" s="364">
        <v>0</v>
      </c>
      <c r="Q2281" s="1475">
        <f>L2281*$H2284</f>
        <v>0</v>
      </c>
      <c r="R2281" s="1475">
        <f>M2281*$H2284</f>
        <v>0</v>
      </c>
      <c r="S2281" s="1475">
        <f>N2281*$H2284</f>
        <v>0</v>
      </c>
      <c r="T2281" s="1475">
        <f>O2281*$H2284</f>
        <v>0</v>
      </c>
      <c r="U2281" s="1475">
        <f>P2281*$H2284</f>
        <v>0</v>
      </c>
      <c r="V2281" s="1475">
        <f t="shared" si="1106"/>
        <v>0</v>
      </c>
    </row>
    <row r="2282" spans="1:22" s="99" customFormat="1" ht="24" customHeight="1">
      <c r="A2282" s="1860">
        <v>3</v>
      </c>
      <c r="B2282" s="1860"/>
      <c r="C2282" s="1860"/>
      <c r="D2282" s="1860"/>
      <c r="E2282" s="1839"/>
      <c r="F2282" s="1841"/>
      <c r="G2282" s="1891"/>
      <c r="H2282" s="1817"/>
      <c r="I2282" s="1812"/>
      <c r="J2282" s="40" t="s">
        <v>133</v>
      </c>
      <c r="K2282" s="91"/>
      <c r="L2282" s="364">
        <v>0</v>
      </c>
      <c r="M2282" s="364">
        <v>0</v>
      </c>
      <c r="N2282" s="364">
        <v>0</v>
      </c>
      <c r="O2282" s="364">
        <v>0</v>
      </c>
      <c r="P2282" s="364">
        <v>0</v>
      </c>
      <c r="Q2282" s="1475">
        <f>L2282*$H2284</f>
        <v>0</v>
      </c>
      <c r="R2282" s="1475">
        <f>M2282*$H2284</f>
        <v>0</v>
      </c>
      <c r="S2282" s="1475">
        <f>N2282*$H2284</f>
        <v>0</v>
      </c>
      <c r="T2282" s="1475">
        <f>O2282*$H2284</f>
        <v>0</v>
      </c>
      <c r="U2282" s="1475">
        <f>P2282*$H2284</f>
        <v>0</v>
      </c>
      <c r="V2282" s="1475">
        <f t="shared" si="1106"/>
        <v>0</v>
      </c>
    </row>
    <row r="2283" spans="1:22" s="99" customFormat="1" ht="24" customHeight="1">
      <c r="A2283" s="1860">
        <v>3</v>
      </c>
      <c r="B2283" s="1860"/>
      <c r="C2283" s="1860"/>
      <c r="D2283" s="1860"/>
      <c r="E2283" s="1839"/>
      <c r="F2283" s="1841"/>
      <c r="G2283" s="1891"/>
      <c r="H2283" s="1817"/>
      <c r="I2283" s="1812"/>
      <c r="J2283" s="40" t="s">
        <v>81</v>
      </c>
      <c r="K2283" s="91"/>
      <c r="L2283" s="364">
        <v>0</v>
      </c>
      <c r="M2283" s="364">
        <v>0</v>
      </c>
      <c r="N2283" s="364">
        <v>0</v>
      </c>
      <c r="O2283" s="364">
        <v>0</v>
      </c>
      <c r="P2283" s="364">
        <v>0</v>
      </c>
      <c r="Q2283" s="1475">
        <f>L2283*$H2284</f>
        <v>0</v>
      </c>
      <c r="R2283" s="1475">
        <f>M2283*$H2284</f>
        <v>0</v>
      </c>
      <c r="S2283" s="1475">
        <f>N2283*$H2284</f>
        <v>0</v>
      </c>
      <c r="T2283" s="1475">
        <f>O2283*$H2284</f>
        <v>0</v>
      </c>
      <c r="U2283" s="1475">
        <f>P2283*$H2284</f>
        <v>0</v>
      </c>
      <c r="V2283" s="1475">
        <f t="shared" si="1106"/>
        <v>0</v>
      </c>
    </row>
    <row r="2284" spans="1:22" s="99" customFormat="1" ht="24" customHeight="1">
      <c r="A2284" s="1860">
        <v>3</v>
      </c>
      <c r="B2284" s="1860"/>
      <c r="C2284" s="1860"/>
      <c r="D2284" s="1860"/>
      <c r="E2284" s="1839"/>
      <c r="F2284" s="1841"/>
      <c r="G2284" s="1891"/>
      <c r="H2284" s="1595">
        <v>350000</v>
      </c>
      <c r="I2284" s="1812"/>
      <c r="J2284" s="40" t="s">
        <v>134</v>
      </c>
      <c r="K2284" s="91"/>
      <c r="L2284" s="364">
        <v>0</v>
      </c>
      <c r="M2284" s="364">
        <v>0</v>
      </c>
      <c r="N2284" s="364">
        <v>0</v>
      </c>
      <c r="O2284" s="364">
        <v>0</v>
      </c>
      <c r="P2284" s="364">
        <v>0</v>
      </c>
      <c r="Q2284" s="1475">
        <f>L2284*$H2284</f>
        <v>0</v>
      </c>
      <c r="R2284" s="1475">
        <f>M2284*$H2284</f>
        <v>0</v>
      </c>
      <c r="S2284" s="1475">
        <f>N2284*$H2284</f>
        <v>0</v>
      </c>
      <c r="T2284" s="1475">
        <f>O2284*$H2284</f>
        <v>0</v>
      </c>
      <c r="U2284" s="1475">
        <f>P2284*$H2284</f>
        <v>0</v>
      </c>
      <c r="V2284" s="1475">
        <f t="shared" si="1106"/>
        <v>0</v>
      </c>
    </row>
    <row r="2285" spans="1:22" s="99" customFormat="1" ht="24" customHeight="1">
      <c r="A2285" s="1860">
        <v>3</v>
      </c>
      <c r="B2285" s="1860"/>
      <c r="C2285" s="1860"/>
      <c r="D2285" s="1860"/>
      <c r="E2285" s="1839"/>
      <c r="F2285" s="1841"/>
      <c r="G2285" s="1891"/>
      <c r="H2285" s="1596"/>
      <c r="I2285" s="1812"/>
      <c r="J2285" s="40" t="s">
        <v>82</v>
      </c>
      <c r="K2285" s="91"/>
      <c r="L2285" s="364">
        <v>0</v>
      </c>
      <c r="M2285" s="364">
        <v>0</v>
      </c>
      <c r="N2285" s="364">
        <v>0</v>
      </c>
      <c r="O2285" s="364">
        <v>0</v>
      </c>
      <c r="P2285" s="364">
        <v>0</v>
      </c>
      <c r="Q2285" s="1475">
        <f>L2285*$H2284</f>
        <v>0</v>
      </c>
      <c r="R2285" s="1475">
        <f>M2285*$H2284</f>
        <v>0</v>
      </c>
      <c r="S2285" s="1475">
        <f>N2285*$H2284</f>
        <v>0</v>
      </c>
      <c r="T2285" s="1475">
        <f>O2285*$H2284</f>
        <v>0</v>
      </c>
      <c r="U2285" s="1475">
        <f>P2285*$H2284</f>
        <v>0</v>
      </c>
      <c r="V2285" s="1475">
        <f t="shared" si="1106"/>
        <v>0</v>
      </c>
    </row>
    <row r="2286" spans="1:22" s="99" customFormat="1" ht="24" customHeight="1">
      <c r="A2286" s="1860">
        <v>3</v>
      </c>
      <c r="B2286" s="1860"/>
      <c r="C2286" s="1860"/>
      <c r="D2286" s="1860"/>
      <c r="E2286" s="1839"/>
      <c r="F2286" s="1841"/>
      <c r="G2286" s="1891"/>
      <c r="H2286" s="1596"/>
      <c r="I2286" s="1812"/>
      <c r="J2286" s="40" t="s">
        <v>90</v>
      </c>
      <c r="K2286" s="91"/>
      <c r="L2286" s="364">
        <v>0</v>
      </c>
      <c r="M2286" s="364">
        <v>0</v>
      </c>
      <c r="N2286" s="364">
        <v>0</v>
      </c>
      <c r="O2286" s="364">
        <v>0</v>
      </c>
      <c r="P2286" s="364">
        <v>0</v>
      </c>
      <c r="Q2286" s="1475">
        <f>L2286*$H2284</f>
        <v>0</v>
      </c>
      <c r="R2286" s="1475">
        <f>M2286*$H2284</f>
        <v>0</v>
      </c>
      <c r="S2286" s="1475">
        <f>N2286*$H2284</f>
        <v>0</v>
      </c>
      <c r="T2286" s="1475">
        <f>O2286*$H2284</f>
        <v>0</v>
      </c>
      <c r="U2286" s="1475">
        <f>P2286*$H2284</f>
        <v>0</v>
      </c>
      <c r="V2286" s="1475">
        <f t="shared" si="1106"/>
        <v>0</v>
      </c>
    </row>
    <row r="2287" spans="1:22" s="99" customFormat="1" ht="24" customHeight="1">
      <c r="A2287" s="1860">
        <v>3</v>
      </c>
      <c r="B2287" s="1860"/>
      <c r="C2287" s="1860"/>
      <c r="D2287" s="1860"/>
      <c r="E2287" s="1839"/>
      <c r="F2287" s="1841"/>
      <c r="G2287" s="1891"/>
      <c r="H2287" s="1596"/>
      <c r="I2287" s="1812"/>
      <c r="J2287" s="40" t="s">
        <v>83</v>
      </c>
      <c r="K2287" s="91"/>
      <c r="L2287" s="364">
        <v>1</v>
      </c>
      <c r="M2287" s="364">
        <v>0</v>
      </c>
      <c r="N2287" s="364">
        <v>0</v>
      </c>
      <c r="O2287" s="364">
        <v>0</v>
      </c>
      <c r="P2287" s="364">
        <v>0</v>
      </c>
      <c r="Q2287" s="1475">
        <f>L2287*$H2284</f>
        <v>350000</v>
      </c>
      <c r="R2287" s="1475">
        <f>M2287*$H2284</f>
        <v>0</v>
      </c>
      <c r="S2287" s="1475">
        <f>N2287*$H2284</f>
        <v>0</v>
      </c>
      <c r="T2287" s="1475">
        <f>O2287*$H2284</f>
        <v>0</v>
      </c>
      <c r="U2287" s="1475">
        <f>P2287*$H2284</f>
        <v>0</v>
      </c>
      <c r="V2287" s="1475">
        <f t="shared" si="1106"/>
        <v>350000</v>
      </c>
    </row>
    <row r="2288" spans="1:22" s="99" customFormat="1" ht="24" customHeight="1">
      <c r="A2288" s="1860">
        <v>3</v>
      </c>
      <c r="B2288" s="1860"/>
      <c r="C2288" s="1860"/>
      <c r="D2288" s="1860"/>
      <c r="E2288" s="1839"/>
      <c r="F2288" s="1841"/>
      <c r="G2288" s="1984"/>
      <c r="H2288" s="1618"/>
      <c r="I2288" s="1986"/>
      <c r="J2288" s="40" t="s">
        <v>84</v>
      </c>
      <c r="K2288" s="91"/>
      <c r="L2288" s="364">
        <f t="shared" ref="L2288:U2288" si="1108">L2279-L2280</f>
        <v>0</v>
      </c>
      <c r="M2288" s="364">
        <f t="shared" si="1108"/>
        <v>0</v>
      </c>
      <c r="N2288" s="364">
        <f t="shared" si="1108"/>
        <v>0</v>
      </c>
      <c r="O2288" s="364">
        <v>1</v>
      </c>
      <c r="P2288" s="364">
        <f t="shared" si="1108"/>
        <v>0</v>
      </c>
      <c r="Q2288" s="1475">
        <f t="shared" si="1108"/>
        <v>0</v>
      </c>
      <c r="R2288" s="1475">
        <f t="shared" si="1108"/>
        <v>0</v>
      </c>
      <c r="S2288" s="1475">
        <f t="shared" si="1108"/>
        <v>0</v>
      </c>
      <c r="T2288" s="1475">
        <f t="shared" si="1108"/>
        <v>350000</v>
      </c>
      <c r="U2288" s="1475">
        <f t="shared" si="1108"/>
        <v>0</v>
      </c>
      <c r="V2288" s="1475">
        <f t="shared" si="1106"/>
        <v>350000</v>
      </c>
    </row>
    <row r="2289" spans="1:22" s="99" customFormat="1" ht="24" customHeight="1">
      <c r="A2289" s="1860">
        <v>3</v>
      </c>
      <c r="B2289" s="1860">
        <v>7</v>
      </c>
      <c r="C2289" s="1860">
        <v>3</v>
      </c>
      <c r="D2289" s="1860">
        <v>2</v>
      </c>
      <c r="E2289" s="1839" t="s">
        <v>15</v>
      </c>
      <c r="F2289" s="1841" t="str">
        <f>CONCATENATE(A2289,".",B2289,".",C2289,".",D2289,)</f>
        <v>3.7.3.2</v>
      </c>
      <c r="G2289" s="1983" t="s">
        <v>263</v>
      </c>
      <c r="H2289" s="1601" t="s">
        <v>147</v>
      </c>
      <c r="I2289" s="1991" t="s">
        <v>475</v>
      </c>
      <c r="J2289" s="36" t="s">
        <v>79</v>
      </c>
      <c r="K2289" s="896"/>
      <c r="L2289" s="383">
        <v>1</v>
      </c>
      <c r="M2289" s="383">
        <v>0</v>
      </c>
      <c r="N2289" s="383">
        <v>0</v>
      </c>
      <c r="O2289" s="383">
        <v>1</v>
      </c>
      <c r="P2289" s="383">
        <v>0</v>
      </c>
      <c r="Q2289" s="1475">
        <f>L2289*H2294</f>
        <v>193299.99999999997</v>
      </c>
      <c r="R2289" s="1475">
        <f>M2289*H2294</f>
        <v>0</v>
      </c>
      <c r="S2289" s="1475">
        <f>N2289*H2294</f>
        <v>0</v>
      </c>
      <c r="T2289" s="1475">
        <f>O2289*H2294</f>
        <v>193299.99999999997</v>
      </c>
      <c r="U2289" s="1475">
        <f>P2289*H2294</f>
        <v>0</v>
      </c>
      <c r="V2289" s="1475">
        <f t="shared" si="1106"/>
        <v>386599.99999999994</v>
      </c>
    </row>
    <row r="2290" spans="1:22" s="99" customFormat="1" ht="24" customHeight="1">
      <c r="A2290" s="1860">
        <v>3</v>
      </c>
      <c r="B2290" s="1860"/>
      <c r="C2290" s="1860"/>
      <c r="D2290" s="1860"/>
      <c r="E2290" s="1839"/>
      <c r="F2290" s="1841"/>
      <c r="G2290" s="1891"/>
      <c r="H2290" s="1601"/>
      <c r="I2290" s="1992"/>
      <c r="J2290" s="40" t="s">
        <v>80</v>
      </c>
      <c r="K2290" s="91"/>
      <c r="L2290" s="364">
        <f t="shared" ref="L2290:U2290" si="1109">SUM(L2291:L2297)</f>
        <v>1</v>
      </c>
      <c r="M2290" s="364">
        <f t="shared" si="1109"/>
        <v>0</v>
      </c>
      <c r="N2290" s="364">
        <f t="shared" si="1109"/>
        <v>0</v>
      </c>
      <c r="O2290" s="364">
        <v>1</v>
      </c>
      <c r="P2290" s="364">
        <f t="shared" si="1109"/>
        <v>0</v>
      </c>
      <c r="Q2290" s="1475">
        <f t="shared" si="1109"/>
        <v>193299.99999999997</v>
      </c>
      <c r="R2290" s="1475">
        <f t="shared" si="1109"/>
        <v>0</v>
      </c>
      <c r="S2290" s="1475">
        <f t="shared" si="1109"/>
        <v>0</v>
      </c>
      <c r="T2290" s="1475">
        <f t="shared" si="1109"/>
        <v>0</v>
      </c>
      <c r="U2290" s="1475">
        <f t="shared" si="1109"/>
        <v>0</v>
      </c>
      <c r="V2290" s="1475">
        <f t="shared" si="1106"/>
        <v>193299.99999999997</v>
      </c>
    </row>
    <row r="2291" spans="1:22" s="99" customFormat="1" ht="24" customHeight="1">
      <c r="A2291" s="1860">
        <v>3</v>
      </c>
      <c r="B2291" s="1860"/>
      <c r="C2291" s="1860"/>
      <c r="D2291" s="1860"/>
      <c r="E2291" s="1839"/>
      <c r="F2291" s="1841"/>
      <c r="G2291" s="1891"/>
      <c r="H2291" s="1601"/>
      <c r="I2291" s="1992"/>
      <c r="J2291" s="40" t="s">
        <v>429</v>
      </c>
      <c r="K2291" s="91"/>
      <c r="L2291" s="364">
        <v>0</v>
      </c>
      <c r="M2291" s="364">
        <v>0</v>
      </c>
      <c r="N2291" s="364">
        <v>0</v>
      </c>
      <c r="O2291" s="364">
        <v>0</v>
      </c>
      <c r="P2291" s="364">
        <v>0</v>
      </c>
      <c r="Q2291" s="1475">
        <f>L2291*$H2294</f>
        <v>0</v>
      </c>
      <c r="R2291" s="1475">
        <f>M2291*$H2294</f>
        <v>0</v>
      </c>
      <c r="S2291" s="1475">
        <f>N2291*$H2294</f>
        <v>0</v>
      </c>
      <c r="T2291" s="1475">
        <f>O2291*$H2294</f>
        <v>0</v>
      </c>
      <c r="U2291" s="1475">
        <f>P2291*$H2294</f>
        <v>0</v>
      </c>
      <c r="V2291" s="1475">
        <f t="shared" si="1106"/>
        <v>0</v>
      </c>
    </row>
    <row r="2292" spans="1:22" s="99" customFormat="1" ht="24" customHeight="1">
      <c r="A2292" s="1860">
        <v>3</v>
      </c>
      <c r="B2292" s="1860"/>
      <c r="C2292" s="1860"/>
      <c r="D2292" s="1860"/>
      <c r="E2292" s="1839"/>
      <c r="F2292" s="1841"/>
      <c r="G2292" s="1891"/>
      <c r="H2292" s="1601"/>
      <c r="I2292" s="1992"/>
      <c r="J2292" s="40" t="s">
        <v>133</v>
      </c>
      <c r="K2292" s="91"/>
      <c r="L2292" s="364">
        <v>0</v>
      </c>
      <c r="M2292" s="364">
        <v>0</v>
      </c>
      <c r="N2292" s="364">
        <v>0</v>
      </c>
      <c r="O2292" s="364">
        <v>0</v>
      </c>
      <c r="P2292" s="364">
        <v>0</v>
      </c>
      <c r="Q2292" s="1475">
        <f>L2292*$H2294</f>
        <v>0</v>
      </c>
      <c r="R2292" s="1475">
        <f>M2292*$H2294</f>
        <v>0</v>
      </c>
      <c r="S2292" s="1475">
        <f>N2292*$H2294</f>
        <v>0</v>
      </c>
      <c r="T2292" s="1475">
        <f>O2292*$H2294</f>
        <v>0</v>
      </c>
      <c r="U2292" s="1475">
        <f>P2292*$H2294</f>
        <v>0</v>
      </c>
      <c r="V2292" s="1475">
        <f t="shared" si="1106"/>
        <v>0</v>
      </c>
    </row>
    <row r="2293" spans="1:22" s="99" customFormat="1" ht="24" customHeight="1">
      <c r="A2293" s="1860">
        <v>3</v>
      </c>
      <c r="B2293" s="1860"/>
      <c r="C2293" s="1860"/>
      <c r="D2293" s="1860"/>
      <c r="E2293" s="1839"/>
      <c r="F2293" s="1841"/>
      <c r="G2293" s="1891"/>
      <c r="H2293" s="1601"/>
      <c r="I2293" s="1992"/>
      <c r="J2293" s="40" t="s">
        <v>81</v>
      </c>
      <c r="K2293" s="91"/>
      <c r="L2293" s="364">
        <v>0</v>
      </c>
      <c r="M2293" s="364">
        <v>0</v>
      </c>
      <c r="N2293" s="364">
        <v>0</v>
      </c>
      <c r="O2293" s="364">
        <v>0</v>
      </c>
      <c r="P2293" s="364">
        <v>0</v>
      </c>
      <c r="Q2293" s="1475">
        <f>L2293*$H2294</f>
        <v>0</v>
      </c>
      <c r="R2293" s="1475">
        <f>M2293*$H2294</f>
        <v>0</v>
      </c>
      <c r="S2293" s="1475">
        <f>N2293*$H2294</f>
        <v>0</v>
      </c>
      <c r="T2293" s="1475">
        <f>O2293*$H2294</f>
        <v>0</v>
      </c>
      <c r="U2293" s="1475">
        <f>P2293*$H2294</f>
        <v>0</v>
      </c>
      <c r="V2293" s="1475">
        <f t="shared" si="1106"/>
        <v>0</v>
      </c>
    </row>
    <row r="2294" spans="1:22" s="99" customFormat="1" ht="24" customHeight="1">
      <c r="A2294" s="1860">
        <v>3</v>
      </c>
      <c r="B2294" s="1860"/>
      <c r="C2294" s="1860"/>
      <c r="D2294" s="1860"/>
      <c r="E2294" s="1839"/>
      <c r="F2294" s="1841"/>
      <c r="G2294" s="1891"/>
      <c r="H2294" s="1595">
        <f>10000*19.33</f>
        <v>193299.99999999997</v>
      </c>
      <c r="I2294" s="1992"/>
      <c r="J2294" s="40" t="s">
        <v>134</v>
      </c>
      <c r="K2294" s="91"/>
      <c r="L2294" s="364">
        <v>0</v>
      </c>
      <c r="M2294" s="364">
        <v>0</v>
      </c>
      <c r="N2294" s="364">
        <v>0</v>
      </c>
      <c r="O2294" s="364">
        <v>0</v>
      </c>
      <c r="P2294" s="364">
        <v>0</v>
      </c>
      <c r="Q2294" s="1475">
        <f>L2294*$H2294</f>
        <v>0</v>
      </c>
      <c r="R2294" s="1475">
        <f>M2294*$H2294</f>
        <v>0</v>
      </c>
      <c r="S2294" s="1475">
        <f>N2294*$H2294</f>
        <v>0</v>
      </c>
      <c r="T2294" s="1475">
        <f>O2294*$H2294</f>
        <v>0</v>
      </c>
      <c r="U2294" s="1475">
        <f>P2294*$H2294</f>
        <v>0</v>
      </c>
      <c r="V2294" s="1475">
        <f t="shared" si="1106"/>
        <v>0</v>
      </c>
    </row>
    <row r="2295" spans="1:22" s="99" customFormat="1" ht="24" customHeight="1">
      <c r="A2295" s="1860">
        <v>3</v>
      </c>
      <c r="B2295" s="1860"/>
      <c r="C2295" s="1860"/>
      <c r="D2295" s="1860"/>
      <c r="E2295" s="1839"/>
      <c r="F2295" s="1841"/>
      <c r="G2295" s="1891"/>
      <c r="H2295" s="1596"/>
      <c r="I2295" s="1992"/>
      <c r="J2295" s="40" t="s">
        <v>82</v>
      </c>
      <c r="K2295" s="91"/>
      <c r="L2295" s="364"/>
      <c r="M2295" s="364">
        <v>0</v>
      </c>
      <c r="N2295" s="364">
        <v>0</v>
      </c>
      <c r="O2295" s="364">
        <v>0</v>
      </c>
      <c r="P2295" s="364">
        <v>0</v>
      </c>
      <c r="Q2295" s="1475">
        <f>L2295*$H2294</f>
        <v>0</v>
      </c>
      <c r="R2295" s="1475">
        <f>M2295*$H2294</f>
        <v>0</v>
      </c>
      <c r="S2295" s="1475">
        <f>N2295*$H2294</f>
        <v>0</v>
      </c>
      <c r="T2295" s="1475">
        <f>O2295*$H2294</f>
        <v>0</v>
      </c>
      <c r="U2295" s="1475">
        <f>P2295*$H2294</f>
        <v>0</v>
      </c>
      <c r="V2295" s="1475">
        <f t="shared" si="1106"/>
        <v>0</v>
      </c>
    </row>
    <row r="2296" spans="1:22" s="99" customFormat="1" ht="24" customHeight="1">
      <c r="A2296" s="1860">
        <v>3</v>
      </c>
      <c r="B2296" s="1860"/>
      <c r="C2296" s="1860"/>
      <c r="D2296" s="1860"/>
      <c r="E2296" s="1839"/>
      <c r="F2296" s="1841"/>
      <c r="G2296" s="1891"/>
      <c r="H2296" s="1596"/>
      <c r="I2296" s="1992"/>
      <c r="J2296" s="40" t="s">
        <v>90</v>
      </c>
      <c r="K2296" s="91"/>
      <c r="L2296" s="364">
        <v>0</v>
      </c>
      <c r="M2296" s="364">
        <v>0</v>
      </c>
      <c r="N2296" s="364">
        <v>0</v>
      </c>
      <c r="O2296" s="364">
        <v>0</v>
      </c>
      <c r="P2296" s="364">
        <v>0</v>
      </c>
      <c r="Q2296" s="1475">
        <f>L2296*$H2294</f>
        <v>0</v>
      </c>
      <c r="R2296" s="1475">
        <f>M2296*$H2294</f>
        <v>0</v>
      </c>
      <c r="S2296" s="1475">
        <f>N2296*$H2294</f>
        <v>0</v>
      </c>
      <c r="T2296" s="1475">
        <f>O2296*$H2294</f>
        <v>0</v>
      </c>
      <c r="U2296" s="1475">
        <f>P2296*$H2294</f>
        <v>0</v>
      </c>
      <c r="V2296" s="1475">
        <f t="shared" si="1106"/>
        <v>0</v>
      </c>
    </row>
    <row r="2297" spans="1:22" s="99" customFormat="1" ht="24" customHeight="1">
      <c r="A2297" s="1860">
        <v>3</v>
      </c>
      <c r="B2297" s="1860"/>
      <c r="C2297" s="1860"/>
      <c r="D2297" s="1860"/>
      <c r="E2297" s="1839"/>
      <c r="F2297" s="1841"/>
      <c r="G2297" s="1891"/>
      <c r="H2297" s="1596"/>
      <c r="I2297" s="1992"/>
      <c r="J2297" s="40" t="s">
        <v>83</v>
      </c>
      <c r="K2297" s="91"/>
      <c r="L2297" s="364">
        <v>1</v>
      </c>
      <c r="M2297" s="364">
        <v>0</v>
      </c>
      <c r="N2297" s="364">
        <v>0</v>
      </c>
      <c r="O2297" s="364">
        <v>0</v>
      </c>
      <c r="P2297" s="364">
        <v>0</v>
      </c>
      <c r="Q2297" s="1475">
        <f>L2297*$H2294</f>
        <v>193299.99999999997</v>
      </c>
      <c r="R2297" s="1475">
        <f>M2297*$H2294</f>
        <v>0</v>
      </c>
      <c r="S2297" s="1475">
        <f>N2297*$H2294</f>
        <v>0</v>
      </c>
      <c r="T2297" s="1475">
        <f>O2297*$H2294</f>
        <v>0</v>
      </c>
      <c r="U2297" s="1475">
        <f>P2297*$H2294</f>
        <v>0</v>
      </c>
      <c r="V2297" s="1475">
        <f t="shared" si="1106"/>
        <v>193299.99999999997</v>
      </c>
    </row>
    <row r="2298" spans="1:22" s="99" customFormat="1" ht="24" customHeight="1">
      <c r="A2298" s="1860">
        <v>3</v>
      </c>
      <c r="B2298" s="1860"/>
      <c r="C2298" s="1860"/>
      <c r="D2298" s="1860"/>
      <c r="E2298" s="1839"/>
      <c r="F2298" s="1841"/>
      <c r="G2298" s="1984"/>
      <c r="H2298" s="1618"/>
      <c r="I2298" s="1993"/>
      <c r="J2298" s="40" t="s">
        <v>84</v>
      </c>
      <c r="K2298" s="91"/>
      <c r="L2298" s="364">
        <f t="shared" ref="L2298:U2298" si="1110">L2289-L2290</f>
        <v>0</v>
      </c>
      <c r="M2298" s="364">
        <f t="shared" si="1110"/>
        <v>0</v>
      </c>
      <c r="N2298" s="364">
        <f t="shared" si="1110"/>
        <v>0</v>
      </c>
      <c r="O2298" s="364">
        <v>1</v>
      </c>
      <c r="P2298" s="364">
        <f t="shared" si="1110"/>
        <v>0</v>
      </c>
      <c r="Q2298" s="1475">
        <f t="shared" si="1110"/>
        <v>0</v>
      </c>
      <c r="R2298" s="1475">
        <f t="shared" si="1110"/>
        <v>0</v>
      </c>
      <c r="S2298" s="1475">
        <f t="shared" si="1110"/>
        <v>0</v>
      </c>
      <c r="T2298" s="1475">
        <f t="shared" si="1110"/>
        <v>193299.99999999997</v>
      </c>
      <c r="U2298" s="1475">
        <f t="shared" si="1110"/>
        <v>0</v>
      </c>
      <c r="V2298" s="1475">
        <f t="shared" si="1106"/>
        <v>193299.99999999997</v>
      </c>
    </row>
    <row r="2299" spans="1:22" s="99" customFormat="1" ht="24" customHeight="1">
      <c r="A2299" s="1860">
        <v>3</v>
      </c>
      <c r="B2299" s="1860">
        <v>7</v>
      </c>
      <c r="C2299" s="1860">
        <v>3</v>
      </c>
      <c r="D2299" s="1860">
        <v>3</v>
      </c>
      <c r="E2299" s="1839" t="s">
        <v>15</v>
      </c>
      <c r="F2299" s="1841" t="str">
        <f>CONCATENATE(A2299,".",B2299,".",C2299,".",D2299,)</f>
        <v>3.7.3.3</v>
      </c>
      <c r="G2299" s="1983" t="s">
        <v>264</v>
      </c>
      <c r="H2299" s="1601" t="s">
        <v>195</v>
      </c>
      <c r="I2299" s="1645" t="s">
        <v>1163</v>
      </c>
      <c r="J2299" s="36" t="s">
        <v>79</v>
      </c>
      <c r="K2299" s="896"/>
      <c r="L2299" s="383">
        <v>0</v>
      </c>
      <c r="M2299" s="383">
        <v>1</v>
      </c>
      <c r="N2299" s="383">
        <v>0</v>
      </c>
      <c r="O2299" s="383">
        <v>0</v>
      </c>
      <c r="P2299" s="383">
        <v>0</v>
      </c>
      <c r="Q2299" s="1475">
        <f>L2299*H2304</f>
        <v>0</v>
      </c>
      <c r="R2299" s="1475">
        <f>M2299*H2304</f>
        <v>470000</v>
      </c>
      <c r="S2299" s="1475">
        <f>N2299*H2304</f>
        <v>0</v>
      </c>
      <c r="T2299" s="1475">
        <f>O2299*H2304</f>
        <v>0</v>
      </c>
      <c r="U2299" s="1475">
        <f>P2299*H2304</f>
        <v>0</v>
      </c>
      <c r="V2299" s="1475">
        <f t="shared" si="1106"/>
        <v>470000</v>
      </c>
    </row>
    <row r="2300" spans="1:22" s="99" customFormat="1" ht="24" customHeight="1">
      <c r="A2300" s="1860">
        <v>3</v>
      </c>
      <c r="B2300" s="1860"/>
      <c r="C2300" s="1860"/>
      <c r="D2300" s="1860"/>
      <c r="E2300" s="1839"/>
      <c r="F2300" s="1841"/>
      <c r="G2300" s="1891"/>
      <c r="H2300" s="1601"/>
      <c r="I2300" s="1646"/>
      <c r="J2300" s="40" t="s">
        <v>80</v>
      </c>
      <c r="K2300" s="91"/>
      <c r="L2300" s="364">
        <v>0</v>
      </c>
      <c r="M2300" s="364">
        <f t="shared" ref="M2300:U2300" si="1111">SUM(M2301:M2307)</f>
        <v>1</v>
      </c>
      <c r="N2300" s="364">
        <f t="shared" si="1111"/>
        <v>0</v>
      </c>
      <c r="O2300" s="364">
        <f t="shared" si="1111"/>
        <v>0</v>
      </c>
      <c r="P2300" s="364">
        <f t="shared" si="1111"/>
        <v>0</v>
      </c>
      <c r="Q2300" s="1475">
        <f t="shared" si="1111"/>
        <v>0</v>
      </c>
      <c r="R2300" s="1475">
        <f t="shared" si="1111"/>
        <v>470000</v>
      </c>
      <c r="S2300" s="1475">
        <f t="shared" si="1111"/>
        <v>0</v>
      </c>
      <c r="T2300" s="1475">
        <f t="shared" si="1111"/>
        <v>0</v>
      </c>
      <c r="U2300" s="1475">
        <f t="shared" si="1111"/>
        <v>0</v>
      </c>
      <c r="V2300" s="1475">
        <f t="shared" si="1106"/>
        <v>470000</v>
      </c>
    </row>
    <row r="2301" spans="1:22" s="99" customFormat="1" ht="24" customHeight="1">
      <c r="A2301" s="1860">
        <v>3</v>
      </c>
      <c r="B2301" s="1860"/>
      <c r="C2301" s="1860"/>
      <c r="D2301" s="1860"/>
      <c r="E2301" s="1839"/>
      <c r="F2301" s="1841"/>
      <c r="G2301" s="1891"/>
      <c r="H2301" s="1601"/>
      <c r="I2301" s="1646"/>
      <c r="J2301" s="40" t="s">
        <v>429</v>
      </c>
      <c r="K2301" s="91"/>
      <c r="L2301" s="364">
        <v>0</v>
      </c>
      <c r="M2301" s="364">
        <v>0</v>
      </c>
      <c r="N2301" s="364">
        <v>0</v>
      </c>
      <c r="O2301" s="364">
        <v>0</v>
      </c>
      <c r="P2301" s="364">
        <v>0</v>
      </c>
      <c r="Q2301" s="1475">
        <f>L2301*$H2304</f>
        <v>0</v>
      </c>
      <c r="R2301" s="1475">
        <f>M2301*$H2304</f>
        <v>0</v>
      </c>
      <c r="S2301" s="1475">
        <f>N2301*$H2304</f>
        <v>0</v>
      </c>
      <c r="T2301" s="1475">
        <f>O2301*$H2304</f>
        <v>0</v>
      </c>
      <c r="U2301" s="1475">
        <f>P2301*$H2304</f>
        <v>0</v>
      </c>
      <c r="V2301" s="1475">
        <f t="shared" si="1106"/>
        <v>0</v>
      </c>
    </row>
    <row r="2302" spans="1:22" s="99" customFormat="1" ht="24" customHeight="1">
      <c r="A2302" s="1860">
        <v>3</v>
      </c>
      <c r="B2302" s="1860"/>
      <c r="C2302" s="1860"/>
      <c r="D2302" s="1860"/>
      <c r="E2302" s="1839"/>
      <c r="F2302" s="1841"/>
      <c r="G2302" s="1891"/>
      <c r="H2302" s="1601"/>
      <c r="I2302" s="1646"/>
      <c r="J2302" s="40" t="s">
        <v>133</v>
      </c>
      <c r="K2302" s="91"/>
      <c r="L2302" s="364">
        <v>0</v>
      </c>
      <c r="M2302" s="364">
        <v>0</v>
      </c>
      <c r="N2302" s="364">
        <v>0</v>
      </c>
      <c r="O2302" s="364">
        <v>0</v>
      </c>
      <c r="P2302" s="364">
        <v>0</v>
      </c>
      <c r="Q2302" s="1475">
        <f>L2302*$H2304</f>
        <v>0</v>
      </c>
      <c r="R2302" s="1475">
        <f>M2302*$H2304</f>
        <v>0</v>
      </c>
      <c r="S2302" s="1475">
        <f>N2302*$H2304</f>
        <v>0</v>
      </c>
      <c r="T2302" s="1475">
        <f>O2302*$H2304</f>
        <v>0</v>
      </c>
      <c r="U2302" s="1475">
        <f>P2302*$H2304</f>
        <v>0</v>
      </c>
      <c r="V2302" s="1475">
        <f t="shared" si="1106"/>
        <v>0</v>
      </c>
    </row>
    <row r="2303" spans="1:22" s="99" customFormat="1" ht="24" customHeight="1">
      <c r="A2303" s="1860">
        <v>3</v>
      </c>
      <c r="B2303" s="1860"/>
      <c r="C2303" s="1860"/>
      <c r="D2303" s="1860"/>
      <c r="E2303" s="1839"/>
      <c r="F2303" s="1841"/>
      <c r="G2303" s="1891"/>
      <c r="H2303" s="1601"/>
      <c r="I2303" s="1646"/>
      <c r="J2303" s="40" t="s">
        <v>81</v>
      </c>
      <c r="K2303" s="91"/>
      <c r="L2303" s="364">
        <v>0</v>
      </c>
      <c r="M2303" s="364">
        <v>0</v>
      </c>
      <c r="N2303" s="364">
        <v>0</v>
      </c>
      <c r="O2303" s="364">
        <v>0</v>
      </c>
      <c r="P2303" s="364">
        <v>0</v>
      </c>
      <c r="Q2303" s="1475">
        <f>L2303*$H2304</f>
        <v>0</v>
      </c>
      <c r="R2303" s="1475">
        <f>M2303*$H2304</f>
        <v>0</v>
      </c>
      <c r="S2303" s="1475">
        <f>N2303*$H2304</f>
        <v>0</v>
      </c>
      <c r="T2303" s="1475">
        <f>O2303*$H2304</f>
        <v>0</v>
      </c>
      <c r="U2303" s="1475">
        <f>P2303*$H2304</f>
        <v>0</v>
      </c>
      <c r="V2303" s="1475">
        <f t="shared" si="1106"/>
        <v>0</v>
      </c>
    </row>
    <row r="2304" spans="1:22" s="99" customFormat="1" ht="24" customHeight="1">
      <c r="A2304" s="1860">
        <v>3</v>
      </c>
      <c r="B2304" s="1860"/>
      <c r="C2304" s="1860"/>
      <c r="D2304" s="1860"/>
      <c r="E2304" s="1839"/>
      <c r="F2304" s="1841"/>
      <c r="G2304" s="1891"/>
      <c r="H2304" s="1595">
        <f>'Budget assumption'!$E$464</f>
        <v>470000</v>
      </c>
      <c r="I2304" s="1646"/>
      <c r="J2304" s="40" t="s">
        <v>134</v>
      </c>
      <c r="K2304" s="91"/>
      <c r="L2304" s="364">
        <v>0</v>
      </c>
      <c r="M2304" s="364">
        <v>0</v>
      </c>
      <c r="N2304" s="364">
        <v>0</v>
      </c>
      <c r="O2304" s="364">
        <v>0</v>
      </c>
      <c r="P2304" s="364">
        <v>0</v>
      </c>
      <c r="Q2304" s="1475">
        <f>L2304*$H2304</f>
        <v>0</v>
      </c>
      <c r="R2304" s="1475">
        <f>M2304*$H2304</f>
        <v>0</v>
      </c>
      <c r="S2304" s="1475">
        <f>N2304*$H2304</f>
        <v>0</v>
      </c>
      <c r="T2304" s="1475">
        <f>O2304*$H2304</f>
        <v>0</v>
      </c>
      <c r="U2304" s="1475">
        <f>P2304*$H2304</f>
        <v>0</v>
      </c>
      <c r="V2304" s="1475">
        <f t="shared" si="1106"/>
        <v>0</v>
      </c>
    </row>
    <row r="2305" spans="1:22" s="99" customFormat="1" ht="24" customHeight="1">
      <c r="A2305" s="1860">
        <v>3</v>
      </c>
      <c r="B2305" s="1860"/>
      <c r="C2305" s="1860"/>
      <c r="D2305" s="1860"/>
      <c r="E2305" s="1839"/>
      <c r="F2305" s="1841"/>
      <c r="G2305" s="1891"/>
      <c r="H2305" s="1596"/>
      <c r="I2305" s="1646"/>
      <c r="J2305" s="40" t="s">
        <v>82</v>
      </c>
      <c r="K2305" s="91"/>
      <c r="L2305" s="364">
        <v>0</v>
      </c>
      <c r="M2305" s="364">
        <v>1</v>
      </c>
      <c r="N2305" s="364">
        <v>0</v>
      </c>
      <c r="O2305" s="364">
        <v>0</v>
      </c>
      <c r="P2305" s="364">
        <v>0</v>
      </c>
      <c r="Q2305" s="1475">
        <f>L2305*$H2304</f>
        <v>0</v>
      </c>
      <c r="R2305" s="1475">
        <f>M2305*$H2304</f>
        <v>470000</v>
      </c>
      <c r="S2305" s="1475">
        <f>N2305*$H2304</f>
        <v>0</v>
      </c>
      <c r="T2305" s="1475">
        <f>O2305*$H2304</f>
        <v>0</v>
      </c>
      <c r="U2305" s="1475">
        <f>P2305*$H2304</f>
        <v>0</v>
      </c>
      <c r="V2305" s="1475">
        <f t="shared" si="1106"/>
        <v>470000</v>
      </c>
    </row>
    <row r="2306" spans="1:22" s="99" customFormat="1" ht="24" customHeight="1">
      <c r="A2306" s="1860">
        <v>3</v>
      </c>
      <c r="B2306" s="1860"/>
      <c r="C2306" s="1860"/>
      <c r="D2306" s="1860"/>
      <c r="E2306" s="1839"/>
      <c r="F2306" s="1841"/>
      <c r="G2306" s="1891"/>
      <c r="H2306" s="1596"/>
      <c r="I2306" s="1646"/>
      <c r="J2306" s="40" t="s">
        <v>90</v>
      </c>
      <c r="K2306" s="91"/>
      <c r="L2306" s="364">
        <v>0</v>
      </c>
      <c r="M2306" s="364">
        <v>0</v>
      </c>
      <c r="N2306" s="364">
        <v>0</v>
      </c>
      <c r="O2306" s="364">
        <v>0</v>
      </c>
      <c r="P2306" s="364">
        <v>0</v>
      </c>
      <c r="Q2306" s="1475">
        <f>L2306*$H2304</f>
        <v>0</v>
      </c>
      <c r="R2306" s="1475">
        <f>M2306*$H2304</f>
        <v>0</v>
      </c>
      <c r="S2306" s="1475">
        <f>N2306*$H2304</f>
        <v>0</v>
      </c>
      <c r="T2306" s="1475">
        <f>O2306*$H2304</f>
        <v>0</v>
      </c>
      <c r="U2306" s="1475">
        <f>P2306*$H2304</f>
        <v>0</v>
      </c>
      <c r="V2306" s="1475">
        <f t="shared" si="1106"/>
        <v>0</v>
      </c>
    </row>
    <row r="2307" spans="1:22" s="99" customFormat="1" ht="24" customHeight="1">
      <c r="A2307" s="1860">
        <v>3</v>
      </c>
      <c r="B2307" s="1860"/>
      <c r="C2307" s="1860"/>
      <c r="D2307" s="1860"/>
      <c r="E2307" s="1839"/>
      <c r="F2307" s="1841"/>
      <c r="G2307" s="1891"/>
      <c r="H2307" s="1596"/>
      <c r="I2307" s="1646"/>
      <c r="J2307" s="40" t="s">
        <v>83</v>
      </c>
      <c r="K2307" s="91"/>
      <c r="L2307" s="364">
        <v>0</v>
      </c>
      <c r="M2307" s="364">
        <v>0</v>
      </c>
      <c r="N2307" s="364">
        <v>0</v>
      </c>
      <c r="O2307" s="364">
        <v>0</v>
      </c>
      <c r="P2307" s="364">
        <v>0</v>
      </c>
      <c r="Q2307" s="1475">
        <f>L2307*$H2304</f>
        <v>0</v>
      </c>
      <c r="R2307" s="1475">
        <f>M2307*$H2304</f>
        <v>0</v>
      </c>
      <c r="S2307" s="1475">
        <f>N2307*$H2304</f>
        <v>0</v>
      </c>
      <c r="T2307" s="1475">
        <f>O2307*$H2304</f>
        <v>0</v>
      </c>
      <c r="U2307" s="1475">
        <f>P2307*$H2304</f>
        <v>0</v>
      </c>
      <c r="V2307" s="1475">
        <f t="shared" si="1106"/>
        <v>0</v>
      </c>
    </row>
    <row r="2308" spans="1:22" s="99" customFormat="1" ht="24" customHeight="1">
      <c r="A2308" s="1860">
        <v>3</v>
      </c>
      <c r="B2308" s="1860"/>
      <c r="C2308" s="1860"/>
      <c r="D2308" s="1860"/>
      <c r="E2308" s="1839"/>
      <c r="F2308" s="1841"/>
      <c r="G2308" s="1984"/>
      <c r="H2308" s="1618"/>
      <c r="I2308" s="2000"/>
      <c r="J2308" s="36" t="s">
        <v>84</v>
      </c>
      <c r="K2308" s="91"/>
      <c r="L2308" s="364">
        <f t="shared" ref="L2308:U2308" si="1112">L2299-L2300</f>
        <v>0</v>
      </c>
      <c r="M2308" s="364">
        <f t="shared" si="1112"/>
        <v>0</v>
      </c>
      <c r="N2308" s="364">
        <f t="shared" si="1112"/>
        <v>0</v>
      </c>
      <c r="O2308" s="364">
        <f t="shared" si="1112"/>
        <v>0</v>
      </c>
      <c r="P2308" s="364">
        <f t="shared" si="1112"/>
        <v>0</v>
      </c>
      <c r="Q2308" s="1475">
        <f t="shared" si="1112"/>
        <v>0</v>
      </c>
      <c r="R2308" s="1475">
        <f t="shared" si="1112"/>
        <v>0</v>
      </c>
      <c r="S2308" s="1475">
        <f t="shared" si="1112"/>
        <v>0</v>
      </c>
      <c r="T2308" s="1475">
        <f t="shared" si="1112"/>
        <v>0</v>
      </c>
      <c r="U2308" s="1475">
        <f t="shared" si="1112"/>
        <v>0</v>
      </c>
      <c r="V2308" s="1475">
        <f t="shared" si="1106"/>
        <v>0</v>
      </c>
    </row>
    <row r="2309" spans="1:22" s="99" customFormat="1" ht="24" customHeight="1">
      <c r="A2309" s="82">
        <v>3</v>
      </c>
      <c r="B2309" s="82">
        <v>7</v>
      </c>
      <c r="C2309" s="82">
        <v>4</v>
      </c>
      <c r="D2309" s="82"/>
      <c r="E2309" s="82" t="s">
        <v>15</v>
      </c>
      <c r="F2309" s="973" t="str">
        <f>CONCATENATE(A2309,".",B2309,".",C2309,)</f>
        <v>3.7.4</v>
      </c>
      <c r="G2309" s="1564" t="s">
        <v>238</v>
      </c>
      <c r="H2309" s="1565"/>
      <c r="I2309" s="1565"/>
      <c r="J2309" s="1566"/>
      <c r="K2309" s="930"/>
      <c r="L2309" s="382"/>
      <c r="M2309" s="382"/>
      <c r="N2309" s="382"/>
      <c r="O2309" s="382"/>
      <c r="P2309" s="382"/>
      <c r="Q2309" s="1541">
        <f>Q2311+Q2321</f>
        <v>239320</v>
      </c>
      <c r="R2309" s="1541">
        <f t="shared" ref="R2309:U2309" si="1113">R2311+R2321</f>
        <v>239320</v>
      </c>
      <c r="S2309" s="1541">
        <f t="shared" si="1113"/>
        <v>239320</v>
      </c>
      <c r="T2309" s="1541">
        <f t="shared" si="1113"/>
        <v>0</v>
      </c>
      <c r="U2309" s="1541">
        <f t="shared" si="1113"/>
        <v>0</v>
      </c>
      <c r="V2309" s="1541">
        <f>SUM(Q2309:U2309)</f>
        <v>717960</v>
      </c>
    </row>
    <row r="2310" spans="1:22" s="51" customFormat="1" ht="24" customHeight="1">
      <c r="A2310" s="1860">
        <v>3</v>
      </c>
      <c r="B2310" s="1860">
        <v>7</v>
      </c>
      <c r="C2310" s="1860">
        <v>4</v>
      </c>
      <c r="D2310" s="1860">
        <v>1</v>
      </c>
      <c r="E2310" s="1839"/>
      <c r="F2310" s="1841" t="str">
        <f>CONCATENATE(A2310,".",B2310,".",C2310,".",D2310,)</f>
        <v>3.7.4.1</v>
      </c>
      <c r="G2310" s="1642" t="s">
        <v>265</v>
      </c>
      <c r="H2310" s="1601" t="s">
        <v>266</v>
      </c>
      <c r="I2310" s="2002" t="s">
        <v>791</v>
      </c>
      <c r="J2310" s="36" t="s">
        <v>79</v>
      </c>
      <c r="K2310" s="91"/>
      <c r="L2310" s="364">
        <v>2</v>
      </c>
      <c r="M2310" s="364">
        <v>2</v>
      </c>
      <c r="N2310" s="364">
        <v>2</v>
      </c>
      <c r="O2310" s="364">
        <v>2</v>
      </c>
      <c r="P2310" s="364">
        <v>2</v>
      </c>
      <c r="Q2310" s="1475">
        <f>L2310*H2315</f>
        <v>220000</v>
      </c>
      <c r="R2310" s="1475">
        <f>M2310*H2315</f>
        <v>220000</v>
      </c>
      <c r="S2310" s="1475">
        <f>N2310*H2315</f>
        <v>220000</v>
      </c>
      <c r="T2310" s="1475">
        <f>O2310*H2315</f>
        <v>220000</v>
      </c>
      <c r="U2310" s="1475">
        <f>P2310*H2315</f>
        <v>220000</v>
      </c>
      <c r="V2310" s="1475">
        <f t="shared" ref="V2310:V2329" si="1114">SUM(Q2310:U2310)</f>
        <v>1100000</v>
      </c>
    </row>
    <row r="2311" spans="1:22" s="99" customFormat="1" ht="24" customHeight="1">
      <c r="A2311" s="1860">
        <v>1</v>
      </c>
      <c r="B2311" s="1860"/>
      <c r="C2311" s="1860"/>
      <c r="D2311" s="1860"/>
      <c r="E2311" s="1839"/>
      <c r="F2311" s="1841"/>
      <c r="G2311" s="1643"/>
      <c r="H2311" s="1601"/>
      <c r="I2311" s="1998"/>
      <c r="J2311" s="40" t="s">
        <v>80</v>
      </c>
      <c r="K2311" s="91"/>
      <c r="L2311" s="364">
        <f t="shared" ref="L2311:U2311" si="1115">SUM(L2312:L2318)</f>
        <v>2</v>
      </c>
      <c r="M2311" s="364">
        <f t="shared" si="1115"/>
        <v>2</v>
      </c>
      <c r="N2311" s="364">
        <f t="shared" si="1115"/>
        <v>2</v>
      </c>
      <c r="O2311" s="364">
        <f t="shared" si="1115"/>
        <v>0</v>
      </c>
      <c r="P2311" s="364">
        <f t="shared" si="1115"/>
        <v>0</v>
      </c>
      <c r="Q2311" s="1475">
        <f t="shared" si="1115"/>
        <v>220000</v>
      </c>
      <c r="R2311" s="1475">
        <f t="shared" si="1115"/>
        <v>220000</v>
      </c>
      <c r="S2311" s="1475">
        <f t="shared" si="1115"/>
        <v>220000</v>
      </c>
      <c r="T2311" s="1475">
        <f t="shared" si="1115"/>
        <v>0</v>
      </c>
      <c r="U2311" s="1475">
        <f t="shared" si="1115"/>
        <v>0</v>
      </c>
      <c r="V2311" s="1475">
        <f t="shared" si="1114"/>
        <v>660000</v>
      </c>
    </row>
    <row r="2312" spans="1:22" s="99" customFormat="1" ht="24" customHeight="1">
      <c r="A2312" s="1860">
        <v>1</v>
      </c>
      <c r="B2312" s="1860"/>
      <c r="C2312" s="1860"/>
      <c r="D2312" s="1860"/>
      <c r="E2312" s="1839"/>
      <c r="F2312" s="1841"/>
      <c r="G2312" s="1643"/>
      <c r="H2312" s="1601"/>
      <c r="I2312" s="1998"/>
      <c r="J2312" s="40" t="s">
        <v>429</v>
      </c>
      <c r="K2312" s="91"/>
      <c r="L2312" s="364">
        <v>0</v>
      </c>
      <c r="M2312" s="364">
        <v>0</v>
      </c>
      <c r="N2312" s="364">
        <v>0</v>
      </c>
      <c r="O2312" s="364">
        <v>0</v>
      </c>
      <c r="P2312" s="364">
        <v>0</v>
      </c>
      <c r="Q2312" s="1475">
        <f>L2312*$H2315</f>
        <v>0</v>
      </c>
      <c r="R2312" s="1475">
        <f>M2312*$H2315</f>
        <v>0</v>
      </c>
      <c r="S2312" s="1475">
        <f>N2312*$H2315</f>
        <v>0</v>
      </c>
      <c r="T2312" s="1475">
        <f>O2312*$H2315</f>
        <v>0</v>
      </c>
      <c r="U2312" s="1475">
        <f>P2312*$H2315</f>
        <v>0</v>
      </c>
      <c r="V2312" s="1475">
        <f t="shared" si="1114"/>
        <v>0</v>
      </c>
    </row>
    <row r="2313" spans="1:22" s="99" customFormat="1" ht="24" customHeight="1">
      <c r="A2313" s="1860">
        <v>1</v>
      </c>
      <c r="B2313" s="1860"/>
      <c r="C2313" s="1860"/>
      <c r="D2313" s="1860"/>
      <c r="E2313" s="1839"/>
      <c r="F2313" s="1841"/>
      <c r="G2313" s="1643"/>
      <c r="H2313" s="1601"/>
      <c r="I2313" s="1998"/>
      <c r="J2313" s="40" t="s">
        <v>133</v>
      </c>
      <c r="K2313" s="91"/>
      <c r="L2313" s="364">
        <v>0</v>
      </c>
      <c r="M2313" s="364">
        <v>0</v>
      </c>
      <c r="N2313" s="364">
        <v>0</v>
      </c>
      <c r="O2313" s="364">
        <v>0</v>
      </c>
      <c r="P2313" s="364">
        <v>0</v>
      </c>
      <c r="Q2313" s="1475">
        <f>L2313*$H2315</f>
        <v>0</v>
      </c>
      <c r="R2313" s="1475">
        <f>M2313*$H2315</f>
        <v>0</v>
      </c>
      <c r="S2313" s="1475">
        <f>N2313*$H2315</f>
        <v>0</v>
      </c>
      <c r="T2313" s="1475">
        <f>O2313*$H2315</f>
        <v>0</v>
      </c>
      <c r="U2313" s="1475">
        <f>P2313*$H2315</f>
        <v>0</v>
      </c>
      <c r="V2313" s="1475">
        <f t="shared" si="1114"/>
        <v>0</v>
      </c>
    </row>
    <row r="2314" spans="1:22" s="99" customFormat="1" ht="24" customHeight="1">
      <c r="A2314" s="1860">
        <v>1</v>
      </c>
      <c r="B2314" s="1860"/>
      <c r="C2314" s="1860"/>
      <c r="D2314" s="1860"/>
      <c r="E2314" s="1839"/>
      <c r="F2314" s="1841"/>
      <c r="G2314" s="1643"/>
      <c r="H2314" s="1601"/>
      <c r="I2314" s="1998"/>
      <c r="J2314" s="40" t="s">
        <v>81</v>
      </c>
      <c r="K2314" s="91"/>
      <c r="L2314" s="364">
        <v>0</v>
      </c>
      <c r="M2314" s="364">
        <v>0</v>
      </c>
      <c r="N2314" s="364">
        <v>0</v>
      </c>
      <c r="O2314" s="364">
        <v>0</v>
      </c>
      <c r="P2314" s="364">
        <v>0</v>
      </c>
      <c r="Q2314" s="1475">
        <f>L2314*$H2315</f>
        <v>0</v>
      </c>
      <c r="R2314" s="1475">
        <f>M2314*$H2315</f>
        <v>0</v>
      </c>
      <c r="S2314" s="1475">
        <f>N2314*$H2315</f>
        <v>0</v>
      </c>
      <c r="T2314" s="1475">
        <f>O2314*$H2315</f>
        <v>0</v>
      </c>
      <c r="U2314" s="1475">
        <f>P2314*$H2315</f>
        <v>0</v>
      </c>
      <c r="V2314" s="1475">
        <f t="shared" si="1114"/>
        <v>0</v>
      </c>
    </row>
    <row r="2315" spans="1:22" s="99" customFormat="1" ht="24" customHeight="1">
      <c r="A2315" s="1860">
        <v>1</v>
      </c>
      <c r="B2315" s="1860"/>
      <c r="C2315" s="1860"/>
      <c r="D2315" s="1860"/>
      <c r="E2315" s="1839"/>
      <c r="F2315" s="1841"/>
      <c r="G2315" s="1643"/>
      <c r="H2315" s="1595">
        <v>110000</v>
      </c>
      <c r="I2315" s="1998"/>
      <c r="J2315" s="40" t="s">
        <v>134</v>
      </c>
      <c r="K2315" s="91"/>
      <c r="L2315" s="364">
        <v>0</v>
      </c>
      <c r="M2315" s="364">
        <v>0</v>
      </c>
      <c r="N2315" s="364">
        <v>0</v>
      </c>
      <c r="O2315" s="364">
        <v>0</v>
      </c>
      <c r="P2315" s="364">
        <v>0</v>
      </c>
      <c r="Q2315" s="1475">
        <f>L2315*$H2315</f>
        <v>0</v>
      </c>
      <c r="R2315" s="1475">
        <f>M2315*$H2315</f>
        <v>0</v>
      </c>
      <c r="S2315" s="1475">
        <f>N2315*$H2315</f>
        <v>0</v>
      </c>
      <c r="T2315" s="1475">
        <f>O2315*$H2315</f>
        <v>0</v>
      </c>
      <c r="U2315" s="1475">
        <f>P2315*$H2315</f>
        <v>0</v>
      </c>
      <c r="V2315" s="1475">
        <f t="shared" si="1114"/>
        <v>0</v>
      </c>
    </row>
    <row r="2316" spans="1:22" s="99" customFormat="1" ht="24" customHeight="1">
      <c r="A2316" s="1860">
        <v>1</v>
      </c>
      <c r="B2316" s="1860"/>
      <c r="C2316" s="1860"/>
      <c r="D2316" s="1860"/>
      <c r="E2316" s="1839"/>
      <c r="F2316" s="1841"/>
      <c r="G2316" s="1643"/>
      <c r="H2316" s="1596"/>
      <c r="I2316" s="1998"/>
      <c r="J2316" s="40" t="s">
        <v>82</v>
      </c>
      <c r="K2316" s="91"/>
      <c r="L2316" s="364">
        <v>2</v>
      </c>
      <c r="M2316" s="364">
        <v>2</v>
      </c>
      <c r="N2316" s="364">
        <v>2</v>
      </c>
      <c r="O2316" s="364">
        <v>0</v>
      </c>
      <c r="P2316" s="364">
        <v>0</v>
      </c>
      <c r="Q2316" s="1475">
        <f>L2316*$H2315</f>
        <v>220000</v>
      </c>
      <c r="R2316" s="1475">
        <f>M2316*$H2315</f>
        <v>220000</v>
      </c>
      <c r="S2316" s="1475">
        <f>N2316*$H2315</f>
        <v>220000</v>
      </c>
      <c r="T2316" s="1475">
        <f>O2316*$H2315</f>
        <v>0</v>
      </c>
      <c r="U2316" s="1475">
        <f>P2316*$H2315</f>
        <v>0</v>
      </c>
      <c r="V2316" s="1475">
        <f t="shared" si="1114"/>
        <v>660000</v>
      </c>
    </row>
    <row r="2317" spans="1:22" s="99" customFormat="1" ht="24" customHeight="1">
      <c r="A2317" s="1860">
        <v>1</v>
      </c>
      <c r="B2317" s="1860"/>
      <c r="C2317" s="1860"/>
      <c r="D2317" s="1860"/>
      <c r="E2317" s="1839"/>
      <c r="F2317" s="1841"/>
      <c r="G2317" s="1643"/>
      <c r="H2317" s="1596"/>
      <c r="I2317" s="1998"/>
      <c r="J2317" s="40" t="s">
        <v>90</v>
      </c>
      <c r="K2317" s="91"/>
      <c r="L2317" s="364">
        <v>0</v>
      </c>
      <c r="M2317" s="364">
        <v>0</v>
      </c>
      <c r="N2317" s="364">
        <v>0</v>
      </c>
      <c r="O2317" s="364">
        <v>0</v>
      </c>
      <c r="P2317" s="364">
        <v>0</v>
      </c>
      <c r="Q2317" s="1475">
        <f>L2317*$H2315</f>
        <v>0</v>
      </c>
      <c r="R2317" s="1475">
        <f>M2317*$H2315</f>
        <v>0</v>
      </c>
      <c r="S2317" s="1475">
        <f>N2317*$H2315</f>
        <v>0</v>
      </c>
      <c r="T2317" s="1475">
        <f>O2317*$H2315</f>
        <v>0</v>
      </c>
      <c r="U2317" s="1475">
        <f>P2317*$H2315</f>
        <v>0</v>
      </c>
      <c r="V2317" s="1475">
        <f t="shared" si="1114"/>
        <v>0</v>
      </c>
    </row>
    <row r="2318" spans="1:22" s="99" customFormat="1" ht="24" customHeight="1">
      <c r="A2318" s="1860">
        <v>1</v>
      </c>
      <c r="B2318" s="1860"/>
      <c r="C2318" s="1860"/>
      <c r="D2318" s="1860"/>
      <c r="E2318" s="1839"/>
      <c r="F2318" s="1841"/>
      <c r="G2318" s="1643"/>
      <c r="H2318" s="1596"/>
      <c r="I2318" s="1998"/>
      <c r="J2318" s="40" t="s">
        <v>83</v>
      </c>
      <c r="K2318" s="91"/>
      <c r="L2318" s="364">
        <v>0</v>
      </c>
      <c r="M2318" s="364">
        <v>0</v>
      </c>
      <c r="N2318" s="364">
        <v>0</v>
      </c>
      <c r="O2318" s="364">
        <v>0</v>
      </c>
      <c r="P2318" s="364">
        <v>0</v>
      </c>
      <c r="Q2318" s="1475">
        <f>L2318*$H2315</f>
        <v>0</v>
      </c>
      <c r="R2318" s="1475">
        <f>M2318*$H2315</f>
        <v>0</v>
      </c>
      <c r="S2318" s="1475">
        <f>N2318*$H2315</f>
        <v>0</v>
      </c>
      <c r="T2318" s="1475">
        <f>O2318*$H2315</f>
        <v>0</v>
      </c>
      <c r="U2318" s="1475">
        <f>P2318*$H2315</f>
        <v>0</v>
      </c>
      <c r="V2318" s="1475">
        <f t="shared" si="1114"/>
        <v>0</v>
      </c>
    </row>
    <row r="2319" spans="1:22" s="99" customFormat="1" ht="24" customHeight="1" thickBot="1">
      <c r="A2319" s="1860">
        <v>1</v>
      </c>
      <c r="B2319" s="1860"/>
      <c r="C2319" s="1860"/>
      <c r="D2319" s="1860"/>
      <c r="E2319" s="1839"/>
      <c r="F2319" s="1863"/>
      <c r="G2319" s="1643"/>
      <c r="H2319" s="1596"/>
      <c r="I2319" s="2003"/>
      <c r="J2319" s="40" t="s">
        <v>84</v>
      </c>
      <c r="K2319" s="91"/>
      <c r="L2319" s="364">
        <f>L2310-L2311</f>
        <v>0</v>
      </c>
      <c r="M2319" s="364">
        <f t="shared" ref="M2319:U2319" si="1116">M2310-M2311</f>
        <v>0</v>
      </c>
      <c r="N2319" s="364">
        <f t="shared" si="1116"/>
        <v>0</v>
      </c>
      <c r="O2319" s="364">
        <f t="shared" si="1116"/>
        <v>2</v>
      </c>
      <c r="P2319" s="364">
        <f t="shared" si="1116"/>
        <v>2</v>
      </c>
      <c r="Q2319" s="1475">
        <f t="shared" si="1116"/>
        <v>0</v>
      </c>
      <c r="R2319" s="1475">
        <f t="shared" si="1116"/>
        <v>0</v>
      </c>
      <c r="S2319" s="1475">
        <f t="shared" si="1116"/>
        <v>0</v>
      </c>
      <c r="T2319" s="1475">
        <f t="shared" si="1116"/>
        <v>220000</v>
      </c>
      <c r="U2319" s="1475">
        <f t="shared" si="1116"/>
        <v>220000</v>
      </c>
      <c r="V2319" s="1475">
        <f t="shared" si="1114"/>
        <v>440000</v>
      </c>
    </row>
    <row r="2320" spans="1:22" s="99" customFormat="1" ht="24" customHeight="1">
      <c r="A2320" s="1958">
        <v>3</v>
      </c>
      <c r="B2320" s="1873">
        <v>7</v>
      </c>
      <c r="C2320" s="1873">
        <v>4</v>
      </c>
      <c r="D2320" s="1873">
        <v>2</v>
      </c>
      <c r="E2320" s="1861" t="s">
        <v>15</v>
      </c>
      <c r="F2320" s="1840" t="str">
        <f>CONCATENATE(A2320,".",B2320,".",C2320,".",D2320,)</f>
        <v>3.7.4.2</v>
      </c>
      <c r="G2320" s="1624" t="s">
        <v>267</v>
      </c>
      <c r="H2320" s="1679" t="s">
        <v>268</v>
      </c>
      <c r="I2320" s="1998" t="s">
        <v>262</v>
      </c>
      <c r="J2320" s="262" t="s">
        <v>79</v>
      </c>
      <c r="K2320" s="908"/>
      <c r="L2320" s="950">
        <v>1</v>
      </c>
      <c r="M2320" s="950">
        <v>1</v>
      </c>
      <c r="N2320" s="950">
        <v>1</v>
      </c>
      <c r="O2320" s="950">
        <v>1</v>
      </c>
      <c r="P2320" s="950">
        <v>1</v>
      </c>
      <c r="Q2320" s="1484">
        <f>L2320*H2325</f>
        <v>19320</v>
      </c>
      <c r="R2320" s="1484">
        <f>M2320*H2325</f>
        <v>19320</v>
      </c>
      <c r="S2320" s="1484">
        <f>N2320*H2325</f>
        <v>19320</v>
      </c>
      <c r="T2320" s="1484">
        <f>O2320*H2325</f>
        <v>19320</v>
      </c>
      <c r="U2320" s="1484">
        <f>P2320*H2325</f>
        <v>19320</v>
      </c>
      <c r="V2320" s="1526">
        <f t="shared" si="1114"/>
        <v>96600</v>
      </c>
    </row>
    <row r="2321" spans="1:22" s="99" customFormat="1" ht="24" customHeight="1">
      <c r="A2321" s="1959">
        <v>3</v>
      </c>
      <c r="B2321" s="1860"/>
      <c r="C2321" s="1860"/>
      <c r="D2321" s="1860"/>
      <c r="E2321" s="1839"/>
      <c r="F2321" s="1841"/>
      <c r="G2321" s="1562"/>
      <c r="H2321" s="1601"/>
      <c r="I2321" s="1998"/>
      <c r="J2321" s="40" t="s">
        <v>80</v>
      </c>
      <c r="K2321" s="91"/>
      <c r="L2321" s="364">
        <f t="shared" ref="L2321:U2321" si="1117">SUM(L2322:L2328)</f>
        <v>1</v>
      </c>
      <c r="M2321" s="364">
        <f t="shared" si="1117"/>
        <v>1</v>
      </c>
      <c r="N2321" s="364">
        <f t="shared" si="1117"/>
        <v>1</v>
      </c>
      <c r="O2321" s="364">
        <f t="shared" si="1117"/>
        <v>0</v>
      </c>
      <c r="P2321" s="364">
        <f t="shared" si="1117"/>
        <v>0</v>
      </c>
      <c r="Q2321" s="1475">
        <f t="shared" si="1117"/>
        <v>19320</v>
      </c>
      <c r="R2321" s="1475">
        <f t="shared" si="1117"/>
        <v>19320</v>
      </c>
      <c r="S2321" s="1475">
        <f t="shared" si="1117"/>
        <v>19320</v>
      </c>
      <c r="T2321" s="1475">
        <f t="shared" si="1117"/>
        <v>0</v>
      </c>
      <c r="U2321" s="1475">
        <f t="shared" si="1117"/>
        <v>0</v>
      </c>
      <c r="V2321" s="1527">
        <f t="shared" si="1114"/>
        <v>57960</v>
      </c>
    </row>
    <row r="2322" spans="1:22" s="99" customFormat="1" ht="24" customHeight="1">
      <c r="A2322" s="1959">
        <v>3</v>
      </c>
      <c r="B2322" s="1860"/>
      <c r="C2322" s="1860"/>
      <c r="D2322" s="1860"/>
      <c r="E2322" s="1839"/>
      <c r="F2322" s="1841"/>
      <c r="G2322" s="1562"/>
      <c r="H2322" s="1601"/>
      <c r="I2322" s="1998"/>
      <c r="J2322" s="40" t="s">
        <v>429</v>
      </c>
      <c r="K2322" s="91"/>
      <c r="L2322" s="364">
        <v>0</v>
      </c>
      <c r="M2322" s="364">
        <v>0</v>
      </c>
      <c r="N2322" s="364">
        <v>0</v>
      </c>
      <c r="O2322" s="364">
        <v>0</v>
      </c>
      <c r="P2322" s="364">
        <v>0</v>
      </c>
      <c r="Q2322" s="1475">
        <f>L2322*$H2325</f>
        <v>0</v>
      </c>
      <c r="R2322" s="1475">
        <f>M2322*$H2325</f>
        <v>0</v>
      </c>
      <c r="S2322" s="1475">
        <f>N2322*$H2325</f>
        <v>0</v>
      </c>
      <c r="T2322" s="1475">
        <f>O2322*$H2325</f>
        <v>0</v>
      </c>
      <c r="U2322" s="1475">
        <f>P2322*$H2325</f>
        <v>0</v>
      </c>
      <c r="V2322" s="1527">
        <f t="shared" si="1114"/>
        <v>0</v>
      </c>
    </row>
    <row r="2323" spans="1:22" s="99" customFormat="1" ht="24" customHeight="1">
      <c r="A2323" s="1959">
        <v>3</v>
      </c>
      <c r="B2323" s="1860"/>
      <c r="C2323" s="1860"/>
      <c r="D2323" s="1860"/>
      <c r="E2323" s="1839"/>
      <c r="F2323" s="1841"/>
      <c r="G2323" s="1562"/>
      <c r="H2323" s="1601"/>
      <c r="I2323" s="1998" t="s">
        <v>269</v>
      </c>
      <c r="J2323" s="40" t="s">
        <v>133</v>
      </c>
      <c r="K2323" s="91"/>
      <c r="L2323" s="364">
        <v>0</v>
      </c>
      <c r="M2323" s="364">
        <v>0</v>
      </c>
      <c r="N2323" s="364">
        <v>0</v>
      </c>
      <c r="O2323" s="364">
        <v>0</v>
      </c>
      <c r="P2323" s="364">
        <v>0</v>
      </c>
      <c r="Q2323" s="1475">
        <f>L2323*$H2325</f>
        <v>0</v>
      </c>
      <c r="R2323" s="1475">
        <f>M2323*$H2325</f>
        <v>0</v>
      </c>
      <c r="S2323" s="1475">
        <f>N2323*$H2325</f>
        <v>0</v>
      </c>
      <c r="T2323" s="1475">
        <f>O2323*$H2325</f>
        <v>0</v>
      </c>
      <c r="U2323" s="1475">
        <f>P2323*$H2325</f>
        <v>0</v>
      </c>
      <c r="V2323" s="1527">
        <f t="shared" si="1114"/>
        <v>0</v>
      </c>
    </row>
    <row r="2324" spans="1:22" s="99" customFormat="1" ht="24" customHeight="1">
      <c r="A2324" s="1959">
        <v>3</v>
      </c>
      <c r="B2324" s="1860"/>
      <c r="C2324" s="1860"/>
      <c r="D2324" s="1860"/>
      <c r="E2324" s="1839"/>
      <c r="F2324" s="1841"/>
      <c r="G2324" s="1562"/>
      <c r="H2324" s="1601"/>
      <c r="I2324" s="1998"/>
      <c r="J2324" s="40" t="s">
        <v>81</v>
      </c>
      <c r="K2324" s="91"/>
      <c r="L2324" s="364">
        <v>0</v>
      </c>
      <c r="M2324" s="364">
        <v>0</v>
      </c>
      <c r="N2324" s="364">
        <v>0</v>
      </c>
      <c r="O2324" s="364">
        <v>0</v>
      </c>
      <c r="P2324" s="364">
        <v>0</v>
      </c>
      <c r="Q2324" s="1475">
        <f>L2324*$H2325</f>
        <v>0</v>
      </c>
      <c r="R2324" s="1475">
        <f>M2324*$H2325</f>
        <v>0</v>
      </c>
      <c r="S2324" s="1475">
        <f>N2324*$H2325</f>
        <v>0</v>
      </c>
      <c r="T2324" s="1475">
        <f>O2324*$H2325</f>
        <v>0</v>
      </c>
      <c r="U2324" s="1475">
        <f>P2324*$H2325</f>
        <v>0</v>
      </c>
      <c r="V2324" s="1527">
        <f t="shared" si="1114"/>
        <v>0</v>
      </c>
    </row>
    <row r="2325" spans="1:22" s="99" customFormat="1" ht="24" customHeight="1">
      <c r="A2325" s="1959">
        <v>3</v>
      </c>
      <c r="B2325" s="1860"/>
      <c r="C2325" s="1860"/>
      <c r="D2325" s="1860"/>
      <c r="E2325" s="1839"/>
      <c r="F2325" s="1841"/>
      <c r="G2325" s="1562"/>
      <c r="H2325" s="1595">
        <f>'Budget assumption'!H81</f>
        <v>19320</v>
      </c>
      <c r="I2325" s="1998"/>
      <c r="J2325" s="40" t="s">
        <v>134</v>
      </c>
      <c r="K2325" s="91"/>
      <c r="L2325" s="364">
        <v>0</v>
      </c>
      <c r="M2325" s="364">
        <v>0</v>
      </c>
      <c r="N2325" s="364">
        <v>0</v>
      </c>
      <c r="O2325" s="364">
        <v>0</v>
      </c>
      <c r="P2325" s="364">
        <v>0</v>
      </c>
      <c r="Q2325" s="1475">
        <f>L2325*$H2325</f>
        <v>0</v>
      </c>
      <c r="R2325" s="1475">
        <f>M2325*$H2325</f>
        <v>0</v>
      </c>
      <c r="S2325" s="1475">
        <f>N2325*$H2325</f>
        <v>0</v>
      </c>
      <c r="T2325" s="1475">
        <f>O2325*$H2325</f>
        <v>0</v>
      </c>
      <c r="U2325" s="1475">
        <f>P2325*$H2325</f>
        <v>0</v>
      </c>
      <c r="V2325" s="1527">
        <f t="shared" si="1114"/>
        <v>0</v>
      </c>
    </row>
    <row r="2326" spans="1:22" s="99" customFormat="1" ht="24" customHeight="1">
      <c r="A2326" s="1959">
        <v>3</v>
      </c>
      <c r="B2326" s="1860"/>
      <c r="C2326" s="1860"/>
      <c r="D2326" s="1860"/>
      <c r="E2326" s="1839"/>
      <c r="F2326" s="1841"/>
      <c r="G2326" s="1562"/>
      <c r="H2326" s="1596">
        <f>810*0.05</f>
        <v>40.5</v>
      </c>
      <c r="I2326" s="1998" t="s">
        <v>270</v>
      </c>
      <c r="J2326" s="40" t="s">
        <v>82</v>
      </c>
      <c r="K2326" s="91"/>
      <c r="L2326" s="364">
        <v>1</v>
      </c>
      <c r="M2326" s="364">
        <v>1</v>
      </c>
      <c r="N2326" s="364">
        <v>1</v>
      </c>
      <c r="O2326" s="364">
        <v>0</v>
      </c>
      <c r="P2326" s="364">
        <v>0</v>
      </c>
      <c r="Q2326" s="1475">
        <f>L2326*$H2325</f>
        <v>19320</v>
      </c>
      <c r="R2326" s="1475">
        <f>M2326*$H2325</f>
        <v>19320</v>
      </c>
      <c r="S2326" s="1475">
        <f>N2326*$H2325</f>
        <v>19320</v>
      </c>
      <c r="T2326" s="1475">
        <f>O2326*$H2325</f>
        <v>0</v>
      </c>
      <c r="U2326" s="1475">
        <f>P2326*$H2325</f>
        <v>0</v>
      </c>
      <c r="V2326" s="1527">
        <f t="shared" si="1114"/>
        <v>57960</v>
      </c>
    </row>
    <row r="2327" spans="1:22" s="99" customFormat="1" ht="24" customHeight="1">
      <c r="A2327" s="1959">
        <v>3</v>
      </c>
      <c r="B2327" s="1860"/>
      <c r="C2327" s="1860"/>
      <c r="D2327" s="1860"/>
      <c r="E2327" s="1839"/>
      <c r="F2327" s="1841"/>
      <c r="G2327" s="1562"/>
      <c r="H2327" s="1596"/>
      <c r="I2327" s="1998"/>
      <c r="J2327" s="40" t="s">
        <v>90</v>
      </c>
      <c r="K2327" s="91"/>
      <c r="L2327" s="364">
        <v>0</v>
      </c>
      <c r="M2327" s="364">
        <v>0</v>
      </c>
      <c r="N2327" s="364">
        <v>0</v>
      </c>
      <c r="O2327" s="364">
        <v>0</v>
      </c>
      <c r="P2327" s="364">
        <v>0</v>
      </c>
      <c r="Q2327" s="1475">
        <f>L2327*$H2325</f>
        <v>0</v>
      </c>
      <c r="R2327" s="1475">
        <f>M2327*$H2325</f>
        <v>0</v>
      </c>
      <c r="S2327" s="1475">
        <f>N2327*$H2325</f>
        <v>0</v>
      </c>
      <c r="T2327" s="1475">
        <f>O2327*$H2325</f>
        <v>0</v>
      </c>
      <c r="U2327" s="1475">
        <f>P2327*$H2325</f>
        <v>0</v>
      </c>
      <c r="V2327" s="1527">
        <f t="shared" si="1114"/>
        <v>0</v>
      </c>
    </row>
    <row r="2328" spans="1:22" s="99" customFormat="1" ht="24" customHeight="1">
      <c r="A2328" s="1959">
        <v>3</v>
      </c>
      <c r="B2328" s="1860"/>
      <c r="C2328" s="1860"/>
      <c r="D2328" s="1860"/>
      <c r="E2328" s="1839"/>
      <c r="F2328" s="1841"/>
      <c r="G2328" s="1562"/>
      <c r="H2328" s="1596"/>
      <c r="I2328" s="1998"/>
      <c r="J2328" s="40" t="s">
        <v>83</v>
      </c>
      <c r="K2328" s="91"/>
      <c r="L2328" s="364">
        <v>0</v>
      </c>
      <c r="M2328" s="364">
        <v>0</v>
      </c>
      <c r="N2328" s="364">
        <v>0</v>
      </c>
      <c r="O2328" s="364">
        <v>0</v>
      </c>
      <c r="P2328" s="364">
        <v>0</v>
      </c>
      <c r="Q2328" s="1475">
        <f>L2328*$H2325</f>
        <v>0</v>
      </c>
      <c r="R2328" s="1475">
        <f>M2328*$H2325</f>
        <v>0</v>
      </c>
      <c r="S2328" s="1475">
        <f>N2328*$H2325</f>
        <v>0</v>
      </c>
      <c r="T2328" s="1475">
        <f>O2328*$H2325</f>
        <v>0</v>
      </c>
      <c r="U2328" s="1475">
        <f>P2328*$H2325</f>
        <v>0</v>
      </c>
      <c r="V2328" s="1527">
        <f t="shared" si="1114"/>
        <v>0</v>
      </c>
    </row>
    <row r="2329" spans="1:22" s="99" customFormat="1" ht="24" customHeight="1" thickBot="1">
      <c r="A2329" s="1960">
        <v>3</v>
      </c>
      <c r="B2329" s="1874"/>
      <c r="C2329" s="1874"/>
      <c r="D2329" s="1874"/>
      <c r="E2329" s="1862"/>
      <c r="F2329" s="1842"/>
      <c r="G2329" s="1997"/>
      <c r="H2329" s="1597"/>
      <c r="I2329" s="1999"/>
      <c r="J2329" s="80" t="s">
        <v>84</v>
      </c>
      <c r="K2329" s="824"/>
      <c r="L2329" s="371">
        <f>L2320-L2321</f>
        <v>0</v>
      </c>
      <c r="M2329" s="371">
        <f t="shared" ref="M2329:U2329" si="1118">M2320-M2321</f>
        <v>0</v>
      </c>
      <c r="N2329" s="371">
        <f t="shared" si="1118"/>
        <v>0</v>
      </c>
      <c r="O2329" s="371">
        <f t="shared" si="1118"/>
        <v>1</v>
      </c>
      <c r="P2329" s="371">
        <f t="shared" si="1118"/>
        <v>1</v>
      </c>
      <c r="Q2329" s="1487">
        <f t="shared" si="1118"/>
        <v>0</v>
      </c>
      <c r="R2329" s="1487">
        <f t="shared" si="1118"/>
        <v>0</v>
      </c>
      <c r="S2329" s="1487">
        <f t="shared" si="1118"/>
        <v>0</v>
      </c>
      <c r="T2329" s="1487">
        <f t="shared" si="1118"/>
        <v>19320</v>
      </c>
      <c r="U2329" s="1487">
        <f t="shared" si="1118"/>
        <v>19320</v>
      </c>
      <c r="V2329" s="1528">
        <f t="shared" si="1114"/>
        <v>38640</v>
      </c>
    </row>
    <row r="2330" spans="1:22" customFormat="1" ht="15">
      <c r="F2330" s="857"/>
      <c r="G2330" s="857"/>
      <c r="H2330" s="857"/>
      <c r="I2330" s="857"/>
      <c r="J2330" s="951"/>
      <c r="K2330" s="951"/>
      <c r="L2330" s="952"/>
      <c r="M2330" s="952"/>
      <c r="N2330" s="952"/>
      <c r="O2330" s="952"/>
      <c r="P2330" s="952"/>
      <c r="Q2330" s="1543"/>
      <c r="R2330" s="1543"/>
      <c r="S2330" s="1543"/>
      <c r="T2330" s="1543"/>
      <c r="U2330" s="1543"/>
      <c r="V2330" s="1543"/>
    </row>
    <row r="2331" spans="1:22" customFormat="1" ht="15">
      <c r="F2331" s="857"/>
      <c r="G2331" s="857"/>
      <c r="H2331" s="857"/>
      <c r="I2331" s="857"/>
      <c r="J2331" s="951"/>
      <c r="K2331" s="951"/>
      <c r="L2331" s="952"/>
      <c r="M2331" s="952"/>
      <c r="N2331" s="952"/>
      <c r="O2331" s="952"/>
      <c r="P2331" s="952"/>
      <c r="Q2331" s="1543"/>
      <c r="R2331" s="1543"/>
      <c r="S2331" s="1543"/>
      <c r="T2331" s="1543"/>
      <c r="U2331" s="1543"/>
      <c r="V2331" s="1543"/>
    </row>
    <row r="2332" spans="1:22" customFormat="1" ht="15">
      <c r="F2332" s="857"/>
      <c r="G2332" s="857"/>
      <c r="H2332" s="857"/>
      <c r="I2332" s="857"/>
      <c r="J2332" s="951"/>
      <c r="K2332" s="951"/>
      <c r="L2332" s="952"/>
      <c r="M2332" s="952"/>
      <c r="N2332" s="952"/>
      <c r="O2332" s="952"/>
      <c r="P2332" s="952"/>
      <c r="Q2332" s="1543"/>
      <c r="R2332" s="1543"/>
      <c r="S2332" s="1543"/>
      <c r="T2332" s="1543"/>
      <c r="U2332" s="1543"/>
      <c r="V2332" s="1543"/>
    </row>
    <row r="2333" spans="1:22" customFormat="1" ht="15">
      <c r="F2333" s="857"/>
      <c r="G2333" s="857"/>
      <c r="H2333" s="857"/>
      <c r="I2333" s="857"/>
      <c r="J2333" s="951"/>
      <c r="K2333" s="951"/>
      <c r="L2333" s="952"/>
      <c r="M2333" s="952"/>
      <c r="N2333" s="952"/>
      <c r="O2333" s="952"/>
      <c r="P2333" s="952"/>
      <c r="Q2333" s="1543"/>
      <c r="R2333" s="1543"/>
      <c r="S2333" s="1543"/>
      <c r="T2333" s="1543"/>
      <c r="U2333" s="1543"/>
      <c r="V2333" s="1543"/>
    </row>
    <row r="2334" spans="1:22" customFormat="1" ht="15">
      <c r="F2334" s="857"/>
      <c r="G2334" s="857"/>
      <c r="H2334" s="857"/>
      <c r="I2334" s="857"/>
      <c r="J2334" s="951"/>
      <c r="K2334" s="951"/>
      <c r="L2334" s="952"/>
      <c r="M2334" s="952"/>
      <c r="N2334" s="952"/>
      <c r="O2334" s="952"/>
      <c r="P2334" s="952"/>
      <c r="Q2334" s="1543"/>
      <c r="R2334" s="1543"/>
      <c r="S2334" s="1543"/>
      <c r="T2334" s="1543"/>
      <c r="U2334" s="1543"/>
      <c r="V2334" s="1543"/>
    </row>
    <row r="2335" spans="1:22" customFormat="1" ht="15">
      <c r="F2335" s="857"/>
      <c r="G2335" s="857"/>
      <c r="H2335" s="857"/>
      <c r="I2335" s="857"/>
      <c r="J2335" s="951"/>
      <c r="K2335" s="951"/>
      <c r="L2335" s="952"/>
      <c r="M2335" s="952"/>
      <c r="N2335" s="952"/>
      <c r="O2335" s="952"/>
      <c r="P2335" s="952"/>
      <c r="Q2335" s="1543"/>
      <c r="R2335" s="1543"/>
      <c r="S2335" s="1543"/>
      <c r="T2335" s="1543"/>
      <c r="U2335" s="1543"/>
      <c r="V2335" s="1543"/>
    </row>
    <row r="2336" spans="1:22" customFormat="1" ht="15">
      <c r="F2336" s="857"/>
      <c r="G2336" s="857"/>
      <c r="H2336" s="857"/>
      <c r="I2336" s="857"/>
      <c r="J2336" s="951"/>
      <c r="K2336" s="951"/>
      <c r="L2336" s="952"/>
      <c r="M2336" s="952"/>
      <c r="N2336" s="952"/>
      <c r="O2336" s="952"/>
      <c r="P2336" s="952"/>
      <c r="Q2336" s="1543"/>
      <c r="R2336" s="1543"/>
      <c r="S2336" s="1543"/>
      <c r="T2336" s="1543"/>
      <c r="U2336" s="1543"/>
      <c r="V2336" s="1543"/>
    </row>
    <row r="2337" spans="6:22" s="159" customFormat="1" ht="15">
      <c r="F2337" s="1546"/>
      <c r="G2337" s="1546"/>
      <c r="H2337" s="1546"/>
      <c r="I2337" s="1546"/>
      <c r="J2337" s="1547"/>
      <c r="K2337" s="1547"/>
      <c r="L2337" s="1548"/>
      <c r="M2337" s="1548"/>
      <c r="N2337" s="1548"/>
      <c r="O2337" s="1548"/>
      <c r="P2337" s="1548"/>
      <c r="Q2337" s="1549"/>
      <c r="R2337" s="1549"/>
      <c r="S2337" s="1549"/>
      <c r="T2337" s="1549"/>
      <c r="U2337" s="1549"/>
      <c r="V2337" s="1549"/>
    </row>
    <row r="2338" spans="6:22">
      <c r="F2338" s="1550"/>
    </row>
    <row r="2339" spans="6:22">
      <c r="F2339" s="1550"/>
    </row>
    <row r="2340" spans="6:22">
      <c r="F2340" s="1550"/>
    </row>
    <row r="2341" spans="6:22">
      <c r="F2341" s="1550"/>
    </row>
    <row r="2342" spans="6:22">
      <c r="F2342" s="1550"/>
    </row>
    <row r="2343" spans="6:22">
      <c r="F2343" s="1550"/>
    </row>
    <row r="2344" spans="6:22">
      <c r="F2344" s="1550"/>
    </row>
    <row r="2345" spans="6:22">
      <c r="F2345" s="1550"/>
    </row>
    <row r="2346" spans="6:22">
      <c r="F2346" s="1550"/>
    </row>
    <row r="2347" spans="6:22">
      <c r="F2347" s="1550"/>
    </row>
    <row r="2348" spans="6:22">
      <c r="F2348" s="1550"/>
    </row>
    <row r="2349" spans="6:22">
      <c r="F2349" s="1550"/>
    </row>
    <row r="2350" spans="6:22">
      <c r="F2350" s="1550"/>
    </row>
    <row r="2351" spans="6:22">
      <c r="F2351" s="1550"/>
    </row>
    <row r="2352" spans="6:22">
      <c r="F2352" s="1550"/>
    </row>
    <row r="2353" spans="6:6">
      <c r="F2353" s="1550"/>
    </row>
    <row r="2354" spans="6:6">
      <c r="F2354" s="1550"/>
    </row>
    <row r="2355" spans="6:6">
      <c r="F2355" s="1550"/>
    </row>
    <row r="2356" spans="6:6">
      <c r="F2356" s="1550"/>
    </row>
    <row r="2357" spans="6:6">
      <c r="F2357" s="1550"/>
    </row>
    <row r="2358" spans="6:6">
      <c r="F2358" s="1550"/>
    </row>
    <row r="2359" spans="6:6">
      <c r="F2359" s="1550"/>
    </row>
    <row r="2360" spans="6:6">
      <c r="F2360" s="1550"/>
    </row>
    <row r="2361" spans="6:6">
      <c r="F2361" s="1550"/>
    </row>
    <row r="2362" spans="6:6">
      <c r="F2362" s="1550"/>
    </row>
    <row r="2363" spans="6:6">
      <c r="F2363" s="1550"/>
    </row>
    <row r="2364" spans="6:6">
      <c r="F2364" s="1550"/>
    </row>
    <row r="2365" spans="6:6">
      <c r="F2365" s="1550"/>
    </row>
    <row r="2366" spans="6:6">
      <c r="F2366" s="1550"/>
    </row>
    <row r="2367" spans="6:6">
      <c r="F2367" s="1550"/>
    </row>
    <row r="2368" spans="6:6">
      <c r="F2368" s="1550"/>
    </row>
    <row r="2369" spans="6:6">
      <c r="F2369" s="1550"/>
    </row>
    <row r="2370" spans="6:6">
      <c r="F2370" s="1550"/>
    </row>
    <row r="2371" spans="6:6">
      <c r="F2371" s="1550"/>
    </row>
    <row r="2372" spans="6:6">
      <c r="F2372" s="1550"/>
    </row>
    <row r="2373" spans="6:6">
      <c r="F2373" s="1550"/>
    </row>
    <row r="2374" spans="6:6">
      <c r="F2374" s="1550"/>
    </row>
    <row r="2375" spans="6:6">
      <c r="F2375" s="1550"/>
    </row>
    <row r="2376" spans="6:6">
      <c r="F2376" s="1550"/>
    </row>
    <row r="2377" spans="6:6">
      <c r="F2377" s="1550"/>
    </row>
    <row r="2378" spans="6:6">
      <c r="F2378" s="1550"/>
    </row>
    <row r="2379" spans="6:6">
      <c r="F2379" s="1550"/>
    </row>
    <row r="2380" spans="6:6">
      <c r="F2380" s="1550"/>
    </row>
    <row r="2381" spans="6:6">
      <c r="F2381" s="1550"/>
    </row>
    <row r="2382" spans="6:6">
      <c r="F2382" s="1550"/>
    </row>
    <row r="2383" spans="6:6">
      <c r="F2383" s="1550"/>
    </row>
    <row r="2384" spans="6:6">
      <c r="F2384" s="1550"/>
    </row>
    <row r="2385" spans="6:6">
      <c r="F2385" s="1550"/>
    </row>
    <row r="2386" spans="6:6">
      <c r="F2386" s="1550"/>
    </row>
    <row r="2387" spans="6:6">
      <c r="F2387" s="1550"/>
    </row>
    <row r="2388" spans="6:6">
      <c r="F2388" s="1550"/>
    </row>
    <row r="2389" spans="6:6">
      <c r="F2389" s="1550"/>
    </row>
    <row r="2390" spans="6:6">
      <c r="F2390" s="1550"/>
    </row>
    <row r="2391" spans="6:6">
      <c r="F2391" s="1550"/>
    </row>
    <row r="2392" spans="6:6">
      <c r="F2392" s="1550"/>
    </row>
    <row r="2393" spans="6:6">
      <c r="F2393" s="1550"/>
    </row>
    <row r="2394" spans="6:6">
      <c r="F2394" s="1550"/>
    </row>
    <row r="2395" spans="6:6">
      <c r="F2395" s="1550"/>
    </row>
    <row r="2396" spans="6:6">
      <c r="F2396" s="1550"/>
    </row>
    <row r="2397" spans="6:6">
      <c r="F2397" s="1550"/>
    </row>
    <row r="2398" spans="6:6">
      <c r="F2398" s="1550"/>
    </row>
    <row r="2399" spans="6:6">
      <c r="F2399" s="1550"/>
    </row>
    <row r="2400" spans="6:6">
      <c r="F2400" s="1550"/>
    </row>
    <row r="2401" spans="6:6">
      <c r="F2401" s="1550"/>
    </row>
    <row r="2402" spans="6:6">
      <c r="F2402" s="1550"/>
    </row>
    <row r="2403" spans="6:6">
      <c r="F2403" s="1550"/>
    </row>
    <row r="2404" spans="6:6">
      <c r="F2404" s="1550"/>
    </row>
    <row r="2405" spans="6:6">
      <c r="F2405" s="1550"/>
    </row>
    <row r="2406" spans="6:6">
      <c r="F2406" s="1550"/>
    </row>
    <row r="2407" spans="6:6">
      <c r="F2407" s="1550"/>
    </row>
    <row r="2408" spans="6:6">
      <c r="F2408" s="1550"/>
    </row>
    <row r="2409" spans="6:6">
      <c r="F2409" s="1550"/>
    </row>
    <row r="2410" spans="6:6">
      <c r="F2410" s="1550"/>
    </row>
    <row r="2411" spans="6:6">
      <c r="F2411" s="1550"/>
    </row>
    <row r="2412" spans="6:6">
      <c r="F2412" s="1550"/>
    </row>
    <row r="2413" spans="6:6">
      <c r="F2413" s="1550"/>
    </row>
    <row r="2414" spans="6:6">
      <c r="F2414" s="1550"/>
    </row>
    <row r="2415" spans="6:6">
      <c r="F2415" s="1550"/>
    </row>
    <row r="2416" spans="6:6">
      <c r="F2416" s="1550"/>
    </row>
    <row r="2417" spans="6:6">
      <c r="F2417" s="1550"/>
    </row>
    <row r="2418" spans="6:6">
      <c r="F2418" s="1550"/>
    </row>
    <row r="2419" spans="6:6">
      <c r="F2419" s="1550"/>
    </row>
    <row r="2420" spans="6:6">
      <c r="F2420" s="1550"/>
    </row>
    <row r="2421" spans="6:6">
      <c r="F2421" s="1550"/>
    </row>
    <row r="2422" spans="6:6">
      <c r="F2422" s="1550"/>
    </row>
    <row r="2423" spans="6:6">
      <c r="F2423" s="1550"/>
    </row>
    <row r="2424" spans="6:6">
      <c r="F2424" s="1550"/>
    </row>
    <row r="2425" spans="6:6">
      <c r="F2425" s="1550"/>
    </row>
    <row r="2426" spans="6:6">
      <c r="F2426" s="1550"/>
    </row>
    <row r="2427" spans="6:6">
      <c r="F2427" s="1550"/>
    </row>
    <row r="2428" spans="6:6">
      <c r="F2428" s="1550"/>
    </row>
    <row r="2429" spans="6:6">
      <c r="F2429" s="1550"/>
    </row>
    <row r="2430" spans="6:6">
      <c r="F2430" s="1550"/>
    </row>
    <row r="2431" spans="6:6">
      <c r="F2431" s="1550"/>
    </row>
    <row r="2432" spans="6:6">
      <c r="F2432" s="1550"/>
    </row>
    <row r="2433" spans="6:6">
      <c r="F2433" s="1550"/>
    </row>
    <row r="2434" spans="6:6">
      <c r="F2434" s="1550"/>
    </row>
    <row r="2435" spans="6:6">
      <c r="F2435" s="1550"/>
    </row>
    <row r="2436" spans="6:6">
      <c r="F2436" s="1550"/>
    </row>
    <row r="2437" spans="6:6">
      <c r="F2437" s="1550"/>
    </row>
    <row r="2438" spans="6:6">
      <c r="F2438" s="1550"/>
    </row>
    <row r="2439" spans="6:6">
      <c r="F2439" s="1550"/>
    </row>
    <row r="2440" spans="6:6">
      <c r="F2440" s="1550"/>
    </row>
    <row r="2441" spans="6:6">
      <c r="F2441" s="1550"/>
    </row>
    <row r="2442" spans="6:6">
      <c r="F2442" s="1550"/>
    </row>
    <row r="2443" spans="6:6">
      <c r="F2443" s="1550"/>
    </row>
    <row r="2444" spans="6:6">
      <c r="F2444" s="1550"/>
    </row>
    <row r="2445" spans="6:6">
      <c r="F2445" s="1550"/>
    </row>
    <row r="2446" spans="6:6">
      <c r="F2446" s="1550"/>
    </row>
    <row r="2447" spans="6:6">
      <c r="F2447" s="1550"/>
    </row>
    <row r="2448" spans="6:6">
      <c r="F2448" s="1550"/>
    </row>
    <row r="2449" spans="6:6">
      <c r="F2449" s="1550"/>
    </row>
    <row r="2450" spans="6:6">
      <c r="F2450" s="1550"/>
    </row>
    <row r="2451" spans="6:6">
      <c r="F2451" s="1550"/>
    </row>
    <row r="2452" spans="6:6">
      <c r="F2452" s="1550"/>
    </row>
    <row r="2453" spans="6:6">
      <c r="F2453" s="1550"/>
    </row>
    <row r="2454" spans="6:6">
      <c r="F2454" s="1550"/>
    </row>
    <row r="2455" spans="6:6">
      <c r="F2455" s="1550"/>
    </row>
    <row r="2456" spans="6:6">
      <c r="F2456" s="1550"/>
    </row>
    <row r="2457" spans="6:6">
      <c r="F2457" s="1550"/>
    </row>
    <row r="2458" spans="6:6">
      <c r="F2458" s="1550"/>
    </row>
    <row r="2459" spans="6:6">
      <c r="F2459" s="1550"/>
    </row>
    <row r="2460" spans="6:6">
      <c r="F2460" s="1550"/>
    </row>
    <row r="2461" spans="6:6">
      <c r="F2461" s="1550"/>
    </row>
    <row r="2462" spans="6:6">
      <c r="F2462" s="1550"/>
    </row>
    <row r="2463" spans="6:6">
      <c r="F2463" s="1550"/>
    </row>
    <row r="2464" spans="6:6">
      <c r="F2464" s="1550"/>
    </row>
    <row r="2465" spans="6:6">
      <c r="F2465" s="1550"/>
    </row>
    <row r="2466" spans="6:6">
      <c r="F2466" s="1550"/>
    </row>
    <row r="2467" spans="6:6">
      <c r="F2467" s="1550"/>
    </row>
    <row r="2468" spans="6:6">
      <c r="F2468" s="1550"/>
    </row>
    <row r="2469" spans="6:6">
      <c r="F2469" s="1550"/>
    </row>
    <row r="2470" spans="6:6">
      <c r="F2470" s="1550"/>
    </row>
    <row r="2471" spans="6:6">
      <c r="F2471" s="1550"/>
    </row>
    <row r="2472" spans="6:6">
      <c r="F2472" s="1550"/>
    </row>
    <row r="2473" spans="6:6">
      <c r="F2473" s="1550"/>
    </row>
    <row r="2474" spans="6:6">
      <c r="F2474" s="1550"/>
    </row>
    <row r="2475" spans="6:6">
      <c r="F2475" s="1550"/>
    </row>
    <row r="2476" spans="6:6">
      <c r="F2476" s="1550"/>
    </row>
    <row r="2477" spans="6:6">
      <c r="F2477" s="1550"/>
    </row>
    <row r="2478" spans="6:6">
      <c r="F2478" s="1550"/>
    </row>
    <row r="2479" spans="6:6">
      <c r="F2479" s="1550"/>
    </row>
    <row r="2480" spans="6:6">
      <c r="F2480" s="1550"/>
    </row>
    <row r="2481" spans="6:6">
      <c r="F2481" s="1550"/>
    </row>
    <row r="2482" spans="6:6">
      <c r="F2482" s="1550"/>
    </row>
    <row r="2483" spans="6:6">
      <c r="F2483" s="1550"/>
    </row>
    <row r="2484" spans="6:6">
      <c r="F2484" s="1550"/>
    </row>
    <row r="2485" spans="6:6">
      <c r="F2485" s="1550"/>
    </row>
    <row r="2486" spans="6:6">
      <c r="F2486" s="1550"/>
    </row>
    <row r="2487" spans="6:6">
      <c r="F2487" s="1550"/>
    </row>
    <row r="2488" spans="6:6">
      <c r="F2488" s="1550"/>
    </row>
    <row r="2489" spans="6:6">
      <c r="F2489" s="1550"/>
    </row>
    <row r="2490" spans="6:6">
      <c r="F2490" s="1550"/>
    </row>
    <row r="2491" spans="6:6">
      <c r="F2491" s="1550"/>
    </row>
    <row r="2492" spans="6:6">
      <c r="F2492" s="1550"/>
    </row>
    <row r="2493" spans="6:6">
      <c r="F2493" s="1550"/>
    </row>
    <row r="2494" spans="6:6">
      <c r="F2494" s="1550"/>
    </row>
    <row r="2495" spans="6:6">
      <c r="F2495" s="1550"/>
    </row>
    <row r="2496" spans="6:6">
      <c r="F2496" s="1550"/>
    </row>
    <row r="2497" spans="6:6">
      <c r="F2497" s="1550"/>
    </row>
    <row r="2498" spans="6:6">
      <c r="F2498" s="1550"/>
    </row>
    <row r="2499" spans="6:6">
      <c r="F2499" s="1550"/>
    </row>
    <row r="2500" spans="6:6">
      <c r="F2500" s="1550"/>
    </row>
    <row r="2501" spans="6:6">
      <c r="F2501" s="1550"/>
    </row>
    <row r="2502" spans="6:6">
      <c r="F2502" s="1550"/>
    </row>
    <row r="2503" spans="6:6">
      <c r="F2503" s="1550"/>
    </row>
    <row r="2504" spans="6:6">
      <c r="F2504" s="1550"/>
    </row>
    <row r="2505" spans="6:6">
      <c r="F2505" s="1550"/>
    </row>
    <row r="2506" spans="6:6">
      <c r="F2506" s="1550"/>
    </row>
    <row r="2507" spans="6:6">
      <c r="F2507" s="1550"/>
    </row>
    <row r="2508" spans="6:6">
      <c r="F2508" s="1550"/>
    </row>
    <row r="2509" spans="6:6">
      <c r="F2509" s="1550"/>
    </row>
    <row r="2510" spans="6:6">
      <c r="F2510" s="1550"/>
    </row>
    <row r="2511" spans="6:6">
      <c r="F2511" s="1550"/>
    </row>
    <row r="2512" spans="6:6">
      <c r="F2512" s="1550"/>
    </row>
    <row r="2513" spans="6:6">
      <c r="F2513" s="1550"/>
    </row>
    <row r="2514" spans="6:6">
      <c r="F2514" s="1550"/>
    </row>
    <row r="2515" spans="6:6">
      <c r="F2515" s="1550"/>
    </row>
    <row r="2516" spans="6:6">
      <c r="F2516" s="1550"/>
    </row>
    <row r="2517" spans="6:6">
      <c r="F2517" s="1550"/>
    </row>
    <row r="2518" spans="6:6">
      <c r="F2518" s="1550"/>
    </row>
    <row r="2519" spans="6:6">
      <c r="F2519" s="1550"/>
    </row>
    <row r="2520" spans="6:6">
      <c r="F2520" s="1550"/>
    </row>
    <row r="2521" spans="6:6">
      <c r="F2521" s="1550"/>
    </row>
    <row r="2522" spans="6:6">
      <c r="F2522" s="1550"/>
    </row>
    <row r="2523" spans="6:6">
      <c r="F2523" s="1550"/>
    </row>
    <row r="2524" spans="6:6">
      <c r="F2524" s="1550"/>
    </row>
    <row r="2525" spans="6:6">
      <c r="F2525" s="1550"/>
    </row>
    <row r="2526" spans="6:6">
      <c r="F2526" s="1550"/>
    </row>
    <row r="2527" spans="6:6">
      <c r="F2527" s="1550"/>
    </row>
    <row r="2528" spans="6:6">
      <c r="F2528" s="1550"/>
    </row>
    <row r="2529" spans="6:6">
      <c r="F2529" s="1550"/>
    </row>
    <row r="2530" spans="6:6">
      <c r="F2530" s="1550"/>
    </row>
    <row r="2531" spans="6:6">
      <c r="F2531" s="1550"/>
    </row>
    <row r="2532" spans="6:6">
      <c r="F2532" s="1550"/>
    </row>
    <row r="2533" spans="6:6">
      <c r="F2533" s="1550"/>
    </row>
    <row r="2534" spans="6:6">
      <c r="F2534" s="1550"/>
    </row>
    <row r="2535" spans="6:6">
      <c r="F2535" s="1550"/>
    </row>
    <row r="2536" spans="6:6">
      <c r="F2536" s="1550"/>
    </row>
    <row r="2537" spans="6:6">
      <c r="F2537" s="1550"/>
    </row>
    <row r="2538" spans="6:6">
      <c r="F2538" s="1550"/>
    </row>
    <row r="2539" spans="6:6">
      <c r="F2539" s="1550"/>
    </row>
    <row r="2540" spans="6:6">
      <c r="F2540" s="1550"/>
    </row>
    <row r="2541" spans="6:6">
      <c r="F2541" s="1550"/>
    </row>
    <row r="2542" spans="6:6">
      <c r="F2542" s="1550"/>
    </row>
    <row r="2543" spans="6:6">
      <c r="F2543" s="1550"/>
    </row>
    <row r="2544" spans="6:6">
      <c r="F2544" s="1550"/>
    </row>
    <row r="2545" spans="6:6">
      <c r="F2545" s="1550"/>
    </row>
    <row r="2546" spans="6:6">
      <c r="F2546" s="1550"/>
    </row>
    <row r="2547" spans="6:6">
      <c r="F2547" s="1550"/>
    </row>
    <row r="2548" spans="6:6">
      <c r="F2548" s="1550"/>
    </row>
    <row r="2549" spans="6:6">
      <c r="F2549" s="1550"/>
    </row>
    <row r="2550" spans="6:6">
      <c r="F2550" s="1550"/>
    </row>
    <row r="2551" spans="6:6">
      <c r="F2551" s="1550"/>
    </row>
    <row r="2552" spans="6:6">
      <c r="F2552" s="1550"/>
    </row>
    <row r="2553" spans="6:6">
      <c r="F2553" s="1550"/>
    </row>
    <row r="2554" spans="6:6">
      <c r="F2554" s="1550"/>
    </row>
    <row r="2555" spans="6:6">
      <c r="F2555" s="1550"/>
    </row>
    <row r="2556" spans="6:6">
      <c r="F2556" s="1550"/>
    </row>
    <row r="2557" spans="6:6">
      <c r="F2557" s="1550"/>
    </row>
    <row r="2558" spans="6:6">
      <c r="F2558" s="1550"/>
    </row>
    <row r="2559" spans="6:6">
      <c r="F2559" s="1550"/>
    </row>
    <row r="2560" spans="6:6">
      <c r="F2560" s="1550"/>
    </row>
    <row r="2561" spans="6:6">
      <c r="F2561" s="1550"/>
    </row>
    <row r="2562" spans="6:6">
      <c r="F2562" s="1550"/>
    </row>
    <row r="2563" spans="6:6">
      <c r="F2563" s="1550"/>
    </row>
    <row r="2564" spans="6:6">
      <c r="F2564" s="1550"/>
    </row>
    <row r="2565" spans="6:6">
      <c r="F2565" s="1550"/>
    </row>
    <row r="2566" spans="6:6">
      <c r="F2566" s="1550"/>
    </row>
    <row r="2567" spans="6:6">
      <c r="F2567" s="1550"/>
    </row>
    <row r="2568" spans="6:6">
      <c r="F2568" s="1550"/>
    </row>
    <row r="2569" spans="6:6">
      <c r="F2569" s="1550"/>
    </row>
    <row r="2570" spans="6:6">
      <c r="F2570" s="1550"/>
    </row>
    <row r="2571" spans="6:6">
      <c r="F2571" s="1550"/>
    </row>
    <row r="2572" spans="6:6">
      <c r="F2572" s="1550"/>
    </row>
    <row r="2573" spans="6:6">
      <c r="F2573" s="1550"/>
    </row>
    <row r="2574" spans="6:6">
      <c r="F2574" s="1550"/>
    </row>
    <row r="2575" spans="6:6">
      <c r="F2575" s="1550"/>
    </row>
    <row r="2576" spans="6:6">
      <c r="F2576" s="1550"/>
    </row>
    <row r="2577" spans="6:6">
      <c r="F2577" s="1550"/>
    </row>
    <row r="2578" spans="6:6">
      <c r="F2578" s="1550"/>
    </row>
    <row r="2579" spans="6:6">
      <c r="F2579" s="1550"/>
    </row>
    <row r="2580" spans="6:6">
      <c r="F2580" s="1550"/>
    </row>
    <row r="2581" spans="6:6">
      <c r="F2581" s="1550"/>
    </row>
    <row r="2582" spans="6:6">
      <c r="F2582" s="1550"/>
    </row>
    <row r="2583" spans="6:6">
      <c r="F2583" s="1550"/>
    </row>
    <row r="2584" spans="6:6">
      <c r="F2584" s="1550"/>
    </row>
    <row r="2585" spans="6:6">
      <c r="F2585" s="1550"/>
    </row>
    <row r="2586" spans="6:6">
      <c r="F2586" s="1550"/>
    </row>
    <row r="2587" spans="6:6">
      <c r="F2587" s="1550"/>
    </row>
    <row r="2588" spans="6:6">
      <c r="F2588" s="1550"/>
    </row>
    <row r="2589" spans="6:6">
      <c r="F2589" s="1550"/>
    </row>
    <row r="2590" spans="6:6">
      <c r="F2590" s="1550"/>
    </row>
    <row r="2591" spans="6:6">
      <c r="F2591" s="1550"/>
    </row>
    <row r="2592" spans="6:6">
      <c r="F2592" s="1550"/>
    </row>
    <row r="2593" spans="6:6">
      <c r="F2593" s="1550"/>
    </row>
    <row r="2594" spans="6:6">
      <c r="F2594" s="1550"/>
    </row>
    <row r="2595" spans="6:6">
      <c r="F2595" s="1550"/>
    </row>
    <row r="2596" spans="6:6">
      <c r="F2596" s="1550"/>
    </row>
    <row r="2597" spans="6:6">
      <c r="F2597" s="1550"/>
    </row>
    <row r="2598" spans="6:6">
      <c r="F2598" s="1550"/>
    </row>
    <row r="2599" spans="6:6">
      <c r="F2599" s="1550"/>
    </row>
    <row r="2600" spans="6:6">
      <c r="F2600" s="1550"/>
    </row>
    <row r="2601" spans="6:6">
      <c r="F2601" s="1550"/>
    </row>
    <row r="2602" spans="6:6">
      <c r="F2602" s="1550"/>
    </row>
    <row r="2603" spans="6:6">
      <c r="F2603" s="1550"/>
    </row>
    <row r="2604" spans="6:6">
      <c r="F2604" s="1550"/>
    </row>
    <row r="2605" spans="6:6">
      <c r="F2605" s="1550"/>
    </row>
    <row r="2606" spans="6:6">
      <c r="F2606" s="1550"/>
    </row>
    <row r="2607" spans="6:6">
      <c r="F2607" s="1550"/>
    </row>
    <row r="2608" spans="6:6">
      <c r="F2608" s="1550"/>
    </row>
    <row r="2609" spans="6:6">
      <c r="F2609" s="1550"/>
    </row>
    <row r="2610" spans="6:6">
      <c r="F2610" s="1550"/>
    </row>
    <row r="2611" spans="6:6">
      <c r="F2611" s="1550"/>
    </row>
    <row r="2612" spans="6:6">
      <c r="F2612" s="1550"/>
    </row>
    <row r="2613" spans="6:6">
      <c r="F2613" s="1550"/>
    </row>
    <row r="2614" spans="6:6">
      <c r="F2614" s="1550"/>
    </row>
    <row r="2615" spans="6:6">
      <c r="F2615" s="1550"/>
    </row>
    <row r="2616" spans="6:6">
      <c r="F2616" s="1550"/>
    </row>
    <row r="2617" spans="6:6">
      <c r="F2617" s="1550"/>
    </row>
    <row r="2618" spans="6:6">
      <c r="F2618" s="1550"/>
    </row>
    <row r="2619" spans="6:6">
      <c r="F2619" s="1550"/>
    </row>
    <row r="2620" spans="6:6">
      <c r="F2620" s="1550"/>
    </row>
    <row r="2621" spans="6:6">
      <c r="F2621" s="1550"/>
    </row>
    <row r="2622" spans="6:6">
      <c r="F2622" s="1550"/>
    </row>
    <row r="2623" spans="6:6">
      <c r="F2623" s="1550"/>
    </row>
    <row r="2624" spans="6:6">
      <c r="F2624" s="1550"/>
    </row>
    <row r="2625" spans="6:6">
      <c r="F2625" s="1550"/>
    </row>
    <row r="2626" spans="6:6">
      <c r="F2626" s="1550"/>
    </row>
    <row r="2627" spans="6:6">
      <c r="F2627" s="1550"/>
    </row>
    <row r="2628" spans="6:6">
      <c r="F2628" s="1550"/>
    </row>
    <row r="2629" spans="6:6">
      <c r="F2629" s="1550"/>
    </row>
    <row r="2630" spans="6:6">
      <c r="F2630" s="1550"/>
    </row>
    <row r="2631" spans="6:6">
      <c r="F2631" s="1550"/>
    </row>
    <row r="2632" spans="6:6">
      <c r="F2632" s="1550"/>
    </row>
    <row r="2633" spans="6:6">
      <c r="F2633" s="1550"/>
    </row>
    <row r="2634" spans="6:6">
      <c r="F2634" s="1550"/>
    </row>
    <row r="2635" spans="6:6">
      <c r="F2635" s="1550"/>
    </row>
    <row r="2636" spans="6:6">
      <c r="F2636" s="1550"/>
    </row>
    <row r="2637" spans="6:6">
      <c r="F2637" s="1550"/>
    </row>
    <row r="2638" spans="6:6">
      <c r="F2638" s="1550"/>
    </row>
    <row r="2639" spans="6:6">
      <c r="F2639" s="1550"/>
    </row>
    <row r="2640" spans="6:6">
      <c r="F2640" s="1550"/>
    </row>
    <row r="2641" spans="6:6">
      <c r="F2641" s="1550"/>
    </row>
    <row r="2642" spans="6:6">
      <c r="F2642" s="1550"/>
    </row>
    <row r="2643" spans="6:6">
      <c r="F2643" s="1550"/>
    </row>
    <row r="2644" spans="6:6">
      <c r="F2644" s="1550"/>
    </row>
    <row r="2645" spans="6:6">
      <c r="F2645" s="1550"/>
    </row>
    <row r="2646" spans="6:6">
      <c r="F2646" s="1550"/>
    </row>
    <row r="2647" spans="6:6">
      <c r="F2647" s="1550"/>
    </row>
    <row r="2648" spans="6:6">
      <c r="F2648" s="1550"/>
    </row>
    <row r="2649" spans="6:6">
      <c r="F2649" s="1550"/>
    </row>
    <row r="2650" spans="6:6">
      <c r="F2650" s="1550"/>
    </row>
    <row r="2651" spans="6:6">
      <c r="F2651" s="1550"/>
    </row>
    <row r="2652" spans="6:6">
      <c r="F2652" s="1550"/>
    </row>
    <row r="2653" spans="6:6">
      <c r="F2653" s="1550"/>
    </row>
    <row r="2654" spans="6:6">
      <c r="F2654" s="1550"/>
    </row>
    <row r="2655" spans="6:6">
      <c r="F2655" s="1550"/>
    </row>
    <row r="2656" spans="6:6">
      <c r="F2656" s="1550"/>
    </row>
    <row r="2657" spans="6:6">
      <c r="F2657" s="1550"/>
    </row>
    <row r="2658" spans="6:6">
      <c r="F2658" s="1550"/>
    </row>
    <row r="2659" spans="6:6">
      <c r="F2659" s="1550"/>
    </row>
    <row r="2660" spans="6:6">
      <c r="F2660" s="1550"/>
    </row>
    <row r="2661" spans="6:6">
      <c r="F2661" s="1550"/>
    </row>
    <row r="2662" spans="6:6">
      <c r="F2662" s="1550"/>
    </row>
    <row r="2663" spans="6:6">
      <c r="F2663" s="1550"/>
    </row>
    <row r="2664" spans="6:6">
      <c r="F2664" s="1550"/>
    </row>
    <row r="2665" spans="6:6">
      <c r="F2665" s="1550"/>
    </row>
    <row r="2666" spans="6:6">
      <c r="F2666" s="1550"/>
    </row>
    <row r="2667" spans="6:6">
      <c r="F2667" s="1550"/>
    </row>
    <row r="2668" spans="6:6">
      <c r="F2668" s="1550"/>
    </row>
    <row r="2669" spans="6:6">
      <c r="F2669" s="1550"/>
    </row>
    <row r="2670" spans="6:6">
      <c r="F2670" s="1550"/>
    </row>
    <row r="2671" spans="6:6">
      <c r="F2671" s="1550"/>
    </row>
    <row r="2672" spans="6:6">
      <c r="F2672" s="1550"/>
    </row>
    <row r="2673" spans="6:6">
      <c r="F2673" s="1550"/>
    </row>
    <row r="2674" spans="6:6">
      <c r="F2674" s="1550"/>
    </row>
    <row r="2675" spans="6:6">
      <c r="F2675" s="1550"/>
    </row>
    <row r="2676" spans="6:6">
      <c r="F2676" s="1550"/>
    </row>
    <row r="2677" spans="6:6">
      <c r="F2677" s="1550"/>
    </row>
    <row r="2678" spans="6:6">
      <c r="F2678" s="1550"/>
    </row>
    <row r="2679" spans="6:6">
      <c r="F2679" s="1550"/>
    </row>
    <row r="2680" spans="6:6">
      <c r="F2680" s="1550"/>
    </row>
    <row r="2681" spans="6:6">
      <c r="F2681" s="1550"/>
    </row>
    <row r="2682" spans="6:6">
      <c r="F2682" s="1550"/>
    </row>
    <row r="2683" spans="6:6">
      <c r="F2683" s="1550"/>
    </row>
    <row r="2684" spans="6:6">
      <c r="F2684" s="1550"/>
    </row>
    <row r="2685" spans="6:6">
      <c r="F2685" s="1550"/>
    </row>
    <row r="2686" spans="6:6">
      <c r="F2686" s="1550"/>
    </row>
    <row r="2687" spans="6:6">
      <c r="F2687" s="1550"/>
    </row>
    <row r="2688" spans="6:6">
      <c r="F2688" s="1550"/>
    </row>
    <row r="2689" spans="6:6">
      <c r="F2689" s="1550"/>
    </row>
    <row r="2690" spans="6:6">
      <c r="F2690" s="1550"/>
    </row>
    <row r="2691" spans="6:6">
      <c r="F2691" s="1550"/>
    </row>
    <row r="2692" spans="6:6">
      <c r="F2692" s="1550"/>
    </row>
    <row r="2693" spans="6:6">
      <c r="F2693" s="1550"/>
    </row>
    <row r="2694" spans="6:6">
      <c r="F2694" s="1550"/>
    </row>
    <row r="2695" spans="6:6">
      <c r="F2695" s="1550"/>
    </row>
    <row r="2696" spans="6:6">
      <c r="F2696" s="1550"/>
    </row>
    <row r="2697" spans="6:6">
      <c r="F2697" s="1550"/>
    </row>
    <row r="2698" spans="6:6">
      <c r="F2698" s="1550"/>
    </row>
    <row r="2699" spans="6:6">
      <c r="F2699" s="1550"/>
    </row>
    <row r="2700" spans="6:6">
      <c r="F2700" s="1550"/>
    </row>
    <row r="2701" spans="6:6">
      <c r="F2701" s="1550"/>
    </row>
    <row r="2702" spans="6:6">
      <c r="F2702" s="1550"/>
    </row>
    <row r="2703" spans="6:6">
      <c r="F2703" s="1550"/>
    </row>
    <row r="2704" spans="6:6">
      <c r="F2704" s="1550"/>
    </row>
    <row r="2705" spans="6:6">
      <c r="F2705" s="1550"/>
    </row>
    <row r="2706" spans="6:6">
      <c r="F2706" s="1550"/>
    </row>
    <row r="2707" spans="6:6">
      <c r="F2707" s="1550"/>
    </row>
    <row r="2708" spans="6:6">
      <c r="F2708" s="1550"/>
    </row>
    <row r="2709" spans="6:6">
      <c r="F2709" s="1550"/>
    </row>
    <row r="2710" spans="6:6">
      <c r="F2710" s="1550"/>
    </row>
    <row r="2711" spans="6:6">
      <c r="F2711" s="1550"/>
    </row>
    <row r="2712" spans="6:6">
      <c r="F2712" s="1550"/>
    </row>
    <row r="2713" spans="6:6">
      <c r="F2713" s="1550"/>
    </row>
    <row r="2714" spans="6:6">
      <c r="F2714" s="1550"/>
    </row>
    <row r="2715" spans="6:6">
      <c r="F2715" s="1550"/>
    </row>
    <row r="2716" spans="6:6">
      <c r="F2716" s="1550"/>
    </row>
    <row r="2717" spans="6:6">
      <c r="F2717" s="1550"/>
    </row>
    <row r="2718" spans="6:6">
      <c r="F2718" s="1550"/>
    </row>
    <row r="2719" spans="6:6">
      <c r="F2719" s="1550"/>
    </row>
    <row r="2720" spans="6:6">
      <c r="F2720" s="1550"/>
    </row>
    <row r="2721" spans="6:6">
      <c r="F2721" s="1550"/>
    </row>
    <row r="2722" spans="6:6">
      <c r="F2722" s="1550"/>
    </row>
    <row r="2723" spans="6:6">
      <c r="F2723" s="1550"/>
    </row>
    <row r="2724" spans="6:6">
      <c r="F2724" s="1550"/>
    </row>
    <row r="2725" spans="6:6">
      <c r="F2725" s="1550"/>
    </row>
    <row r="2726" spans="6:6">
      <c r="F2726" s="1550"/>
    </row>
    <row r="2727" spans="6:6">
      <c r="F2727" s="1550"/>
    </row>
    <row r="2728" spans="6:6">
      <c r="F2728" s="1550"/>
    </row>
    <row r="2729" spans="6:6">
      <c r="F2729" s="1550"/>
    </row>
    <row r="2730" spans="6:6">
      <c r="F2730" s="1550"/>
    </row>
    <row r="2731" spans="6:6">
      <c r="F2731" s="1550"/>
    </row>
    <row r="2732" spans="6:6">
      <c r="F2732" s="1550"/>
    </row>
    <row r="2733" spans="6:6">
      <c r="F2733" s="1550"/>
    </row>
    <row r="2734" spans="6:6">
      <c r="F2734" s="1550"/>
    </row>
    <row r="2735" spans="6:6">
      <c r="F2735" s="1550"/>
    </row>
    <row r="2736" spans="6:6">
      <c r="F2736" s="1550"/>
    </row>
    <row r="2737" spans="6:6">
      <c r="F2737" s="1550"/>
    </row>
    <row r="2738" spans="6:6">
      <c r="F2738" s="1550"/>
    </row>
    <row r="2739" spans="6:6">
      <c r="F2739" s="1550"/>
    </row>
    <row r="2740" spans="6:6">
      <c r="F2740" s="1550"/>
    </row>
    <row r="2741" spans="6:6">
      <c r="F2741" s="1550"/>
    </row>
    <row r="2742" spans="6:6">
      <c r="F2742" s="1550"/>
    </row>
    <row r="2743" spans="6:6">
      <c r="F2743" s="1550"/>
    </row>
    <row r="2744" spans="6:6">
      <c r="F2744" s="1550"/>
    </row>
    <row r="2745" spans="6:6">
      <c r="F2745" s="1550"/>
    </row>
    <row r="2746" spans="6:6">
      <c r="F2746" s="1550"/>
    </row>
    <row r="2747" spans="6:6">
      <c r="F2747" s="1550"/>
    </row>
    <row r="2748" spans="6:6">
      <c r="F2748" s="1550"/>
    </row>
    <row r="2749" spans="6:6">
      <c r="F2749" s="1550"/>
    </row>
    <row r="2750" spans="6:6">
      <c r="F2750" s="1550"/>
    </row>
    <row r="2751" spans="6:6">
      <c r="F2751" s="1550"/>
    </row>
    <row r="2752" spans="6:6">
      <c r="F2752" s="1550"/>
    </row>
    <row r="2753" spans="6:6">
      <c r="F2753" s="1550"/>
    </row>
    <row r="2754" spans="6:6">
      <c r="F2754" s="1550"/>
    </row>
    <row r="2755" spans="6:6">
      <c r="F2755" s="1550"/>
    </row>
    <row r="2756" spans="6:6">
      <c r="F2756" s="1550"/>
    </row>
    <row r="2757" spans="6:6">
      <c r="F2757" s="1550"/>
    </row>
    <row r="2758" spans="6:6">
      <c r="F2758" s="1550"/>
    </row>
    <row r="2759" spans="6:6">
      <c r="F2759" s="1550"/>
    </row>
    <row r="2760" spans="6:6">
      <c r="F2760" s="1550"/>
    </row>
    <row r="2761" spans="6:6">
      <c r="F2761" s="1550"/>
    </row>
    <row r="2762" spans="6:6">
      <c r="F2762" s="1550"/>
    </row>
    <row r="2763" spans="6:6">
      <c r="F2763" s="1550"/>
    </row>
    <row r="2764" spans="6:6">
      <c r="F2764" s="1550"/>
    </row>
    <row r="2765" spans="6:6">
      <c r="F2765" s="1550"/>
    </row>
    <row r="2766" spans="6:6">
      <c r="F2766" s="1550"/>
    </row>
    <row r="2767" spans="6:6">
      <c r="F2767" s="1550"/>
    </row>
    <row r="2768" spans="6:6">
      <c r="F2768" s="1550"/>
    </row>
    <row r="2769" spans="6:6">
      <c r="F2769" s="1550"/>
    </row>
    <row r="2770" spans="6:6">
      <c r="F2770" s="1550"/>
    </row>
    <row r="2771" spans="6:6">
      <c r="F2771" s="1550"/>
    </row>
    <row r="2772" spans="6:6">
      <c r="F2772" s="1550"/>
    </row>
    <row r="2773" spans="6:6">
      <c r="F2773" s="1550"/>
    </row>
    <row r="2774" spans="6:6">
      <c r="F2774" s="1550"/>
    </row>
    <row r="2775" spans="6:6">
      <c r="F2775" s="1550"/>
    </row>
    <row r="2776" spans="6:6">
      <c r="F2776" s="1550"/>
    </row>
    <row r="2777" spans="6:6">
      <c r="F2777" s="1550"/>
    </row>
    <row r="2778" spans="6:6">
      <c r="F2778" s="1550"/>
    </row>
    <row r="2779" spans="6:6">
      <c r="F2779" s="1550"/>
    </row>
    <row r="2780" spans="6:6">
      <c r="F2780" s="1550"/>
    </row>
    <row r="2781" spans="6:6">
      <c r="F2781" s="1550"/>
    </row>
    <row r="2782" spans="6:6">
      <c r="F2782" s="1550"/>
    </row>
    <row r="2783" spans="6:6">
      <c r="F2783" s="1550"/>
    </row>
    <row r="2784" spans="6:6">
      <c r="F2784" s="1550"/>
    </row>
    <row r="2785" spans="6:6">
      <c r="F2785" s="1550"/>
    </row>
    <row r="2786" spans="6:6">
      <c r="F2786" s="1550"/>
    </row>
    <row r="2787" spans="6:6">
      <c r="F2787" s="1550"/>
    </row>
    <row r="2788" spans="6:6">
      <c r="F2788" s="1550"/>
    </row>
    <row r="2789" spans="6:6">
      <c r="F2789" s="1550"/>
    </row>
    <row r="2790" spans="6:6">
      <c r="F2790" s="1550"/>
    </row>
    <row r="2791" spans="6:6">
      <c r="F2791" s="1550"/>
    </row>
    <row r="2792" spans="6:6">
      <c r="F2792" s="1550"/>
    </row>
    <row r="2793" spans="6:6">
      <c r="F2793" s="1550"/>
    </row>
    <row r="2794" spans="6:6">
      <c r="F2794" s="1550"/>
    </row>
    <row r="2795" spans="6:6">
      <c r="F2795" s="1550"/>
    </row>
    <row r="2796" spans="6:6">
      <c r="F2796" s="1550"/>
    </row>
    <row r="2797" spans="6:6">
      <c r="F2797" s="1550"/>
    </row>
    <row r="2798" spans="6:6">
      <c r="F2798" s="1550"/>
    </row>
    <row r="2799" spans="6:6">
      <c r="F2799" s="1550"/>
    </row>
    <row r="2800" spans="6:6">
      <c r="F2800" s="1550"/>
    </row>
    <row r="2801" spans="6:6">
      <c r="F2801" s="1550"/>
    </row>
    <row r="2802" spans="6:6">
      <c r="F2802" s="1550"/>
    </row>
    <row r="2803" spans="6:6">
      <c r="F2803" s="1550"/>
    </row>
    <row r="2804" spans="6:6">
      <c r="F2804" s="1550"/>
    </row>
    <row r="2805" spans="6:6">
      <c r="F2805" s="1550"/>
    </row>
    <row r="2806" spans="6:6">
      <c r="F2806" s="1550"/>
    </row>
    <row r="2807" spans="6:6">
      <c r="F2807" s="1550"/>
    </row>
    <row r="2808" spans="6:6">
      <c r="F2808" s="1550"/>
    </row>
    <row r="2809" spans="6:6">
      <c r="F2809" s="1550"/>
    </row>
    <row r="2810" spans="6:6">
      <c r="F2810" s="1550"/>
    </row>
    <row r="2811" spans="6:6">
      <c r="F2811" s="1550"/>
    </row>
    <row r="2812" spans="6:6">
      <c r="F2812" s="1550"/>
    </row>
    <row r="2813" spans="6:6">
      <c r="F2813" s="1550"/>
    </row>
    <row r="2814" spans="6:6">
      <c r="F2814" s="1550"/>
    </row>
    <row r="2815" spans="6:6">
      <c r="F2815" s="1550"/>
    </row>
    <row r="2816" spans="6:6">
      <c r="F2816" s="1550"/>
    </row>
    <row r="2817" spans="6:6">
      <c r="F2817" s="1550"/>
    </row>
    <row r="2818" spans="6:6">
      <c r="F2818" s="1550"/>
    </row>
    <row r="2819" spans="6:6">
      <c r="F2819" s="1550"/>
    </row>
    <row r="2820" spans="6:6">
      <c r="F2820" s="1550"/>
    </row>
    <row r="2821" spans="6:6">
      <c r="F2821" s="1550"/>
    </row>
    <row r="2822" spans="6:6">
      <c r="F2822" s="1550"/>
    </row>
    <row r="2823" spans="6:6">
      <c r="F2823" s="1550"/>
    </row>
    <row r="2824" spans="6:6">
      <c r="F2824" s="1550"/>
    </row>
    <row r="2825" spans="6:6">
      <c r="F2825" s="1550"/>
    </row>
    <row r="2826" spans="6:6">
      <c r="F2826" s="1550"/>
    </row>
    <row r="2827" spans="6:6">
      <c r="F2827" s="1550"/>
    </row>
    <row r="2828" spans="6:6">
      <c r="F2828" s="1550"/>
    </row>
    <row r="2829" spans="6:6">
      <c r="F2829" s="1550"/>
    </row>
    <row r="2830" spans="6:6">
      <c r="F2830" s="1550"/>
    </row>
    <row r="2831" spans="6:6">
      <c r="F2831" s="1550"/>
    </row>
    <row r="2832" spans="6:6">
      <c r="F2832" s="1550"/>
    </row>
    <row r="2833" spans="6:6">
      <c r="F2833" s="1550"/>
    </row>
    <row r="2834" spans="6:6">
      <c r="F2834" s="1550"/>
    </row>
    <row r="2835" spans="6:6">
      <c r="F2835" s="1550"/>
    </row>
    <row r="2836" spans="6:6">
      <c r="F2836" s="1550"/>
    </row>
    <row r="2837" spans="6:6">
      <c r="F2837" s="1550"/>
    </row>
    <row r="2838" spans="6:6">
      <c r="F2838" s="1550"/>
    </row>
    <row r="2839" spans="6:6">
      <c r="F2839" s="1550"/>
    </row>
    <row r="2840" spans="6:6">
      <c r="F2840" s="1550"/>
    </row>
    <row r="2841" spans="6:6">
      <c r="F2841" s="1550"/>
    </row>
    <row r="2842" spans="6:6">
      <c r="F2842" s="1550"/>
    </row>
    <row r="2843" spans="6:6">
      <c r="F2843" s="1550"/>
    </row>
    <row r="2844" spans="6:6">
      <c r="F2844" s="1550"/>
    </row>
    <row r="2845" spans="6:6">
      <c r="F2845" s="1550"/>
    </row>
    <row r="2846" spans="6:6">
      <c r="F2846" s="1550"/>
    </row>
    <row r="2847" spans="6:6">
      <c r="F2847" s="1550"/>
    </row>
    <row r="2848" spans="6:6">
      <c r="F2848" s="1550"/>
    </row>
    <row r="2849" spans="6:6">
      <c r="F2849" s="1550"/>
    </row>
    <row r="2850" spans="6:6">
      <c r="F2850" s="1550"/>
    </row>
    <row r="2851" spans="6:6">
      <c r="F2851" s="1550"/>
    </row>
    <row r="2852" spans="6:6">
      <c r="F2852" s="1550"/>
    </row>
    <row r="2853" spans="6:6">
      <c r="F2853" s="1550"/>
    </row>
    <row r="2854" spans="6:6">
      <c r="F2854" s="1550"/>
    </row>
    <row r="2855" spans="6:6">
      <c r="F2855" s="1550"/>
    </row>
    <row r="2856" spans="6:6">
      <c r="F2856" s="1550"/>
    </row>
    <row r="2857" spans="6:6">
      <c r="F2857" s="1550"/>
    </row>
    <row r="2858" spans="6:6">
      <c r="F2858" s="1550"/>
    </row>
    <row r="2859" spans="6:6">
      <c r="F2859" s="1550"/>
    </row>
    <row r="2860" spans="6:6">
      <c r="F2860" s="1550"/>
    </row>
    <row r="2861" spans="6:6">
      <c r="F2861" s="1550"/>
    </row>
    <row r="2862" spans="6:6">
      <c r="F2862" s="1550"/>
    </row>
    <row r="2863" spans="6:6">
      <c r="F2863" s="1550"/>
    </row>
    <row r="2864" spans="6:6">
      <c r="F2864" s="1550"/>
    </row>
    <row r="2865" spans="6:6">
      <c r="F2865" s="1550"/>
    </row>
    <row r="2866" spans="6:6">
      <c r="F2866" s="1550"/>
    </row>
    <row r="2867" spans="6:6">
      <c r="F2867" s="1550"/>
    </row>
    <row r="2868" spans="6:6">
      <c r="F2868" s="1550"/>
    </row>
    <row r="2869" spans="6:6">
      <c r="F2869" s="1550"/>
    </row>
    <row r="2870" spans="6:6">
      <c r="F2870" s="1550"/>
    </row>
    <row r="2871" spans="6:6">
      <c r="F2871" s="1550"/>
    </row>
    <row r="2872" spans="6:6">
      <c r="F2872" s="1550"/>
    </row>
    <row r="2873" spans="6:6">
      <c r="F2873" s="1550"/>
    </row>
    <row r="2874" spans="6:6">
      <c r="F2874" s="1550"/>
    </row>
    <row r="2875" spans="6:6">
      <c r="F2875" s="1550"/>
    </row>
    <row r="2876" spans="6:6">
      <c r="F2876" s="1550"/>
    </row>
    <row r="2877" spans="6:6">
      <c r="F2877" s="1550"/>
    </row>
    <row r="2878" spans="6:6">
      <c r="F2878" s="1550"/>
    </row>
    <row r="2879" spans="6:6">
      <c r="F2879" s="1550"/>
    </row>
    <row r="2880" spans="6:6">
      <c r="F2880" s="1550"/>
    </row>
    <row r="2881" spans="6:6">
      <c r="F2881" s="1550"/>
    </row>
    <row r="2882" spans="6:6">
      <c r="F2882" s="1550"/>
    </row>
    <row r="2883" spans="6:6">
      <c r="F2883" s="1550"/>
    </row>
    <row r="2884" spans="6:6">
      <c r="F2884" s="1550"/>
    </row>
    <row r="2885" spans="6:6">
      <c r="F2885" s="1550"/>
    </row>
    <row r="2886" spans="6:6">
      <c r="F2886" s="1550"/>
    </row>
    <row r="2887" spans="6:6">
      <c r="F2887" s="1550"/>
    </row>
    <row r="2888" spans="6:6">
      <c r="F2888" s="1550"/>
    </row>
    <row r="2889" spans="6:6">
      <c r="F2889" s="1550"/>
    </row>
    <row r="2890" spans="6:6">
      <c r="F2890" s="1550"/>
    </row>
    <row r="2891" spans="6:6">
      <c r="F2891" s="1550"/>
    </row>
    <row r="2892" spans="6:6">
      <c r="F2892" s="1550"/>
    </row>
    <row r="2893" spans="6:6">
      <c r="F2893" s="1550"/>
    </row>
    <row r="2894" spans="6:6">
      <c r="F2894" s="1550"/>
    </row>
    <row r="2895" spans="6:6">
      <c r="F2895" s="1550"/>
    </row>
    <row r="2896" spans="6:6">
      <c r="F2896" s="1550"/>
    </row>
    <row r="2897" spans="6:6">
      <c r="F2897" s="1550"/>
    </row>
    <row r="2898" spans="6:6">
      <c r="F2898" s="1550"/>
    </row>
    <row r="2899" spans="6:6">
      <c r="F2899" s="1550"/>
    </row>
    <row r="2900" spans="6:6">
      <c r="F2900" s="1550"/>
    </row>
    <row r="2901" spans="6:6">
      <c r="F2901" s="1550"/>
    </row>
    <row r="2902" spans="6:6">
      <c r="F2902" s="1550"/>
    </row>
    <row r="2903" spans="6:6">
      <c r="F2903" s="1550"/>
    </row>
    <row r="2904" spans="6:6">
      <c r="F2904" s="1550"/>
    </row>
    <row r="2905" spans="6:6">
      <c r="F2905" s="1550"/>
    </row>
    <row r="2906" spans="6:6">
      <c r="F2906" s="1550"/>
    </row>
    <row r="2907" spans="6:6">
      <c r="F2907" s="1550"/>
    </row>
    <row r="2908" spans="6:6">
      <c r="F2908" s="1550"/>
    </row>
    <row r="2909" spans="6:6">
      <c r="F2909" s="1550"/>
    </row>
    <row r="2910" spans="6:6">
      <c r="F2910" s="1550"/>
    </row>
    <row r="2911" spans="6:6">
      <c r="F2911" s="1550"/>
    </row>
    <row r="2912" spans="6:6">
      <c r="F2912" s="1550"/>
    </row>
    <row r="2913" spans="6:6">
      <c r="F2913" s="1550"/>
    </row>
    <row r="2914" spans="6:6">
      <c r="F2914" s="1550"/>
    </row>
    <row r="2915" spans="6:6">
      <c r="F2915" s="1550"/>
    </row>
    <row r="2916" spans="6:6">
      <c r="F2916" s="1550"/>
    </row>
    <row r="2917" spans="6:6">
      <c r="F2917" s="1550"/>
    </row>
    <row r="2918" spans="6:6">
      <c r="F2918" s="1550"/>
    </row>
    <row r="2919" spans="6:6">
      <c r="F2919" s="1550"/>
    </row>
    <row r="2920" spans="6:6">
      <c r="F2920" s="1550"/>
    </row>
    <row r="2921" spans="6:6">
      <c r="F2921" s="1550"/>
    </row>
    <row r="2922" spans="6:6">
      <c r="F2922" s="1550"/>
    </row>
    <row r="2923" spans="6:6">
      <c r="F2923" s="1550"/>
    </row>
    <row r="2924" spans="6:6">
      <c r="F2924" s="1550"/>
    </row>
    <row r="2925" spans="6:6">
      <c r="F2925" s="1550"/>
    </row>
    <row r="2926" spans="6:6">
      <c r="F2926" s="1550"/>
    </row>
    <row r="2927" spans="6:6">
      <c r="F2927" s="1550"/>
    </row>
    <row r="2928" spans="6:6">
      <c r="F2928" s="1550"/>
    </row>
    <row r="2929" spans="6:6">
      <c r="F2929" s="1550"/>
    </row>
    <row r="2930" spans="6:6">
      <c r="F2930" s="1550"/>
    </row>
    <row r="2931" spans="6:6">
      <c r="F2931" s="1550"/>
    </row>
    <row r="2932" spans="6:6">
      <c r="F2932" s="1550"/>
    </row>
    <row r="2933" spans="6:6">
      <c r="F2933" s="1550"/>
    </row>
    <row r="2934" spans="6:6">
      <c r="F2934" s="1550"/>
    </row>
    <row r="2935" spans="6:6">
      <c r="F2935" s="1550"/>
    </row>
    <row r="2936" spans="6:6">
      <c r="F2936" s="1550"/>
    </row>
    <row r="2937" spans="6:6">
      <c r="F2937" s="1550"/>
    </row>
    <row r="2938" spans="6:6">
      <c r="F2938" s="1550"/>
    </row>
    <row r="2939" spans="6:6">
      <c r="F2939" s="1550"/>
    </row>
    <row r="2940" spans="6:6">
      <c r="F2940" s="1550"/>
    </row>
    <row r="2941" spans="6:6">
      <c r="F2941" s="1550"/>
    </row>
    <row r="2942" spans="6:6">
      <c r="F2942" s="1550"/>
    </row>
    <row r="2943" spans="6:6">
      <c r="F2943" s="1550"/>
    </row>
    <row r="2944" spans="6:6">
      <c r="F2944" s="1550"/>
    </row>
    <row r="2945" spans="6:6">
      <c r="F2945" s="1550"/>
    </row>
    <row r="2946" spans="6:6">
      <c r="F2946" s="1550"/>
    </row>
    <row r="2947" spans="6:6">
      <c r="F2947" s="1550"/>
    </row>
    <row r="2948" spans="6:6">
      <c r="F2948" s="1550"/>
    </row>
    <row r="2949" spans="6:6">
      <c r="F2949" s="1550"/>
    </row>
    <row r="2950" spans="6:6">
      <c r="F2950" s="1550"/>
    </row>
    <row r="2951" spans="6:6">
      <c r="F2951" s="1550"/>
    </row>
    <row r="2952" spans="6:6">
      <c r="F2952" s="1550"/>
    </row>
    <row r="2953" spans="6:6">
      <c r="F2953" s="1550"/>
    </row>
    <row r="2954" spans="6:6">
      <c r="F2954" s="1550"/>
    </row>
    <row r="2955" spans="6:6">
      <c r="F2955" s="1550"/>
    </row>
    <row r="2956" spans="6:6">
      <c r="F2956" s="1550"/>
    </row>
    <row r="2957" spans="6:6">
      <c r="F2957" s="1550"/>
    </row>
    <row r="2958" spans="6:6">
      <c r="F2958" s="1550"/>
    </row>
    <row r="2959" spans="6:6">
      <c r="F2959" s="1550"/>
    </row>
    <row r="2960" spans="6:6">
      <c r="F2960" s="1550"/>
    </row>
    <row r="2961" spans="6:6">
      <c r="F2961" s="1550"/>
    </row>
    <row r="2962" spans="6:6">
      <c r="F2962" s="1550"/>
    </row>
    <row r="2963" spans="6:6">
      <c r="F2963" s="1550"/>
    </row>
    <row r="2964" spans="6:6">
      <c r="F2964" s="1550"/>
    </row>
    <row r="2965" spans="6:6">
      <c r="F2965" s="1550"/>
    </row>
    <row r="2966" spans="6:6">
      <c r="F2966" s="1550"/>
    </row>
    <row r="2967" spans="6:6">
      <c r="F2967" s="1550"/>
    </row>
    <row r="2968" spans="6:6">
      <c r="F2968" s="1550"/>
    </row>
    <row r="2969" spans="6:6">
      <c r="F2969" s="1550"/>
    </row>
    <row r="2970" spans="6:6">
      <c r="F2970" s="1550"/>
    </row>
    <row r="2971" spans="6:6">
      <c r="F2971" s="1550"/>
    </row>
    <row r="2972" spans="6:6">
      <c r="F2972" s="1550"/>
    </row>
    <row r="2973" spans="6:6">
      <c r="F2973" s="1550"/>
    </row>
    <row r="2974" spans="6:6">
      <c r="F2974" s="1550"/>
    </row>
    <row r="2975" spans="6:6">
      <c r="F2975" s="1550"/>
    </row>
    <row r="2976" spans="6:6">
      <c r="F2976" s="1550"/>
    </row>
    <row r="2977" spans="6:6">
      <c r="F2977" s="1550"/>
    </row>
    <row r="2978" spans="6:6">
      <c r="F2978" s="1550"/>
    </row>
    <row r="2979" spans="6:6">
      <c r="F2979" s="1550"/>
    </row>
    <row r="2980" spans="6:6">
      <c r="F2980" s="1550"/>
    </row>
    <row r="2981" spans="6:6">
      <c r="F2981" s="1550"/>
    </row>
    <row r="2982" spans="6:6">
      <c r="F2982" s="1550"/>
    </row>
    <row r="2983" spans="6:6">
      <c r="F2983" s="1550"/>
    </row>
    <row r="2984" spans="6:6">
      <c r="F2984" s="1550"/>
    </row>
    <row r="2985" spans="6:6">
      <c r="F2985" s="1550"/>
    </row>
    <row r="2986" spans="6:6">
      <c r="F2986" s="1550"/>
    </row>
    <row r="2987" spans="6:6">
      <c r="F2987" s="1550"/>
    </row>
    <row r="2988" spans="6:6">
      <c r="F2988" s="1550"/>
    </row>
    <row r="2989" spans="6:6">
      <c r="F2989" s="1550"/>
    </row>
    <row r="2990" spans="6:6">
      <c r="F2990" s="1550"/>
    </row>
    <row r="2991" spans="6:6">
      <c r="F2991" s="1550"/>
    </row>
    <row r="2992" spans="6:6">
      <c r="F2992" s="1550"/>
    </row>
    <row r="2993" spans="6:6">
      <c r="F2993" s="1550"/>
    </row>
    <row r="2994" spans="6:6">
      <c r="F2994" s="1550"/>
    </row>
    <row r="2995" spans="6:6">
      <c r="F2995" s="1550"/>
    </row>
    <row r="2996" spans="6:6">
      <c r="F2996" s="1550"/>
    </row>
    <row r="2997" spans="6:6">
      <c r="F2997" s="1550"/>
    </row>
    <row r="2998" spans="6:6">
      <c r="F2998" s="1550"/>
    </row>
    <row r="2999" spans="6:6">
      <c r="F2999" s="1550"/>
    </row>
    <row r="3000" spans="6:6">
      <c r="F3000" s="1550"/>
    </row>
    <row r="3001" spans="6:6">
      <c r="F3001" s="1550"/>
    </row>
    <row r="3002" spans="6:6">
      <c r="F3002" s="1550"/>
    </row>
    <row r="3003" spans="6:6">
      <c r="F3003" s="1550"/>
    </row>
    <row r="3004" spans="6:6">
      <c r="F3004" s="1550"/>
    </row>
    <row r="3005" spans="6:6">
      <c r="F3005" s="1550"/>
    </row>
    <row r="3006" spans="6:6">
      <c r="F3006" s="1550"/>
    </row>
    <row r="3007" spans="6:6">
      <c r="F3007" s="1550"/>
    </row>
    <row r="3008" spans="6:6">
      <c r="F3008" s="1550"/>
    </row>
    <row r="3009" spans="6:6">
      <c r="F3009" s="1550"/>
    </row>
    <row r="3010" spans="6:6">
      <c r="F3010" s="1550"/>
    </row>
    <row r="3011" spans="6:6">
      <c r="F3011" s="1550"/>
    </row>
    <row r="3012" spans="6:6">
      <c r="F3012" s="1550"/>
    </row>
    <row r="3013" spans="6:6">
      <c r="F3013" s="1550"/>
    </row>
    <row r="3014" spans="6:6">
      <c r="F3014" s="1550"/>
    </row>
    <row r="3015" spans="6:6">
      <c r="F3015" s="1550"/>
    </row>
    <row r="3016" spans="6:6">
      <c r="F3016" s="1550"/>
    </row>
    <row r="3017" spans="6:6">
      <c r="F3017" s="1550"/>
    </row>
    <row r="3018" spans="6:6">
      <c r="F3018" s="1550"/>
    </row>
    <row r="3019" spans="6:6">
      <c r="F3019" s="1550"/>
    </row>
    <row r="3020" spans="6:6">
      <c r="F3020" s="1550"/>
    </row>
    <row r="3021" spans="6:6">
      <c r="F3021" s="1550"/>
    </row>
    <row r="3022" spans="6:6">
      <c r="F3022" s="1550"/>
    </row>
    <row r="3023" spans="6:6">
      <c r="F3023" s="1550"/>
    </row>
    <row r="3024" spans="6:6">
      <c r="F3024" s="1550"/>
    </row>
    <row r="3025" spans="6:6">
      <c r="F3025" s="1550"/>
    </row>
    <row r="3026" spans="6:6">
      <c r="F3026" s="1550"/>
    </row>
    <row r="3027" spans="6:6">
      <c r="F3027" s="1550"/>
    </row>
    <row r="3028" spans="6:6">
      <c r="F3028" s="1550"/>
    </row>
    <row r="3029" spans="6:6">
      <c r="F3029" s="1550"/>
    </row>
    <row r="3030" spans="6:6">
      <c r="F3030" s="1550"/>
    </row>
    <row r="3031" spans="6:6">
      <c r="F3031" s="1550"/>
    </row>
    <row r="3032" spans="6:6">
      <c r="F3032" s="1550"/>
    </row>
    <row r="3033" spans="6:6">
      <c r="F3033" s="1550"/>
    </row>
    <row r="3034" spans="6:6">
      <c r="F3034" s="1550"/>
    </row>
    <row r="3035" spans="6:6">
      <c r="F3035" s="1550"/>
    </row>
    <row r="3036" spans="6:6">
      <c r="F3036" s="1550"/>
    </row>
    <row r="3037" spans="6:6">
      <c r="F3037" s="1550"/>
    </row>
    <row r="3038" spans="6:6">
      <c r="F3038" s="1550"/>
    </row>
    <row r="3039" spans="6:6">
      <c r="F3039" s="1550"/>
    </row>
    <row r="3040" spans="6:6">
      <c r="F3040" s="1550"/>
    </row>
    <row r="3041" spans="6:6">
      <c r="F3041" s="1550"/>
    </row>
    <row r="3042" spans="6:6">
      <c r="F3042" s="1550"/>
    </row>
    <row r="3043" spans="6:6">
      <c r="F3043" s="1550"/>
    </row>
    <row r="3044" spans="6:6">
      <c r="F3044" s="1550"/>
    </row>
    <row r="3045" spans="6:6">
      <c r="F3045" s="1550"/>
    </row>
    <row r="3046" spans="6:6">
      <c r="F3046" s="1550"/>
    </row>
    <row r="3047" spans="6:6">
      <c r="F3047" s="1550"/>
    </row>
    <row r="3048" spans="6:6">
      <c r="F3048" s="1550"/>
    </row>
    <row r="3049" spans="6:6">
      <c r="F3049" s="1550"/>
    </row>
    <row r="3050" spans="6:6">
      <c r="F3050" s="1550"/>
    </row>
    <row r="3051" spans="6:6">
      <c r="F3051" s="1550"/>
    </row>
    <row r="3052" spans="6:6">
      <c r="F3052" s="1550"/>
    </row>
    <row r="3053" spans="6:6">
      <c r="F3053" s="1550"/>
    </row>
    <row r="3054" spans="6:6">
      <c r="F3054" s="1550"/>
    </row>
    <row r="3055" spans="6:6">
      <c r="F3055" s="1550"/>
    </row>
    <row r="3056" spans="6:6">
      <c r="F3056" s="1550"/>
    </row>
    <row r="3057" spans="6:6">
      <c r="F3057" s="1550"/>
    </row>
    <row r="3058" spans="6:6">
      <c r="F3058" s="1550"/>
    </row>
    <row r="3059" spans="6:6">
      <c r="F3059" s="1550"/>
    </row>
    <row r="3060" spans="6:6">
      <c r="F3060" s="1550"/>
    </row>
    <row r="3061" spans="6:6">
      <c r="F3061" s="1550"/>
    </row>
    <row r="3062" spans="6:6">
      <c r="F3062" s="1550"/>
    </row>
    <row r="3063" spans="6:6">
      <c r="F3063" s="1550"/>
    </row>
    <row r="3064" spans="6:6">
      <c r="F3064" s="1550"/>
    </row>
    <row r="3065" spans="6:6">
      <c r="F3065" s="1550"/>
    </row>
    <row r="3066" spans="6:6">
      <c r="F3066" s="1550"/>
    </row>
    <row r="3067" spans="6:6">
      <c r="F3067" s="1550"/>
    </row>
    <row r="3068" spans="6:6">
      <c r="F3068" s="1550"/>
    </row>
    <row r="3069" spans="6:6">
      <c r="F3069" s="1550"/>
    </row>
    <row r="3070" spans="6:6">
      <c r="F3070" s="1550"/>
    </row>
    <row r="3071" spans="6:6">
      <c r="F3071" s="1550"/>
    </row>
    <row r="3072" spans="6:6">
      <c r="F3072" s="1550"/>
    </row>
    <row r="3073" spans="6:6">
      <c r="F3073" s="1550"/>
    </row>
    <row r="3074" spans="6:6">
      <c r="F3074" s="1550"/>
    </row>
    <row r="3075" spans="6:6">
      <c r="F3075" s="1550"/>
    </row>
    <row r="3076" spans="6:6">
      <c r="F3076" s="1550"/>
    </row>
    <row r="3077" spans="6:6">
      <c r="F3077" s="1550"/>
    </row>
    <row r="3078" spans="6:6">
      <c r="F3078" s="1550"/>
    </row>
    <row r="3079" spans="6:6">
      <c r="F3079" s="1550"/>
    </row>
    <row r="3080" spans="6:6">
      <c r="F3080" s="1550"/>
    </row>
    <row r="3081" spans="6:6">
      <c r="F3081" s="1550"/>
    </row>
    <row r="3082" spans="6:6">
      <c r="F3082" s="1550"/>
    </row>
    <row r="3083" spans="6:6">
      <c r="F3083" s="1550"/>
    </row>
    <row r="3084" spans="6:6">
      <c r="F3084" s="1550"/>
    </row>
    <row r="3085" spans="6:6">
      <c r="F3085" s="1550"/>
    </row>
    <row r="3086" spans="6:6">
      <c r="F3086" s="1550"/>
    </row>
    <row r="3087" spans="6:6">
      <c r="F3087" s="1550"/>
    </row>
    <row r="3088" spans="6:6">
      <c r="F3088" s="1550"/>
    </row>
    <row r="3089" spans="6:6">
      <c r="F3089" s="1550"/>
    </row>
    <row r="3090" spans="6:6">
      <c r="F3090" s="1550"/>
    </row>
    <row r="3091" spans="6:6">
      <c r="F3091" s="1550"/>
    </row>
    <row r="3092" spans="6:6">
      <c r="F3092" s="1550"/>
    </row>
    <row r="3093" spans="6:6">
      <c r="F3093" s="1550"/>
    </row>
    <row r="3094" spans="6:6">
      <c r="F3094" s="1550"/>
    </row>
    <row r="3095" spans="6:6">
      <c r="F3095" s="1550"/>
    </row>
    <row r="3096" spans="6:6">
      <c r="F3096" s="1550"/>
    </row>
    <row r="3097" spans="6:6">
      <c r="F3097" s="1550"/>
    </row>
    <row r="3098" spans="6:6">
      <c r="F3098" s="1550"/>
    </row>
    <row r="3099" spans="6:6">
      <c r="F3099" s="1550"/>
    </row>
    <row r="3100" spans="6:6">
      <c r="F3100" s="1550"/>
    </row>
    <row r="3101" spans="6:6">
      <c r="F3101" s="1550"/>
    </row>
    <row r="3102" spans="6:6">
      <c r="F3102" s="1550"/>
    </row>
    <row r="3103" spans="6:6">
      <c r="F3103" s="1550"/>
    </row>
    <row r="3104" spans="6:6">
      <c r="F3104" s="1550"/>
    </row>
    <row r="3105" spans="6:6">
      <c r="F3105" s="1550"/>
    </row>
    <row r="3106" spans="6:6">
      <c r="F3106" s="1550"/>
    </row>
    <row r="3107" spans="6:6">
      <c r="F3107" s="1550"/>
    </row>
    <row r="3108" spans="6:6">
      <c r="F3108" s="1550"/>
    </row>
    <row r="3109" spans="6:6">
      <c r="F3109" s="1550"/>
    </row>
    <row r="3110" spans="6:6">
      <c r="F3110" s="1550"/>
    </row>
    <row r="3111" spans="6:6">
      <c r="F3111" s="1550"/>
    </row>
    <row r="3112" spans="6:6">
      <c r="F3112" s="1550"/>
    </row>
    <row r="3113" spans="6:6">
      <c r="F3113" s="1550"/>
    </row>
    <row r="3114" spans="6:6">
      <c r="F3114" s="1550"/>
    </row>
    <row r="3115" spans="6:6">
      <c r="F3115" s="1550"/>
    </row>
    <row r="3116" spans="6:6">
      <c r="F3116" s="1550"/>
    </row>
    <row r="3117" spans="6:6">
      <c r="F3117" s="1550"/>
    </row>
    <row r="3118" spans="6:6">
      <c r="F3118" s="1550"/>
    </row>
    <row r="3119" spans="6:6">
      <c r="F3119" s="1550"/>
    </row>
    <row r="3120" spans="6:6">
      <c r="F3120" s="1550"/>
    </row>
    <row r="3121" spans="6:6">
      <c r="F3121" s="1550"/>
    </row>
    <row r="3122" spans="6:6">
      <c r="F3122" s="1550"/>
    </row>
    <row r="3123" spans="6:6">
      <c r="F3123" s="1550"/>
    </row>
    <row r="3124" spans="6:6">
      <c r="F3124" s="1550"/>
    </row>
    <row r="3125" spans="6:6">
      <c r="F3125" s="1550"/>
    </row>
    <row r="3126" spans="6:6">
      <c r="F3126" s="1550"/>
    </row>
    <row r="3127" spans="6:6">
      <c r="F3127" s="1550"/>
    </row>
    <row r="3128" spans="6:6">
      <c r="F3128" s="1550"/>
    </row>
    <row r="3129" spans="6:6">
      <c r="F3129" s="1550"/>
    </row>
    <row r="3130" spans="6:6">
      <c r="F3130" s="1550"/>
    </row>
    <row r="3131" spans="6:6">
      <c r="F3131" s="1550"/>
    </row>
    <row r="3132" spans="6:6">
      <c r="F3132" s="1550"/>
    </row>
    <row r="3133" spans="6:6">
      <c r="F3133" s="1550"/>
    </row>
    <row r="3134" spans="6:6">
      <c r="F3134" s="1550"/>
    </row>
    <row r="3135" spans="6:6">
      <c r="F3135" s="1550"/>
    </row>
    <row r="3136" spans="6:6">
      <c r="F3136" s="1550"/>
    </row>
    <row r="3137" spans="6:6">
      <c r="F3137" s="1550"/>
    </row>
    <row r="3138" spans="6:6">
      <c r="F3138" s="1550"/>
    </row>
    <row r="3139" spans="6:6">
      <c r="F3139" s="1550"/>
    </row>
    <row r="3140" spans="6:6">
      <c r="F3140" s="1550"/>
    </row>
    <row r="3141" spans="6:6">
      <c r="F3141" s="1550"/>
    </row>
    <row r="3142" spans="6:6">
      <c r="F3142" s="1550"/>
    </row>
    <row r="3143" spans="6:6">
      <c r="F3143" s="1550"/>
    </row>
    <row r="3144" spans="6:6">
      <c r="F3144" s="1550"/>
    </row>
    <row r="3145" spans="6:6">
      <c r="F3145" s="1550"/>
    </row>
    <row r="3146" spans="6:6">
      <c r="F3146" s="1550"/>
    </row>
    <row r="3147" spans="6:6">
      <c r="F3147" s="1550"/>
    </row>
    <row r="3148" spans="6:6">
      <c r="F3148" s="1550"/>
    </row>
    <row r="3149" spans="6:6">
      <c r="F3149" s="1550"/>
    </row>
    <row r="3150" spans="6:6">
      <c r="F3150" s="1550"/>
    </row>
    <row r="3151" spans="6:6">
      <c r="F3151" s="1550"/>
    </row>
    <row r="3152" spans="6:6">
      <c r="F3152" s="1550"/>
    </row>
    <row r="3153" spans="6:6">
      <c r="F3153" s="1550"/>
    </row>
    <row r="3154" spans="6:6">
      <c r="F3154" s="1550"/>
    </row>
    <row r="3155" spans="6:6">
      <c r="F3155" s="1550"/>
    </row>
    <row r="3156" spans="6:6">
      <c r="F3156" s="1550"/>
    </row>
    <row r="3157" spans="6:6">
      <c r="F3157" s="1550"/>
    </row>
    <row r="3158" spans="6:6">
      <c r="F3158" s="1550"/>
    </row>
    <row r="3159" spans="6:6">
      <c r="F3159" s="1550"/>
    </row>
    <row r="3160" spans="6:6">
      <c r="F3160" s="1550"/>
    </row>
    <row r="3161" spans="6:6">
      <c r="F3161" s="1550"/>
    </row>
    <row r="3162" spans="6:6">
      <c r="F3162" s="1550"/>
    </row>
    <row r="3163" spans="6:6">
      <c r="F3163" s="1550"/>
    </row>
    <row r="3164" spans="6:6">
      <c r="F3164" s="1550"/>
    </row>
    <row r="3165" spans="6:6">
      <c r="F3165" s="1550"/>
    </row>
    <row r="3166" spans="6:6">
      <c r="F3166" s="1550"/>
    </row>
    <row r="3167" spans="6:6">
      <c r="F3167" s="1550"/>
    </row>
    <row r="3168" spans="6:6">
      <c r="F3168" s="1550"/>
    </row>
    <row r="3169" spans="6:6">
      <c r="F3169" s="1550"/>
    </row>
    <row r="3170" spans="6:6">
      <c r="F3170" s="1550"/>
    </row>
    <row r="3171" spans="6:6">
      <c r="F3171" s="1550"/>
    </row>
    <row r="3172" spans="6:6">
      <c r="F3172" s="1550"/>
    </row>
    <row r="3173" spans="6:6">
      <c r="F3173" s="1550"/>
    </row>
    <row r="3174" spans="6:6">
      <c r="F3174" s="1550"/>
    </row>
    <row r="3175" spans="6:6">
      <c r="F3175" s="1550"/>
    </row>
    <row r="3176" spans="6:6">
      <c r="F3176" s="1550"/>
    </row>
    <row r="3177" spans="6:6">
      <c r="F3177" s="1550"/>
    </row>
    <row r="3178" spans="6:6">
      <c r="F3178" s="1550"/>
    </row>
    <row r="3179" spans="6:6">
      <c r="F3179" s="1550"/>
    </row>
    <row r="3180" spans="6:6">
      <c r="F3180" s="1550"/>
    </row>
    <row r="3181" spans="6:6">
      <c r="F3181" s="1550"/>
    </row>
    <row r="3182" spans="6:6">
      <c r="F3182" s="1550"/>
    </row>
    <row r="3183" spans="6:6">
      <c r="F3183" s="1550"/>
    </row>
    <row r="3184" spans="6:6">
      <c r="F3184" s="1550"/>
    </row>
    <row r="3185" spans="6:6">
      <c r="F3185" s="1550"/>
    </row>
    <row r="3186" spans="6:6">
      <c r="F3186" s="1550"/>
    </row>
    <row r="3187" spans="6:6">
      <c r="F3187" s="1550"/>
    </row>
    <row r="3188" spans="6:6">
      <c r="F3188" s="1550"/>
    </row>
    <row r="3189" spans="6:6">
      <c r="F3189" s="1550"/>
    </row>
    <row r="3190" spans="6:6">
      <c r="F3190" s="1550"/>
    </row>
    <row r="3191" spans="6:6">
      <c r="F3191" s="1550"/>
    </row>
    <row r="3192" spans="6:6">
      <c r="F3192" s="1550"/>
    </row>
    <row r="3193" spans="6:6">
      <c r="F3193" s="1550"/>
    </row>
    <row r="3194" spans="6:6">
      <c r="F3194" s="1550"/>
    </row>
    <row r="3195" spans="6:6">
      <c r="F3195" s="1550"/>
    </row>
    <row r="3196" spans="6:6">
      <c r="F3196" s="1550"/>
    </row>
    <row r="3197" spans="6:6">
      <c r="F3197" s="1550"/>
    </row>
    <row r="3198" spans="6:6">
      <c r="F3198" s="1550"/>
    </row>
    <row r="3199" spans="6:6">
      <c r="F3199" s="1550"/>
    </row>
    <row r="3200" spans="6:6">
      <c r="F3200" s="1550"/>
    </row>
    <row r="3201" spans="6:6">
      <c r="F3201" s="1550"/>
    </row>
    <row r="3202" spans="6:6">
      <c r="F3202" s="1550"/>
    </row>
    <row r="3203" spans="6:6">
      <c r="F3203" s="1550"/>
    </row>
    <row r="3204" spans="6:6">
      <c r="F3204" s="1550"/>
    </row>
    <row r="3205" spans="6:6">
      <c r="F3205" s="1550"/>
    </row>
    <row r="3206" spans="6:6">
      <c r="F3206" s="1550"/>
    </row>
    <row r="3207" spans="6:6">
      <c r="F3207" s="1550"/>
    </row>
    <row r="3208" spans="6:6">
      <c r="F3208" s="1550"/>
    </row>
    <row r="3209" spans="6:6">
      <c r="F3209" s="1550"/>
    </row>
    <row r="3210" spans="6:6">
      <c r="F3210" s="1550"/>
    </row>
    <row r="3211" spans="6:6">
      <c r="F3211" s="1550"/>
    </row>
    <row r="3212" spans="6:6">
      <c r="F3212" s="1550"/>
    </row>
    <row r="3213" spans="6:6">
      <c r="F3213" s="1550"/>
    </row>
    <row r="3214" spans="6:6">
      <c r="F3214" s="1550"/>
    </row>
    <row r="3215" spans="6:6">
      <c r="F3215" s="1550"/>
    </row>
    <row r="3216" spans="6:6">
      <c r="F3216" s="1550"/>
    </row>
    <row r="3217" spans="6:6">
      <c r="F3217" s="1550"/>
    </row>
    <row r="3218" spans="6:6">
      <c r="F3218" s="1550"/>
    </row>
    <row r="3219" spans="6:6">
      <c r="F3219" s="1550"/>
    </row>
    <row r="3220" spans="6:6">
      <c r="F3220" s="1550"/>
    </row>
    <row r="3221" spans="6:6">
      <c r="F3221" s="1550"/>
    </row>
    <row r="3222" spans="6:6">
      <c r="F3222" s="1550"/>
    </row>
    <row r="3223" spans="6:6">
      <c r="F3223" s="1550"/>
    </row>
    <row r="3224" spans="6:6">
      <c r="F3224" s="1550"/>
    </row>
    <row r="3225" spans="6:6">
      <c r="F3225" s="1550"/>
    </row>
    <row r="3226" spans="6:6">
      <c r="F3226" s="1550"/>
    </row>
    <row r="3227" spans="6:6">
      <c r="F3227" s="1550"/>
    </row>
    <row r="3228" spans="6:6">
      <c r="F3228" s="1550"/>
    </row>
    <row r="3229" spans="6:6">
      <c r="F3229" s="1550"/>
    </row>
    <row r="3230" spans="6:6">
      <c r="F3230" s="1550"/>
    </row>
    <row r="3231" spans="6:6">
      <c r="F3231" s="1550"/>
    </row>
    <row r="3232" spans="6:6">
      <c r="F3232" s="1550"/>
    </row>
    <row r="3233" spans="6:6">
      <c r="F3233" s="1550"/>
    </row>
    <row r="3234" spans="6:6">
      <c r="F3234" s="1550"/>
    </row>
    <row r="3235" spans="6:6">
      <c r="F3235" s="1550"/>
    </row>
    <row r="3236" spans="6:6">
      <c r="F3236" s="1550"/>
    </row>
    <row r="3237" spans="6:6">
      <c r="F3237" s="1550"/>
    </row>
    <row r="3238" spans="6:6">
      <c r="F3238" s="1550"/>
    </row>
    <row r="3239" spans="6:6">
      <c r="F3239" s="1550"/>
    </row>
    <row r="3240" spans="6:6">
      <c r="F3240" s="1550"/>
    </row>
    <row r="3241" spans="6:6">
      <c r="F3241" s="1550"/>
    </row>
    <row r="3242" spans="6:6">
      <c r="F3242" s="1550"/>
    </row>
    <row r="3243" spans="6:6">
      <c r="F3243" s="1550"/>
    </row>
    <row r="3244" spans="6:6">
      <c r="F3244" s="1550"/>
    </row>
    <row r="3245" spans="6:6">
      <c r="F3245" s="1550"/>
    </row>
    <row r="3246" spans="6:6">
      <c r="F3246" s="1550"/>
    </row>
    <row r="3247" spans="6:6">
      <c r="F3247" s="1550"/>
    </row>
    <row r="3248" spans="6:6">
      <c r="F3248" s="1550"/>
    </row>
    <row r="3249" spans="6:6">
      <c r="F3249" s="1550"/>
    </row>
    <row r="3250" spans="6:6">
      <c r="F3250" s="1550"/>
    </row>
    <row r="3251" spans="6:6">
      <c r="F3251" s="1550"/>
    </row>
    <row r="3252" spans="6:6">
      <c r="F3252" s="1550"/>
    </row>
    <row r="3253" spans="6:6">
      <c r="F3253" s="1550"/>
    </row>
    <row r="3254" spans="6:6">
      <c r="F3254" s="1550"/>
    </row>
    <row r="3255" spans="6:6">
      <c r="F3255" s="1550"/>
    </row>
    <row r="3256" spans="6:6">
      <c r="F3256" s="1550"/>
    </row>
    <row r="3257" spans="6:6">
      <c r="F3257" s="1550"/>
    </row>
    <row r="3258" spans="6:6">
      <c r="F3258" s="1550"/>
    </row>
    <row r="3259" spans="6:6">
      <c r="F3259" s="1550"/>
    </row>
    <row r="3260" spans="6:6">
      <c r="F3260" s="1550"/>
    </row>
    <row r="3261" spans="6:6">
      <c r="F3261" s="1550"/>
    </row>
    <row r="3262" spans="6:6">
      <c r="F3262" s="1550"/>
    </row>
    <row r="3263" spans="6:6">
      <c r="F3263" s="1550"/>
    </row>
    <row r="3264" spans="6:6">
      <c r="F3264" s="1550"/>
    </row>
    <row r="3265" spans="6:6">
      <c r="F3265" s="1550"/>
    </row>
    <row r="3266" spans="6:6">
      <c r="F3266" s="1550"/>
    </row>
    <row r="3267" spans="6:6">
      <c r="F3267" s="1550"/>
    </row>
    <row r="3268" spans="6:6">
      <c r="F3268" s="1550"/>
    </row>
    <row r="3269" spans="6:6">
      <c r="F3269" s="1550"/>
    </row>
    <row r="3270" spans="6:6">
      <c r="F3270" s="1550"/>
    </row>
    <row r="3271" spans="6:6">
      <c r="F3271" s="1550"/>
    </row>
    <row r="3272" spans="6:6">
      <c r="F3272" s="1550"/>
    </row>
    <row r="3273" spans="6:6">
      <c r="F3273" s="1550"/>
    </row>
    <row r="3274" spans="6:6">
      <c r="F3274" s="1550"/>
    </row>
    <row r="3275" spans="6:6">
      <c r="F3275" s="1550"/>
    </row>
    <row r="3276" spans="6:6">
      <c r="F3276" s="1550"/>
    </row>
    <row r="3277" spans="6:6">
      <c r="F3277" s="1550"/>
    </row>
    <row r="3278" spans="6:6">
      <c r="F3278" s="1550"/>
    </row>
    <row r="3279" spans="6:6">
      <c r="F3279" s="1550"/>
    </row>
    <row r="3280" spans="6:6">
      <c r="F3280" s="1550"/>
    </row>
    <row r="3281" spans="6:6">
      <c r="F3281" s="1550"/>
    </row>
    <row r="3282" spans="6:6">
      <c r="F3282" s="1550"/>
    </row>
    <row r="3283" spans="6:6">
      <c r="F3283" s="1550"/>
    </row>
    <row r="3284" spans="6:6">
      <c r="F3284" s="1550"/>
    </row>
    <row r="3285" spans="6:6">
      <c r="F3285" s="1550"/>
    </row>
    <row r="3286" spans="6:6">
      <c r="F3286" s="1550"/>
    </row>
    <row r="3287" spans="6:6">
      <c r="F3287" s="1550"/>
    </row>
    <row r="3288" spans="6:6">
      <c r="F3288" s="1550"/>
    </row>
    <row r="3289" spans="6:6">
      <c r="F3289" s="1550"/>
    </row>
    <row r="3290" spans="6:6">
      <c r="F3290" s="1550"/>
    </row>
    <row r="3291" spans="6:6">
      <c r="F3291" s="1550"/>
    </row>
    <row r="3292" spans="6:6">
      <c r="F3292" s="1550"/>
    </row>
    <row r="3293" spans="6:6">
      <c r="F3293" s="1550"/>
    </row>
    <row r="3294" spans="6:6">
      <c r="F3294" s="1550"/>
    </row>
    <row r="3295" spans="6:6">
      <c r="F3295" s="1550"/>
    </row>
    <row r="3296" spans="6:6">
      <c r="F3296" s="1550"/>
    </row>
    <row r="3297" spans="6:6">
      <c r="F3297" s="1550"/>
    </row>
    <row r="3298" spans="6:6">
      <c r="F3298" s="1550"/>
    </row>
    <row r="3299" spans="6:6">
      <c r="F3299" s="1550"/>
    </row>
    <row r="3300" spans="6:6">
      <c r="F3300" s="1550"/>
    </row>
    <row r="3301" spans="6:6">
      <c r="F3301" s="1550"/>
    </row>
    <row r="3302" spans="6:6">
      <c r="F3302" s="1550"/>
    </row>
    <row r="3303" spans="6:6">
      <c r="F3303" s="1550"/>
    </row>
  </sheetData>
  <sheetProtection selectLockedCells="1" selectUnlockedCells="1"/>
  <autoFilter ref="A1:V2337"/>
  <mergeCells count="2327">
    <mergeCell ref="I604:I613"/>
    <mergeCell ref="H609:H613"/>
    <mergeCell ref="G594:G603"/>
    <mergeCell ref="H594:H598"/>
    <mergeCell ref="E625:E634"/>
    <mergeCell ref="E614:E623"/>
    <mergeCell ref="I594:I603"/>
    <mergeCell ref="H599:H603"/>
    <mergeCell ref="H651:H655"/>
    <mergeCell ref="H640:H644"/>
    <mergeCell ref="H635:H639"/>
    <mergeCell ref="G635:G644"/>
    <mergeCell ref="E584:E593"/>
    <mergeCell ref="I922:I931"/>
    <mergeCell ref="H927:H931"/>
    <mergeCell ref="E1945:E1954"/>
    <mergeCell ref="E1956:E1965"/>
    <mergeCell ref="F943:F952"/>
    <mergeCell ref="E994:E1003"/>
    <mergeCell ref="H968:H972"/>
    <mergeCell ref="H938:H942"/>
    <mergeCell ref="G820:G829"/>
    <mergeCell ref="H835:H839"/>
    <mergeCell ref="H825:H829"/>
    <mergeCell ref="F850:F859"/>
    <mergeCell ref="F860:F869"/>
    <mergeCell ref="F830:F839"/>
    <mergeCell ref="F963:F972"/>
    <mergeCell ref="H880:H884"/>
    <mergeCell ref="E880:E889"/>
    <mergeCell ref="F994:F1003"/>
    <mergeCell ref="F890:F899"/>
    <mergeCell ref="F1589:F1598"/>
    <mergeCell ref="F1791:F1800"/>
    <mergeCell ref="E1791:E1800"/>
    <mergeCell ref="F1731:F1740"/>
    <mergeCell ref="F1741:F1750"/>
    <mergeCell ref="E1731:E1740"/>
    <mergeCell ref="E1751:E1760"/>
    <mergeCell ref="F1751:F1760"/>
    <mergeCell ref="E1445:E1454"/>
    <mergeCell ref="E1935:E1944"/>
    <mergeCell ref="F1721:F1730"/>
    <mergeCell ref="F1640:F1649"/>
    <mergeCell ref="F1445:F1454"/>
    <mergeCell ref="E1894:E1903"/>
    <mergeCell ref="E1904:E1913"/>
    <mergeCell ref="E1864:E1873"/>
    <mergeCell ref="E1874:E1883"/>
    <mergeCell ref="F1761:F1770"/>
    <mergeCell ref="E1671:E1680"/>
    <mergeCell ref="E1640:E1649"/>
    <mergeCell ref="F1811:F1820"/>
    <mergeCell ref="F1884:F1893"/>
    <mergeCell ref="E1539:E1548"/>
    <mergeCell ref="C1650:C1659"/>
    <mergeCell ref="F1115:F1124"/>
    <mergeCell ref="F1402:F1411"/>
    <mergeCell ref="F1341:F1350"/>
    <mergeCell ref="F1300:F1309"/>
    <mergeCell ref="F1435:F1444"/>
    <mergeCell ref="F1371:F1380"/>
    <mergeCell ref="D1146:D1155"/>
    <mergeCell ref="B1341:B1350"/>
    <mergeCell ref="B1300:B1309"/>
    <mergeCell ref="B1289:B1298"/>
    <mergeCell ref="B1320:B1329"/>
    <mergeCell ref="E1168:E1177"/>
    <mergeCell ref="F1168:F1177"/>
    <mergeCell ref="C1630:C1639"/>
    <mergeCell ref="D1640:D1649"/>
    <mergeCell ref="C1330:C1339"/>
    <mergeCell ref="C1320:C1329"/>
    <mergeCell ref="C1218:C1227"/>
    <mergeCell ref="C1178:C1187"/>
    <mergeCell ref="C1208:C1217"/>
    <mergeCell ref="B1115:B1124"/>
    <mergeCell ref="B1125:B1134"/>
    <mergeCell ref="B1198:B1207"/>
    <mergeCell ref="B1208:B1217"/>
    <mergeCell ref="F1330:F1339"/>
    <mergeCell ref="C1412:C1421"/>
    <mergeCell ref="C1391:C1400"/>
    <mergeCell ref="C1402:C1411"/>
    <mergeCell ref="C1188:C1197"/>
    <mergeCell ref="F1456:F1465"/>
    <mergeCell ref="F1188:F1197"/>
    <mergeCell ref="C1456:C1465"/>
    <mergeCell ref="C1371:C1380"/>
    <mergeCell ref="B1445:B1454"/>
    <mergeCell ref="B1456:B1465"/>
    <mergeCell ref="B1391:B1400"/>
    <mergeCell ref="F1381:F1390"/>
    <mergeCell ref="F1198:F1207"/>
    <mergeCell ref="F1208:F1217"/>
    <mergeCell ref="F1412:F1421"/>
    <mergeCell ref="F1361:F1370"/>
    <mergeCell ref="F1045:F1054"/>
    <mergeCell ref="F1065:F1074"/>
    <mergeCell ref="F1351:F1360"/>
    <mergeCell ref="F1034:F1043"/>
    <mergeCell ref="B1402:B1411"/>
    <mergeCell ref="B1371:B1380"/>
    <mergeCell ref="B1351:B1360"/>
    <mergeCell ref="C1085:C1094"/>
    <mergeCell ref="C1095:C1104"/>
    <mergeCell ref="C1259:C1268"/>
    <mergeCell ref="C1105:C1114"/>
    <mergeCell ref="B1055:B1064"/>
    <mergeCell ref="B1259:B1268"/>
    <mergeCell ref="B1045:B1054"/>
    <mergeCell ref="F1422:F1431"/>
    <mergeCell ref="C1229:C1238"/>
    <mergeCell ref="C1249:C1258"/>
    <mergeCell ref="D840:D849"/>
    <mergeCell ref="E973:E982"/>
    <mergeCell ref="E912:E921"/>
    <mergeCell ref="D922:D931"/>
    <mergeCell ref="E922:E931"/>
    <mergeCell ref="F922:F931"/>
    <mergeCell ref="E900:E909"/>
    <mergeCell ref="F900:F909"/>
    <mergeCell ref="E933:E942"/>
    <mergeCell ref="F880:F889"/>
    <mergeCell ref="E860:E869"/>
    <mergeCell ref="H933:H937"/>
    <mergeCell ref="H1305:H1309"/>
    <mergeCell ref="H1045:H1049"/>
    <mergeCell ref="H1115:H1119"/>
    <mergeCell ref="H1125:H1129"/>
    <mergeCell ref="H1188:H1192"/>
    <mergeCell ref="H1193:H1197"/>
    <mergeCell ref="H1161:H1165"/>
    <mergeCell ref="H1168:H1172"/>
    <mergeCell ref="G1004:G1013"/>
    <mergeCell ref="H1004:H1008"/>
    <mergeCell ref="F973:F982"/>
    <mergeCell ref="F1125:F1134"/>
    <mergeCell ref="F1135:F1144"/>
    <mergeCell ref="F1095:F1104"/>
    <mergeCell ref="F870:F879"/>
    <mergeCell ref="G900:G909"/>
    <mergeCell ref="G880:G889"/>
    <mergeCell ref="C1004:C1013"/>
    <mergeCell ref="F1024:F1033"/>
    <mergeCell ref="F1075:F1084"/>
    <mergeCell ref="E1055:E1064"/>
    <mergeCell ref="E1024:E1033"/>
    <mergeCell ref="E1034:E1043"/>
    <mergeCell ref="E890:E899"/>
    <mergeCell ref="F1055:F1064"/>
    <mergeCell ref="E1065:E1074"/>
    <mergeCell ref="E963:E972"/>
    <mergeCell ref="E953:E962"/>
    <mergeCell ref="E809:E818"/>
    <mergeCell ref="E820:E829"/>
    <mergeCell ref="E1014:E1023"/>
    <mergeCell ref="F820:F829"/>
    <mergeCell ref="H820:H824"/>
    <mergeCell ref="H830:H834"/>
    <mergeCell ref="H840:H844"/>
    <mergeCell ref="H850:H854"/>
    <mergeCell ref="E840:E849"/>
    <mergeCell ref="G963:G972"/>
    <mergeCell ref="H963:H967"/>
    <mergeCell ref="H1060:H1064"/>
    <mergeCell ref="E1004:E1013"/>
    <mergeCell ref="F1004:F1013"/>
    <mergeCell ref="F984:F993"/>
    <mergeCell ref="F1014:F1023"/>
    <mergeCell ref="E799:E808"/>
    <mergeCell ref="F688:F697"/>
    <mergeCell ref="E635:E644"/>
    <mergeCell ref="E678:E687"/>
    <mergeCell ref="E789:E798"/>
    <mergeCell ref="I789:I798"/>
    <mergeCell ref="H764:H768"/>
    <mergeCell ref="G614:G623"/>
    <mergeCell ref="E759:E768"/>
    <mergeCell ref="E769:E778"/>
    <mergeCell ref="F759:F768"/>
    <mergeCell ref="H774:H778"/>
    <mergeCell ref="H678:H682"/>
    <mergeCell ref="H799:H803"/>
    <mergeCell ref="G718:G727"/>
    <mergeCell ref="I728:I737"/>
    <mergeCell ref="H759:H763"/>
    <mergeCell ref="H668:H672"/>
    <mergeCell ref="G668:G677"/>
    <mergeCell ref="I668:I677"/>
    <mergeCell ref="I678:I687"/>
    <mergeCell ref="G678:G687"/>
    <mergeCell ref="G688:G697"/>
    <mergeCell ref="I688:I697"/>
    <mergeCell ref="E779:E788"/>
    <mergeCell ref="F698:F707"/>
    <mergeCell ref="E708:E717"/>
    <mergeCell ref="F708:F717"/>
    <mergeCell ref="E688:E697"/>
    <mergeCell ref="H625:H629"/>
    <mergeCell ref="I625:I634"/>
    <mergeCell ref="H619:H623"/>
    <mergeCell ref="I614:I623"/>
    <mergeCell ref="H698:H702"/>
    <mergeCell ref="H693:H697"/>
    <mergeCell ref="I635:I644"/>
    <mergeCell ref="I646:I655"/>
    <mergeCell ref="F635:F644"/>
    <mergeCell ref="E698:E707"/>
    <mergeCell ref="E656:E665"/>
    <mergeCell ref="H40:H44"/>
    <mergeCell ref="A178:A187"/>
    <mergeCell ref="B178:B187"/>
    <mergeCell ref="C178:C187"/>
    <mergeCell ref="D178:D187"/>
    <mergeCell ref="E178:E187"/>
    <mergeCell ref="B313:B322"/>
    <mergeCell ref="C313:C322"/>
    <mergeCell ref="E158:E167"/>
    <mergeCell ref="A158:A167"/>
    <mergeCell ref="A168:A177"/>
    <mergeCell ref="B574:B583"/>
    <mergeCell ref="C574:C583"/>
    <mergeCell ref="D574:D583"/>
    <mergeCell ref="E574:E583"/>
    <mergeCell ref="F574:F583"/>
    <mergeCell ref="G574:G583"/>
    <mergeCell ref="H574:H578"/>
    <mergeCell ref="E522:E531"/>
    <mergeCell ref="F522:F531"/>
    <mergeCell ref="G522:G531"/>
    <mergeCell ref="H522:H526"/>
    <mergeCell ref="F532:F541"/>
    <mergeCell ref="C563:C572"/>
    <mergeCell ref="E563:E572"/>
    <mergeCell ref="G563:G572"/>
    <mergeCell ref="E199:E208"/>
    <mergeCell ref="E209:E218"/>
    <mergeCell ref="F468:F477"/>
    <mergeCell ref="F147:F156"/>
    <mergeCell ref="F107:F116"/>
    <mergeCell ref="F158:F167"/>
    <mergeCell ref="H66:H70"/>
    <mergeCell ref="G117:G126"/>
    <mergeCell ref="H97:H101"/>
    <mergeCell ref="H102:H106"/>
    <mergeCell ref="A147:A156"/>
    <mergeCell ref="G46:G55"/>
    <mergeCell ref="E479:E488"/>
    <mergeCell ref="H552:H556"/>
    <mergeCell ref="H547:H551"/>
    <mergeCell ref="E458:E467"/>
    <mergeCell ref="F46:F55"/>
    <mergeCell ref="F479:F488"/>
    <mergeCell ref="D324:D333"/>
    <mergeCell ref="C221:C230"/>
    <mergeCell ref="C231:C240"/>
    <mergeCell ref="C251:C260"/>
    <mergeCell ref="A489:A498"/>
    <mergeCell ref="F66:F75"/>
    <mergeCell ref="F137:F146"/>
    <mergeCell ref="E241:E250"/>
    <mergeCell ref="E542:E551"/>
    <mergeCell ref="D417:D426"/>
    <mergeCell ref="B499:B508"/>
    <mergeCell ref="A542:A551"/>
    <mergeCell ref="A552:A561"/>
    <mergeCell ref="B532:B541"/>
    <mergeCell ref="B437:B446"/>
    <mergeCell ref="A365:A374"/>
    <mergeCell ref="D447:D456"/>
    <mergeCell ref="E437:E446"/>
    <mergeCell ref="E302:E311"/>
    <mergeCell ref="E407:E416"/>
    <mergeCell ref="E2122:E2131"/>
    <mergeCell ref="E2029:E2038"/>
    <mergeCell ref="H2175:H2179"/>
    <mergeCell ref="E2060:E2069"/>
    <mergeCell ref="E2040:E2049"/>
    <mergeCell ref="G2050:G2059"/>
    <mergeCell ref="I2050:I2059"/>
    <mergeCell ref="G2029:G2038"/>
    <mergeCell ref="H557:H561"/>
    <mergeCell ref="H568:H572"/>
    <mergeCell ref="E1976:E1985"/>
    <mergeCell ref="F1518:F1527"/>
    <mergeCell ref="F1529:F1538"/>
    <mergeCell ref="E1822:E1831"/>
    <mergeCell ref="F1822:F1831"/>
    <mergeCell ref="E282:E291"/>
    <mergeCell ref="H563:H567"/>
    <mergeCell ref="G584:G593"/>
    <mergeCell ref="G542:G551"/>
    <mergeCell ref="H542:H546"/>
    <mergeCell ref="I563:I572"/>
    <mergeCell ref="G552:G561"/>
    <mergeCell ref="I542:I551"/>
    <mergeCell ref="I584:I593"/>
    <mergeCell ref="H589:H593"/>
    <mergeCell ref="H718:H722"/>
    <mergeCell ref="I718:I727"/>
    <mergeCell ref="H723:H727"/>
    <mergeCell ref="H673:H677"/>
    <mergeCell ref="H713:H717"/>
    <mergeCell ref="H784:H788"/>
    <mergeCell ref="G738:G747"/>
    <mergeCell ref="A5:A14"/>
    <mergeCell ref="A15:A24"/>
    <mergeCell ref="A46:A55"/>
    <mergeCell ref="A56:A65"/>
    <mergeCell ref="A107:A116"/>
    <mergeCell ref="A117:A126"/>
    <mergeCell ref="A127:A136"/>
    <mergeCell ref="A137:A146"/>
    <mergeCell ref="D147:D156"/>
    <mergeCell ref="B447:B456"/>
    <mergeCell ref="B522:B531"/>
    <mergeCell ref="A292:A301"/>
    <mergeCell ref="A335:A344"/>
    <mergeCell ref="A355:A364"/>
    <mergeCell ref="A189:A198"/>
    <mergeCell ref="A199:A208"/>
    <mergeCell ref="A209:A218"/>
    <mergeCell ref="B241:B250"/>
    <mergeCell ref="B324:B333"/>
    <mergeCell ref="C522:C531"/>
    <mergeCell ref="A35:A44"/>
    <mergeCell ref="B35:B44"/>
    <mergeCell ref="C35:C44"/>
    <mergeCell ref="D35:D44"/>
    <mergeCell ref="A512:A521"/>
    <mergeCell ref="C5:C14"/>
    <mergeCell ref="C15:C24"/>
    <mergeCell ref="C46:C55"/>
    <mergeCell ref="C56:C65"/>
    <mergeCell ref="C66:C75"/>
    <mergeCell ref="C76:C85"/>
    <mergeCell ref="C87:C96"/>
    <mergeCell ref="B221:B230"/>
    <mergeCell ref="B231:B240"/>
    <mergeCell ref="B251:B260"/>
    <mergeCell ref="B271:B280"/>
    <mergeCell ref="B427:B436"/>
    <mergeCell ref="E292:E301"/>
    <mergeCell ref="C584:C593"/>
    <mergeCell ref="D584:D593"/>
    <mergeCell ref="E646:E655"/>
    <mergeCell ref="F646:F655"/>
    <mergeCell ref="E604:E613"/>
    <mergeCell ref="F604:F613"/>
    <mergeCell ref="F313:F322"/>
    <mergeCell ref="D313:D322"/>
    <mergeCell ref="B385:B394"/>
    <mergeCell ref="C385:C394"/>
    <mergeCell ref="C718:C727"/>
    <mergeCell ref="D718:D727"/>
    <mergeCell ref="E718:E727"/>
    <mergeCell ref="F718:F727"/>
    <mergeCell ref="C594:C603"/>
    <mergeCell ref="D221:D230"/>
    <mergeCell ref="C437:C446"/>
    <mergeCell ref="E499:E508"/>
    <mergeCell ref="F499:F508"/>
    <mergeCell ref="G499:G508"/>
    <mergeCell ref="E447:E456"/>
    <mergeCell ref="D489:D498"/>
    <mergeCell ref="C512:C521"/>
    <mergeCell ref="C489:C498"/>
    <mergeCell ref="C271:C280"/>
    <mergeCell ref="D355:D364"/>
    <mergeCell ref="D458:D467"/>
    <mergeCell ref="D468:D477"/>
    <mergeCell ref="D479:D488"/>
    <mergeCell ref="D282:D291"/>
    <mergeCell ref="D292:D301"/>
    <mergeCell ref="D302:D311"/>
    <mergeCell ref="D375:D384"/>
    <mergeCell ref="D437:D446"/>
    <mergeCell ref="C282:C291"/>
    <mergeCell ref="E417:E426"/>
    <mergeCell ref="E427:E436"/>
    <mergeCell ref="F355:F364"/>
    <mergeCell ref="F397:F406"/>
    <mergeCell ref="F365:F374"/>
    <mergeCell ref="I2268:I2277"/>
    <mergeCell ref="G2248:G2257"/>
    <mergeCell ref="D512:D521"/>
    <mergeCell ref="F584:F593"/>
    <mergeCell ref="F2205:F2214"/>
    <mergeCell ref="D2144:D2153"/>
    <mergeCell ref="D2154:D2163"/>
    <mergeCell ref="D2165:D2174"/>
    <mergeCell ref="D2175:D2184"/>
    <mergeCell ref="D2185:D2194"/>
    <mergeCell ref="D2195:D2204"/>
    <mergeCell ref="D2205:D2214"/>
    <mergeCell ref="C2175:C2184"/>
    <mergeCell ref="C2185:C2194"/>
    <mergeCell ref="C2195:C2204"/>
    <mergeCell ref="C2144:C2153"/>
    <mergeCell ref="B604:B613"/>
    <mergeCell ref="C2205:C2214"/>
    <mergeCell ref="C2227:C2236"/>
    <mergeCell ref="E2217:E2226"/>
    <mergeCell ref="F2217:F2226"/>
    <mergeCell ref="E2195:E2204"/>
    <mergeCell ref="F1832:F1841"/>
    <mergeCell ref="E1915:E1924"/>
    <mergeCell ref="F1935:F1944"/>
    <mergeCell ref="E552:E561"/>
    <mergeCell ref="F799:F808"/>
    <mergeCell ref="C738:C747"/>
    <mergeCell ref="G532:G541"/>
    <mergeCell ref="H532:H536"/>
    <mergeCell ref="H614:H618"/>
    <mergeCell ref="G604:G613"/>
    <mergeCell ref="F2185:F2194"/>
    <mergeCell ref="F2195:F2204"/>
    <mergeCell ref="H2294:H2298"/>
    <mergeCell ref="E2227:E2236"/>
    <mergeCell ref="A2248:A2257"/>
    <mergeCell ref="B2248:B2257"/>
    <mergeCell ref="C2248:C2257"/>
    <mergeCell ref="D2248:D2257"/>
    <mergeCell ref="E2248:E2257"/>
    <mergeCell ref="F2248:F2257"/>
    <mergeCell ref="A2258:A2267"/>
    <mergeCell ref="B2258:B2267"/>
    <mergeCell ref="C2258:C2267"/>
    <mergeCell ref="D2258:D2267"/>
    <mergeCell ref="E2258:E2267"/>
    <mergeCell ref="F2258:F2267"/>
    <mergeCell ref="G2289:G2298"/>
    <mergeCell ref="H2289:H2293"/>
    <mergeCell ref="A2268:A2277"/>
    <mergeCell ref="E2185:E2194"/>
    <mergeCell ref="B2227:B2236"/>
    <mergeCell ref="A2227:A2236"/>
    <mergeCell ref="H2227:H2231"/>
    <mergeCell ref="A2279:A2288"/>
    <mergeCell ref="B2279:B2288"/>
    <mergeCell ref="C2279:C2288"/>
    <mergeCell ref="D2279:D2288"/>
    <mergeCell ref="E2279:E2288"/>
    <mergeCell ref="A2310:A2319"/>
    <mergeCell ref="B2310:B2319"/>
    <mergeCell ref="C2310:C2319"/>
    <mergeCell ref="D2310:D2319"/>
    <mergeCell ref="E2310:E2319"/>
    <mergeCell ref="F2310:F2319"/>
    <mergeCell ref="G2310:G2319"/>
    <mergeCell ref="H2310:H2314"/>
    <mergeCell ref="I2310:I2319"/>
    <mergeCell ref="H2315:H2319"/>
    <mergeCell ref="A2320:A2329"/>
    <mergeCell ref="A2289:A2298"/>
    <mergeCell ref="A2238:A2247"/>
    <mergeCell ref="B2238:B2247"/>
    <mergeCell ref="C2238:C2247"/>
    <mergeCell ref="D2238:D2247"/>
    <mergeCell ref="E2238:E2247"/>
    <mergeCell ref="F2238:F2247"/>
    <mergeCell ref="G2238:G2247"/>
    <mergeCell ref="H2238:H2242"/>
    <mergeCell ref="D2268:D2277"/>
    <mergeCell ref="E2268:E2277"/>
    <mergeCell ref="F2268:F2277"/>
    <mergeCell ref="G2268:G2277"/>
    <mergeCell ref="H2268:H2272"/>
    <mergeCell ref="A2299:A2308"/>
    <mergeCell ref="B2299:B2308"/>
    <mergeCell ref="C2299:C2308"/>
    <mergeCell ref="D2299:D2308"/>
    <mergeCell ref="E2299:E2308"/>
    <mergeCell ref="F2299:F2308"/>
    <mergeCell ref="G2299:G2308"/>
    <mergeCell ref="G2195:G2204"/>
    <mergeCell ref="I2195:I2204"/>
    <mergeCell ref="G2205:G2214"/>
    <mergeCell ref="G2009:G2018"/>
    <mergeCell ref="G2019:G2028"/>
    <mergeCell ref="B2320:B2329"/>
    <mergeCell ref="C2320:C2329"/>
    <mergeCell ref="D2320:D2329"/>
    <mergeCell ref="E2320:E2329"/>
    <mergeCell ref="F2320:F2329"/>
    <mergeCell ref="G2320:G2329"/>
    <mergeCell ref="H2320:H2324"/>
    <mergeCell ref="I2320:I2329"/>
    <mergeCell ref="H2325:H2329"/>
    <mergeCell ref="H2299:H2303"/>
    <mergeCell ref="I2299:I2308"/>
    <mergeCell ref="H2304:H2308"/>
    <mergeCell ref="I2289:I2298"/>
    <mergeCell ref="B2268:B2277"/>
    <mergeCell ref="C2268:C2277"/>
    <mergeCell ref="B2289:B2298"/>
    <mergeCell ref="G2258:G2267"/>
    <mergeCell ref="H2258:H2262"/>
    <mergeCell ref="I2238:I2247"/>
    <mergeCell ref="H2243:H2247"/>
    <mergeCell ref="F2227:F2236"/>
    <mergeCell ref="G2227:G2236"/>
    <mergeCell ref="E2102:E2111"/>
    <mergeCell ref="C2289:C2298"/>
    <mergeCell ref="D2289:D2298"/>
    <mergeCell ref="E2289:E2298"/>
    <mergeCell ref="F2289:F2298"/>
    <mergeCell ref="H2092:H2096"/>
    <mergeCell ref="H2102:H2106"/>
    <mergeCell ref="I1844:I1853"/>
    <mergeCell ref="I1904:I1913"/>
    <mergeCell ref="I1894:I1903"/>
    <mergeCell ref="G2217:G2226"/>
    <mergeCell ref="I2217:I2226"/>
    <mergeCell ref="H2205:H2209"/>
    <mergeCell ref="H2144:H2148"/>
    <mergeCell ref="I2175:I2184"/>
    <mergeCell ref="I2185:I2194"/>
    <mergeCell ref="H2127:H2131"/>
    <mergeCell ref="I2258:I2267"/>
    <mergeCell ref="E2205:E2214"/>
    <mergeCell ref="H2117:H2121"/>
    <mergeCell ref="H2248:H2252"/>
    <mergeCell ref="F1671:F1680"/>
    <mergeCell ref="F1681:F1690"/>
    <mergeCell ref="I2248:I2257"/>
    <mergeCell ref="H2253:H2257"/>
    <mergeCell ref="E1997:E2006"/>
    <mergeCell ref="H2112:H2116"/>
    <mergeCell ref="H2122:H2126"/>
    <mergeCell ref="H2263:H2267"/>
    <mergeCell ref="E1987:E1996"/>
    <mergeCell ref="E1681:E1690"/>
    <mergeCell ref="E1691:E1700"/>
    <mergeCell ref="E1701:E1710"/>
    <mergeCell ref="E1832:E1841"/>
    <mergeCell ref="F1956:F1965"/>
    <mergeCell ref="F1966:F1975"/>
    <mergeCell ref="F1781:F1790"/>
    <mergeCell ref="I137:I146"/>
    <mergeCell ref="H142:H146"/>
    <mergeCell ref="I158:I167"/>
    <mergeCell ref="I168:I177"/>
    <mergeCell ref="G158:G167"/>
    <mergeCell ref="I302:I311"/>
    <mergeCell ref="G147:G156"/>
    <mergeCell ref="I147:I156"/>
    <mergeCell ref="F2279:F2288"/>
    <mergeCell ref="G2279:G2288"/>
    <mergeCell ref="H2279:H2283"/>
    <mergeCell ref="I2279:I2288"/>
    <mergeCell ref="H2284:H2288"/>
    <mergeCell ref="F1987:F1996"/>
    <mergeCell ref="F1997:F2006"/>
    <mergeCell ref="F2060:F2069"/>
    <mergeCell ref="H2190:H2194"/>
    <mergeCell ref="H2149:H2153"/>
    <mergeCell ref="H2165:H2169"/>
    <mergeCell ref="G2122:G2131"/>
    <mergeCell ref="I2122:I2131"/>
    <mergeCell ref="H2273:H2277"/>
    <mergeCell ref="F1976:F1985"/>
    <mergeCell ref="F1844:F1853"/>
    <mergeCell ref="F1854:F1863"/>
    <mergeCell ref="F1945:F1954"/>
    <mergeCell ref="H2072:H2076"/>
    <mergeCell ref="H2082:H2086"/>
    <mergeCell ref="F1660:F1669"/>
    <mergeCell ref="F1391:F1400"/>
    <mergeCell ref="F1488:F1497"/>
    <mergeCell ref="F1508:F1517"/>
    <mergeCell ref="G2:I2"/>
    <mergeCell ref="G3:I3"/>
    <mergeCell ref="E345:E354"/>
    <mergeCell ref="E1569:E1578"/>
    <mergeCell ref="F1600:F1609"/>
    <mergeCell ref="F1620:F1629"/>
    <mergeCell ref="E313:E322"/>
    <mergeCell ref="F668:F677"/>
    <mergeCell ref="F678:F687"/>
    <mergeCell ref="F625:F634"/>
    <mergeCell ref="F614:F623"/>
    <mergeCell ref="I178:I187"/>
    <mergeCell ref="H183:H187"/>
    <mergeCell ref="E1188:E1197"/>
    <mergeCell ref="F458:F467"/>
    <mergeCell ref="F552:F561"/>
    <mergeCell ref="F563:F572"/>
    <mergeCell ref="F594:F603"/>
    <mergeCell ref="E870:E879"/>
    <mergeCell ref="F1466:F1475"/>
    <mergeCell ref="F1476:F1485"/>
    <mergeCell ref="F1498:F1507"/>
    <mergeCell ref="F1320:F1329"/>
    <mergeCell ref="E1391:E1400"/>
    <mergeCell ref="E1208:E1217"/>
    <mergeCell ref="E1310:E1319"/>
    <mergeCell ref="E1422:E1431"/>
    <mergeCell ref="I199:I208"/>
    <mergeCell ref="H178:H182"/>
    <mergeCell ref="G189:G198"/>
    <mergeCell ref="G199:G208"/>
    <mergeCell ref="G292:G301"/>
    <mergeCell ref="F1218:F1227"/>
    <mergeCell ref="F1874:F1883"/>
    <mergeCell ref="E1435:E1444"/>
    <mergeCell ref="E1600:E1609"/>
    <mergeCell ref="E1620:E1629"/>
    <mergeCell ref="D2029:D2038"/>
    <mergeCell ref="D1671:D1680"/>
    <mergeCell ref="D1650:D1659"/>
    <mergeCell ref="E2175:E2184"/>
    <mergeCell ref="E2092:E2101"/>
    <mergeCell ref="D2040:D2049"/>
    <mergeCell ref="E2009:E2018"/>
    <mergeCell ref="E2019:E2028"/>
    <mergeCell ref="E2072:E2081"/>
    <mergeCell ref="D2060:D2069"/>
    <mergeCell ref="F2144:F2153"/>
    <mergeCell ref="F2154:F2163"/>
    <mergeCell ref="F2165:F2174"/>
    <mergeCell ref="E2132:E2141"/>
    <mergeCell ref="F2122:F2131"/>
    <mergeCell ref="F2102:F2111"/>
    <mergeCell ref="E2082:E2091"/>
    <mergeCell ref="F2029:F2038"/>
    <mergeCell ref="F2050:F2059"/>
    <mergeCell ref="F2132:F2141"/>
    <mergeCell ref="F2040:F2049"/>
    <mergeCell ref="F2009:F2018"/>
    <mergeCell ref="F2019:F2028"/>
    <mergeCell ref="E2144:E2153"/>
    <mergeCell ref="E2154:E2163"/>
    <mergeCell ref="E2165:E2174"/>
    <mergeCell ref="F2175:F2184"/>
    <mergeCell ref="E1156:E1165"/>
    <mergeCell ref="F1156:F1165"/>
    <mergeCell ref="F1289:F1298"/>
    <mergeCell ref="D2132:D2141"/>
    <mergeCell ref="D2009:D2018"/>
    <mergeCell ref="D2019:D2028"/>
    <mergeCell ref="D1701:D1710"/>
    <mergeCell ref="D1854:D1863"/>
    <mergeCell ref="D1884:D1893"/>
    <mergeCell ref="D2112:D2121"/>
    <mergeCell ref="D2122:D2131"/>
    <mergeCell ref="D1751:D1760"/>
    <mergeCell ref="D1801:D1810"/>
    <mergeCell ref="D1781:D1790"/>
    <mergeCell ref="E1781:E1790"/>
    <mergeCell ref="E1721:E1730"/>
    <mergeCell ref="D1894:D1903"/>
    <mergeCell ref="D1915:D1924"/>
    <mergeCell ref="D1904:D1913"/>
    <mergeCell ref="F1801:F1810"/>
    <mergeCell ref="E1966:E1975"/>
    <mergeCell ref="E1884:E1893"/>
    <mergeCell ref="D1844:D1853"/>
    <mergeCell ref="D1811:D1820"/>
    <mergeCell ref="D1864:D1873"/>
    <mergeCell ref="E1854:E1863"/>
    <mergeCell ref="F1711:F1720"/>
    <mergeCell ref="F1894:F1903"/>
    <mergeCell ref="E1239:E1248"/>
    <mergeCell ref="F1539:F1548"/>
    <mergeCell ref="E1218:E1227"/>
    <mergeCell ref="E1198:E1207"/>
    <mergeCell ref="D1341:D1350"/>
    <mergeCell ref="D1412:D1421"/>
    <mergeCell ref="D1361:D1370"/>
    <mergeCell ref="D1381:D1390"/>
    <mergeCell ref="D1310:D1319"/>
    <mergeCell ref="D1320:D1329"/>
    <mergeCell ref="D1269:D1278"/>
    <mergeCell ref="D1229:D1238"/>
    <mergeCell ref="F2112:F2121"/>
    <mergeCell ref="F2072:F2081"/>
    <mergeCell ref="F2082:F2091"/>
    <mergeCell ref="F2092:F2101"/>
    <mergeCell ref="D2050:D2059"/>
    <mergeCell ref="E2050:E2059"/>
    <mergeCell ref="D2102:D2111"/>
    <mergeCell ref="F1925:F1934"/>
    <mergeCell ref="F1691:F1700"/>
    <mergeCell ref="F1904:F1913"/>
    <mergeCell ref="E1925:E1934"/>
    <mergeCell ref="F1915:F1924"/>
    <mergeCell ref="D1966:D1975"/>
    <mergeCell ref="D1976:D1985"/>
    <mergeCell ref="D1997:D2006"/>
    <mergeCell ref="D1987:D1996"/>
    <mergeCell ref="E2112:E2121"/>
    <mergeCell ref="E1279:E1288"/>
    <mergeCell ref="E1330:E1339"/>
    <mergeCell ref="E1518:E1527"/>
    <mergeCell ref="E1529:E1538"/>
    <mergeCell ref="E1844:E1853"/>
    <mergeCell ref="F1569:F1578"/>
    <mergeCell ref="F1579:F1588"/>
    <mergeCell ref="D2227:D2236"/>
    <mergeCell ref="D542:D551"/>
    <mergeCell ref="D552:D561"/>
    <mergeCell ref="D563:D572"/>
    <mergeCell ref="D594:D603"/>
    <mergeCell ref="D614:D623"/>
    <mergeCell ref="D625:D634"/>
    <mergeCell ref="D1466:D1475"/>
    <mergeCell ref="D1476:D1485"/>
    <mergeCell ref="D1498:D1507"/>
    <mergeCell ref="D1518:D1527"/>
    <mergeCell ref="D668:D677"/>
    <mergeCell ref="D1711:D1720"/>
    <mergeCell ref="D1731:D1740"/>
    <mergeCell ref="D799:D808"/>
    <mergeCell ref="D809:D818"/>
    <mergeCell ref="D820:D829"/>
    <mergeCell ref="D830:D839"/>
    <mergeCell ref="D880:D889"/>
    <mergeCell ref="D1925:D1934"/>
    <mergeCell ref="D1935:D1944"/>
    <mergeCell ref="D2217:D2226"/>
    <mergeCell ref="D1600:D1609"/>
    <mergeCell ref="D1945:D1954"/>
    <mergeCell ref="D1956:D1965"/>
    <mergeCell ref="D1832:D1841"/>
    <mergeCell ref="D2072:D2081"/>
    <mergeCell ref="D2082:D2091"/>
    <mergeCell ref="D2092:D2101"/>
    <mergeCell ref="D1741:D1750"/>
    <mergeCell ref="D1691:D1700"/>
    <mergeCell ref="D912:D921"/>
    <mergeCell ref="E1456:E1465"/>
    <mergeCell ref="E1466:E1475"/>
    <mergeCell ref="D1610:D1619"/>
    <mergeCell ref="E1610:E1619"/>
    <mergeCell ref="D1771:D1780"/>
    <mergeCell ref="D1660:D1669"/>
    <mergeCell ref="E1761:E1770"/>
    <mergeCell ref="E1320:E1329"/>
    <mergeCell ref="E1289:E1298"/>
    <mergeCell ref="E1341:E1350"/>
    <mergeCell ref="E1412:E1421"/>
    <mergeCell ref="E1361:E1370"/>
    <mergeCell ref="E1381:E1390"/>
    <mergeCell ref="E1351:E1360"/>
    <mergeCell ref="E1300:E1309"/>
    <mergeCell ref="E1508:E1517"/>
    <mergeCell ref="D1508:D1517"/>
    <mergeCell ref="E1650:E1659"/>
    <mergeCell ref="D1620:D1629"/>
    <mergeCell ref="D1559:D1568"/>
    <mergeCell ref="D1488:D1497"/>
    <mergeCell ref="D1529:D1538"/>
    <mergeCell ref="E1559:E1568"/>
    <mergeCell ref="E1402:E1411"/>
    <mergeCell ref="E1660:E1669"/>
    <mergeCell ref="D1435:D1444"/>
    <mergeCell ref="D1445:D1454"/>
    <mergeCell ref="D1456:D1465"/>
    <mergeCell ref="E1476:E1485"/>
    <mergeCell ref="E1498:E1507"/>
    <mergeCell ref="D1391:D1400"/>
    <mergeCell ref="D1402:D1411"/>
    <mergeCell ref="D1569:D1578"/>
    <mergeCell ref="D1579:D1588"/>
    <mergeCell ref="D850:D859"/>
    <mergeCell ref="D860:D869"/>
    <mergeCell ref="D1289:D1298"/>
    <mergeCell ref="D1422:D1431"/>
    <mergeCell ref="D1218:D1227"/>
    <mergeCell ref="D1125:D1134"/>
    <mergeCell ref="D1198:D1207"/>
    <mergeCell ref="D1300:D1309"/>
    <mergeCell ref="D688:D697"/>
    <mergeCell ref="D728:D737"/>
    <mergeCell ref="D635:D644"/>
    <mergeCell ref="D769:D778"/>
    <mergeCell ref="D870:D879"/>
    <mergeCell ref="D789:D798"/>
    <mergeCell ref="D604:D613"/>
    <mergeCell ref="D1208:D1217"/>
    <mergeCell ref="D1549:D1558"/>
    <mergeCell ref="D984:D993"/>
    <mergeCell ref="D1014:D1023"/>
    <mergeCell ref="D1055:D1064"/>
    <mergeCell ref="D1024:D1033"/>
    <mergeCell ref="D1034:D1043"/>
    <mergeCell ref="D933:D942"/>
    <mergeCell ref="D1115:D1124"/>
    <mergeCell ref="D1188:D1197"/>
    <mergeCell ref="D759:D768"/>
    <mergeCell ref="D1539:D1548"/>
    <mergeCell ref="D1075:D1084"/>
    <mergeCell ref="D1085:D1094"/>
    <mergeCell ref="D1095:D1104"/>
    <mergeCell ref="D1791:D1800"/>
    <mergeCell ref="D532:D541"/>
    <mergeCell ref="D678:D687"/>
    <mergeCell ref="C994:C1003"/>
    <mergeCell ref="C656:C665"/>
    <mergeCell ref="D646:D655"/>
    <mergeCell ref="D973:D982"/>
    <mergeCell ref="C1135:C1144"/>
    <mergeCell ref="C840:C849"/>
    <mergeCell ref="C850:C859"/>
    <mergeCell ref="C1055:C1064"/>
    <mergeCell ref="D656:D665"/>
    <mergeCell ref="D953:D962"/>
    <mergeCell ref="C820:C829"/>
    <mergeCell ref="C880:C889"/>
    <mergeCell ref="C870:C879"/>
    <mergeCell ref="D943:D952"/>
    <mergeCell ref="C943:C952"/>
    <mergeCell ref="D963:D972"/>
    <mergeCell ref="C1115:C1124"/>
    <mergeCell ref="C532:C541"/>
    <mergeCell ref="C799:C808"/>
    <mergeCell ref="C789:C798"/>
    <mergeCell ref="C688:C697"/>
    <mergeCell ref="C769:C778"/>
    <mergeCell ref="C1731:C1740"/>
    <mergeCell ref="C1741:C1750"/>
    <mergeCell ref="C1721:C1730"/>
    <mergeCell ref="C922:C931"/>
    <mergeCell ref="D1589:D1598"/>
    <mergeCell ref="D779:D788"/>
    <mergeCell ref="D900:D909"/>
    <mergeCell ref="C1987:C1996"/>
    <mergeCell ref="C1997:C2006"/>
    <mergeCell ref="C1915:C1924"/>
    <mergeCell ref="C2029:C2038"/>
    <mergeCell ref="C2050:C2059"/>
    <mergeCell ref="D5:D14"/>
    <mergeCell ref="D15:D24"/>
    <mergeCell ref="D46:D55"/>
    <mergeCell ref="D56:D65"/>
    <mergeCell ref="D66:D75"/>
    <mergeCell ref="D76:D85"/>
    <mergeCell ref="D87:D96"/>
    <mergeCell ref="D97:D106"/>
    <mergeCell ref="D107:D116"/>
    <mergeCell ref="D117:D126"/>
    <mergeCell ref="D127:D136"/>
    <mergeCell ref="D137:D146"/>
    <mergeCell ref="D158:D167"/>
    <mergeCell ref="D168:D177"/>
    <mergeCell ref="D189:D198"/>
    <mergeCell ref="D199:D208"/>
    <mergeCell ref="D209:D218"/>
    <mergeCell ref="D25:D34"/>
    <mergeCell ref="C397:C406"/>
    <mergeCell ref="C407:C416"/>
    <mergeCell ref="C417:C426"/>
    <mergeCell ref="C345:C354"/>
    <mergeCell ref="D271:D280"/>
    <mergeCell ref="D397:D406"/>
    <mergeCell ref="D407:D416"/>
    <mergeCell ref="D1761:D1770"/>
    <mergeCell ref="D1045:D1054"/>
    <mergeCell ref="C2082:C2091"/>
    <mergeCell ref="C1466:C1475"/>
    <mergeCell ref="C2217:C2226"/>
    <mergeCell ref="C1600:C1609"/>
    <mergeCell ref="C1620:C1629"/>
    <mergeCell ref="C2154:C2163"/>
    <mergeCell ref="C2165:C2174"/>
    <mergeCell ref="C2132:C2141"/>
    <mergeCell ref="C2092:C2101"/>
    <mergeCell ref="C2102:C2111"/>
    <mergeCell ref="C2112:C2121"/>
    <mergeCell ref="C2122:C2131"/>
    <mergeCell ref="C1854:C1863"/>
    <mergeCell ref="C1864:C1873"/>
    <mergeCell ref="C1874:C1883"/>
    <mergeCell ref="C1884:C1893"/>
    <mergeCell ref="C1894:C1903"/>
    <mergeCell ref="C1904:C1913"/>
    <mergeCell ref="C2040:C2049"/>
    <mergeCell ref="C1945:C1954"/>
    <mergeCell ref="C1956:C1965"/>
    <mergeCell ref="C1610:C1619"/>
    <mergeCell ref="C1539:C1548"/>
    <mergeCell ref="C1508:C1517"/>
    <mergeCell ref="C1559:C1568"/>
    <mergeCell ref="C2009:C2018"/>
    <mergeCell ref="C2019:C2028"/>
    <mergeCell ref="C1935:C1944"/>
    <mergeCell ref="C1925:C1934"/>
    <mergeCell ref="C2072:C2081"/>
    <mergeCell ref="C1761:C1770"/>
    <mergeCell ref="C1822:C1831"/>
    <mergeCell ref="C1844:C1853"/>
    <mergeCell ref="D1721:D1730"/>
    <mergeCell ref="C1589:C1598"/>
    <mergeCell ref="D1874:D1883"/>
    <mergeCell ref="E1075:E1084"/>
    <mergeCell ref="E1085:E1094"/>
    <mergeCell ref="E1095:E1104"/>
    <mergeCell ref="C860:C869"/>
    <mergeCell ref="E850:E859"/>
    <mergeCell ref="E943:E952"/>
    <mergeCell ref="D1065:D1074"/>
    <mergeCell ref="D994:D1003"/>
    <mergeCell ref="B830:B839"/>
    <mergeCell ref="B840:B849"/>
    <mergeCell ref="C1832:C1841"/>
    <mergeCell ref="C2060:C2069"/>
    <mergeCell ref="C1781:C1790"/>
    <mergeCell ref="C1791:C1800"/>
    <mergeCell ref="C1711:C1720"/>
    <mergeCell ref="C1476:C1485"/>
    <mergeCell ref="C1498:C1507"/>
    <mergeCell ref="C1518:C1527"/>
    <mergeCell ref="C1529:C1538"/>
    <mergeCell ref="C1569:C1578"/>
    <mergeCell ref="C1579:C1588"/>
    <mergeCell ref="C1976:C1985"/>
    <mergeCell ref="E1146:E1155"/>
    <mergeCell ref="C1156:C1165"/>
    <mergeCell ref="D1156:D1165"/>
    <mergeCell ref="C1801:C1810"/>
    <mergeCell ref="D1249:D1258"/>
    <mergeCell ref="C1966:C1975"/>
    <mergeCell ref="D738:D747"/>
    <mergeCell ref="C809:C818"/>
    <mergeCell ref="C900:C909"/>
    <mergeCell ref="C830:C839"/>
    <mergeCell ref="C933:C942"/>
    <mergeCell ref="C953:C962"/>
    <mergeCell ref="C912:C921"/>
    <mergeCell ref="C890:C899"/>
    <mergeCell ref="E1045:E1054"/>
    <mergeCell ref="C963:C972"/>
    <mergeCell ref="B890:B899"/>
    <mergeCell ref="B799:B808"/>
    <mergeCell ref="B718:B727"/>
    <mergeCell ref="B1146:B1155"/>
    <mergeCell ref="B1034:B1043"/>
    <mergeCell ref="B594:B603"/>
    <mergeCell ref="B417:B426"/>
    <mergeCell ref="D748:D757"/>
    <mergeCell ref="D522:D531"/>
    <mergeCell ref="E532:E541"/>
    <mergeCell ref="C728:C737"/>
    <mergeCell ref="C973:C982"/>
    <mergeCell ref="B1004:B1013"/>
    <mergeCell ref="D1004:D1013"/>
    <mergeCell ref="B1014:B1023"/>
    <mergeCell ref="C1701:C1710"/>
    <mergeCell ref="B1671:B1680"/>
    <mergeCell ref="B1589:B1598"/>
    <mergeCell ref="B1751:B1760"/>
    <mergeCell ref="B1600:B1609"/>
    <mergeCell ref="B1549:B1558"/>
    <mergeCell ref="B1781:B1790"/>
    <mergeCell ref="B1791:B1800"/>
    <mergeCell ref="C97:C106"/>
    <mergeCell ref="C107:C116"/>
    <mergeCell ref="C117:C126"/>
    <mergeCell ref="C127:C136"/>
    <mergeCell ref="C137:C146"/>
    <mergeCell ref="C158:C167"/>
    <mergeCell ref="C168:C177"/>
    <mergeCell ref="C189:C198"/>
    <mergeCell ref="C199:C208"/>
    <mergeCell ref="C209:C218"/>
    <mergeCell ref="C147:C156"/>
    <mergeCell ref="B922:B931"/>
    <mergeCell ref="B1630:B1639"/>
    <mergeCell ref="B1569:B1578"/>
    <mergeCell ref="B1691:B1700"/>
    <mergeCell ref="B1488:B1497"/>
    <mergeCell ref="B1579:B1588"/>
    <mergeCell ref="B1095:B1104"/>
    <mergeCell ref="B1168:B1177"/>
    <mergeCell ref="B1105:B1114"/>
    <mergeCell ref="C1034:C1043"/>
    <mergeCell ref="C1381:C1390"/>
    <mergeCell ref="C984:C993"/>
    <mergeCell ref="C1269:C1278"/>
    <mergeCell ref="C1289:C1298"/>
    <mergeCell ref="B1218:B1227"/>
    <mergeCell ref="B1435:B1444"/>
    <mergeCell ref="B1422:B1431"/>
    <mergeCell ref="B1610:B1619"/>
    <mergeCell ref="B1476:B1485"/>
    <mergeCell ref="B1065:B1074"/>
    <mergeCell ref="B1075:B1084"/>
    <mergeCell ref="B1085:B1094"/>
    <mergeCell ref="C1014:C1023"/>
    <mergeCell ref="C1125:C1134"/>
    <mergeCell ref="C1045:C1054"/>
    <mergeCell ref="C1168:C1177"/>
    <mergeCell ref="C1239:C1248"/>
    <mergeCell ref="C1341:C1350"/>
    <mergeCell ref="B1361:B1370"/>
    <mergeCell ref="C1146:C1155"/>
    <mergeCell ref="C1351:C1360"/>
    <mergeCell ref="C1279:C1288"/>
    <mergeCell ref="B1188:B1197"/>
    <mergeCell ref="B1229:B1238"/>
    <mergeCell ref="B1249:B1258"/>
    <mergeCell ref="B1498:B1507"/>
    <mergeCell ref="B1518:B1527"/>
    <mergeCell ref="B1412:B1421"/>
    <mergeCell ref="B1466:B1475"/>
    <mergeCell ref="C1024:C1033"/>
    <mergeCell ref="C1361:C1370"/>
    <mergeCell ref="C1198:C1207"/>
    <mergeCell ref="C1310:C1319"/>
    <mergeCell ref="C1065:C1074"/>
    <mergeCell ref="C1075:C1084"/>
    <mergeCell ref="B1741:B1750"/>
    <mergeCell ref="B1711:B1720"/>
    <mergeCell ref="B1864:B1873"/>
    <mergeCell ref="B1874:B1883"/>
    <mergeCell ref="B1884:B1893"/>
    <mergeCell ref="B1660:B1669"/>
    <mergeCell ref="B820:B829"/>
    <mergeCell ref="B1701:B1710"/>
    <mergeCell ref="B1508:B1517"/>
    <mergeCell ref="B1650:B1659"/>
    <mergeCell ref="B1381:B1390"/>
    <mergeCell ref="B1310:B1319"/>
    <mergeCell ref="B656:B665"/>
    <mergeCell ref="B625:B634"/>
    <mergeCell ref="B1945:B1954"/>
    <mergeCell ref="B943:B952"/>
    <mergeCell ref="B953:B962"/>
    <mergeCell ref="B1135:B1144"/>
    <mergeCell ref="B963:B972"/>
    <mergeCell ref="B779:B788"/>
    <mergeCell ref="B1330:B1339"/>
    <mergeCell ref="B1681:B1690"/>
    <mergeCell ref="B1529:B1538"/>
    <mergeCell ref="B1620:B1629"/>
    <mergeCell ref="B635:B644"/>
    <mergeCell ref="B912:B921"/>
    <mergeCell ref="B984:B993"/>
    <mergeCell ref="B1279:B1288"/>
    <mergeCell ref="B994:B1003"/>
    <mergeCell ref="B1239:B1248"/>
    <mergeCell ref="B789:B798"/>
    <mergeCell ref="A1660:A1669"/>
    <mergeCell ref="A1822:A1831"/>
    <mergeCell ref="B5:B14"/>
    <mergeCell ref="B15:B24"/>
    <mergeCell ref="B46:B55"/>
    <mergeCell ref="B56:B65"/>
    <mergeCell ref="B66:B75"/>
    <mergeCell ref="B76:B85"/>
    <mergeCell ref="B87:B96"/>
    <mergeCell ref="B97:B106"/>
    <mergeCell ref="B107:B116"/>
    <mergeCell ref="B117:B126"/>
    <mergeCell ref="B127:B136"/>
    <mergeCell ref="B137:B146"/>
    <mergeCell ref="B158:B167"/>
    <mergeCell ref="B168:B177"/>
    <mergeCell ref="B189:B198"/>
    <mergeCell ref="B199:B208"/>
    <mergeCell ref="B209:B218"/>
    <mergeCell ref="B25:B34"/>
    <mergeCell ref="B147:B156"/>
    <mergeCell ref="A522:A531"/>
    <mergeCell ref="B809:B818"/>
    <mergeCell ref="B646:B655"/>
    <mergeCell ref="B1539:B1548"/>
    <mergeCell ref="B512:B521"/>
    <mergeCell ref="B728:B737"/>
    <mergeCell ref="B738:B747"/>
    <mergeCell ref="B748:B757"/>
    <mergeCell ref="B759:B768"/>
    <mergeCell ref="B769:B778"/>
    <mergeCell ref="B1156:B1165"/>
    <mergeCell ref="B2217:B2226"/>
    <mergeCell ref="B2165:B2174"/>
    <mergeCell ref="B2175:B2184"/>
    <mergeCell ref="B2195:B2204"/>
    <mergeCell ref="B2205:B2214"/>
    <mergeCell ref="B1854:B1863"/>
    <mergeCell ref="B2029:B2038"/>
    <mergeCell ref="B2050:B2059"/>
    <mergeCell ref="B2040:B2049"/>
    <mergeCell ref="B1976:B1985"/>
    <mergeCell ref="B1987:B1996"/>
    <mergeCell ref="B1997:B2006"/>
    <mergeCell ref="B1832:B1841"/>
    <mergeCell ref="B1894:B1903"/>
    <mergeCell ref="A2092:A2101"/>
    <mergeCell ref="A2102:A2111"/>
    <mergeCell ref="A2112:A2121"/>
    <mergeCell ref="B1844:B1853"/>
    <mergeCell ref="B1904:B1913"/>
    <mergeCell ref="B1925:B1934"/>
    <mergeCell ref="B1935:B1944"/>
    <mergeCell ref="B1915:B1924"/>
    <mergeCell ref="A2217:A2226"/>
    <mergeCell ref="A1966:A1975"/>
    <mergeCell ref="B1956:B1965"/>
    <mergeCell ref="B1966:B1975"/>
    <mergeCell ref="A1711:A1720"/>
    <mergeCell ref="A2205:A2214"/>
    <mergeCell ref="A2009:A2018"/>
    <mergeCell ref="A2072:A2081"/>
    <mergeCell ref="A2132:A2141"/>
    <mergeCell ref="B2132:B2141"/>
    <mergeCell ref="B1801:B1810"/>
    <mergeCell ref="B2009:B2018"/>
    <mergeCell ref="B2019:B2028"/>
    <mergeCell ref="B2072:B2081"/>
    <mergeCell ref="B2082:B2091"/>
    <mergeCell ref="B2092:B2101"/>
    <mergeCell ref="B2102:B2111"/>
    <mergeCell ref="B2060:B2069"/>
    <mergeCell ref="B2112:B2121"/>
    <mergeCell ref="B2122:B2131"/>
    <mergeCell ref="B2185:B2194"/>
    <mergeCell ref="B2154:B2163"/>
    <mergeCell ref="B2144:B2153"/>
    <mergeCell ref="B1731:B1740"/>
    <mergeCell ref="B1811:B1820"/>
    <mergeCell ref="B1771:B1780"/>
    <mergeCell ref="B1761:B1770"/>
    <mergeCell ref="B1822:B1831"/>
    <mergeCell ref="A2122:A2131"/>
    <mergeCell ref="A1854:A1863"/>
    <mergeCell ref="A1864:A1873"/>
    <mergeCell ref="A1874:A1883"/>
    <mergeCell ref="A1884:A1893"/>
    <mergeCell ref="A1894:A1903"/>
    <mergeCell ref="A1904:A1913"/>
    <mergeCell ref="A1925:A1934"/>
    <mergeCell ref="A1771:A1780"/>
    <mergeCell ref="A2060:A2069"/>
    <mergeCell ref="A1997:A2006"/>
    <mergeCell ref="A2154:A2163"/>
    <mergeCell ref="A2165:A2174"/>
    <mergeCell ref="A2175:A2184"/>
    <mergeCell ref="A1935:A1944"/>
    <mergeCell ref="A1832:A1841"/>
    <mergeCell ref="A2029:A2038"/>
    <mergeCell ref="A2050:A2059"/>
    <mergeCell ref="A2144:A2153"/>
    <mergeCell ref="A2185:A2194"/>
    <mergeCell ref="A2195:A2204"/>
    <mergeCell ref="A1559:A1568"/>
    <mergeCell ref="B1559:B1568"/>
    <mergeCell ref="A728:A737"/>
    <mergeCell ref="A738:A747"/>
    <mergeCell ref="A748:A757"/>
    <mergeCell ref="A1178:A1187"/>
    <mergeCell ref="A1391:A1400"/>
    <mergeCell ref="A933:A942"/>
    <mergeCell ref="A1529:A1538"/>
    <mergeCell ref="A1498:A1507"/>
    <mergeCell ref="A1518:A1527"/>
    <mergeCell ref="A1435:A1444"/>
    <mergeCell ref="A1445:A1454"/>
    <mergeCell ref="A953:A962"/>
    <mergeCell ref="A850:A859"/>
    <mergeCell ref="A860:A869"/>
    <mergeCell ref="A1412:A1421"/>
    <mergeCell ref="A1361:A1370"/>
    <mergeCell ref="A1310:A1319"/>
    <mergeCell ref="A1065:A1074"/>
    <mergeCell ref="A984:A993"/>
    <mergeCell ref="A1371:A1380"/>
    <mergeCell ref="A1341:A1350"/>
    <mergeCell ref="A1456:A1465"/>
    <mergeCell ref="A1466:A1475"/>
    <mergeCell ref="A1249:A1258"/>
    <mergeCell ref="A1259:A1268"/>
    <mergeCell ref="B850:B859"/>
    <mergeCell ref="B860:B869"/>
    <mergeCell ref="B870:B879"/>
    <mergeCell ref="B1024:B1033"/>
    <mergeCell ref="B1178:B1187"/>
    <mergeCell ref="A1402:A1411"/>
    <mergeCell ref="A1630:A1639"/>
    <mergeCell ref="A2082:A2091"/>
    <mergeCell ref="A708:A717"/>
    <mergeCell ref="B708:B717"/>
    <mergeCell ref="A759:A768"/>
    <mergeCell ref="B1269:B1278"/>
    <mergeCell ref="B1640:B1649"/>
    <mergeCell ref="A1721:A1730"/>
    <mergeCell ref="B1721:B1730"/>
    <mergeCell ref="A1539:A1548"/>
    <mergeCell ref="A2040:A2049"/>
    <mergeCell ref="A1289:A1298"/>
    <mergeCell ref="A1422:A1431"/>
    <mergeCell ref="A1731:A1740"/>
    <mergeCell ref="A1330:A1339"/>
    <mergeCell ref="A1569:A1578"/>
    <mergeCell ref="A1476:A1485"/>
    <mergeCell ref="A1620:A1629"/>
    <mergeCell ref="A656:A665"/>
    <mergeCell ref="A973:A982"/>
    <mergeCell ref="A1239:A1248"/>
    <mergeCell ref="A799:A808"/>
    <mergeCell ref="A809:A818"/>
    <mergeCell ref="A789:A798"/>
    <mergeCell ref="A1125:A1134"/>
    <mergeCell ref="A1198:A1207"/>
    <mergeCell ref="A479:A488"/>
    <mergeCell ref="A668:A677"/>
    <mergeCell ref="A678:A687"/>
    <mergeCell ref="A1229:A1238"/>
    <mergeCell ref="A1208:A1217"/>
    <mergeCell ref="A1188:A1197"/>
    <mergeCell ref="A830:A839"/>
    <mergeCell ref="A840:A849"/>
    <mergeCell ref="A646:A655"/>
    <mergeCell ref="A614:A623"/>
    <mergeCell ref="A625:A634"/>
    <mergeCell ref="A870:A879"/>
    <mergeCell ref="A900:A909"/>
    <mergeCell ref="A1156:A1165"/>
    <mergeCell ref="A1004:A1013"/>
    <mergeCell ref="A718:A727"/>
    <mergeCell ref="A880:A889"/>
    <mergeCell ref="A1095:A1104"/>
    <mergeCell ref="A912:A921"/>
    <mergeCell ref="A1105:A1114"/>
    <mergeCell ref="A1115:A1124"/>
    <mergeCell ref="A1135:A1144"/>
    <mergeCell ref="A1045:A1054"/>
    <mergeCell ref="A1218:A1227"/>
    <mergeCell ref="A1741:A1750"/>
    <mergeCell ref="A1671:A1680"/>
    <mergeCell ref="A1681:A1690"/>
    <mergeCell ref="A1351:A1360"/>
    <mergeCell ref="A1600:A1609"/>
    <mergeCell ref="A1650:A1659"/>
    <mergeCell ref="A922:A931"/>
    <mergeCell ref="A1761:A1770"/>
    <mergeCell ref="A1640:A1649"/>
    <mergeCell ref="A1945:A1954"/>
    <mergeCell ref="A1956:A1965"/>
    <mergeCell ref="A1300:A1309"/>
    <mergeCell ref="A1168:A1177"/>
    <mergeCell ref="A779:A788"/>
    <mergeCell ref="A2019:A2028"/>
    <mergeCell ref="A820:A829"/>
    <mergeCell ref="A1549:A1558"/>
    <mergeCell ref="A1508:A1517"/>
    <mergeCell ref="A1488:A1497"/>
    <mergeCell ref="A1751:A1760"/>
    <mergeCell ref="A1976:A1985"/>
    <mergeCell ref="A1987:A1996"/>
    <mergeCell ref="A1691:A1700"/>
    <mergeCell ref="A1701:A1710"/>
    <mergeCell ref="A1791:A1800"/>
    <mergeCell ref="A1801:A1810"/>
    <mergeCell ref="A1781:A1790"/>
    <mergeCell ref="A963:A972"/>
    <mergeCell ref="A1269:A1278"/>
    <mergeCell ref="A943:A952"/>
    <mergeCell ref="A1381:A1390"/>
    <mergeCell ref="A1579:A1588"/>
    <mergeCell ref="A1279:A1288"/>
    <mergeCell ref="A1146:A1155"/>
    <mergeCell ref="A1014:A1023"/>
    <mergeCell ref="A1055:A1064"/>
    <mergeCell ref="A1024:A1033"/>
    <mergeCell ref="A1844:A1853"/>
    <mergeCell ref="A1915:A1924"/>
    <mergeCell ref="A1811:A1820"/>
    <mergeCell ref="A1610:A1619"/>
    <mergeCell ref="A1589:A1598"/>
    <mergeCell ref="A1320:A1329"/>
    <mergeCell ref="A994:A1003"/>
    <mergeCell ref="A251:A260"/>
    <mergeCell ref="A271:A280"/>
    <mergeCell ref="A397:A406"/>
    <mergeCell ref="A407:A416"/>
    <mergeCell ref="A417:A426"/>
    <mergeCell ref="A427:A436"/>
    <mergeCell ref="A437:A446"/>
    <mergeCell ref="A447:A456"/>
    <mergeCell ref="A282:A291"/>
    <mergeCell ref="A1075:A1084"/>
    <mergeCell ref="A1085:A1094"/>
    <mergeCell ref="A532:A541"/>
    <mergeCell ref="A584:A593"/>
    <mergeCell ref="A302:A311"/>
    <mergeCell ref="A324:A333"/>
    <mergeCell ref="A313:A322"/>
    <mergeCell ref="A890:A899"/>
    <mergeCell ref="A574:A583"/>
    <mergeCell ref="A604:A613"/>
    <mergeCell ref="A1034:A1043"/>
    <mergeCell ref="A563:A572"/>
    <mergeCell ref="A594:A603"/>
    <mergeCell ref="A769:A778"/>
    <mergeCell ref="A385:A394"/>
    <mergeCell ref="A499:A508"/>
    <mergeCell ref="C468:C477"/>
    <mergeCell ref="C447:C456"/>
    <mergeCell ref="C708:C717"/>
    <mergeCell ref="A635:A644"/>
    <mergeCell ref="A468:A477"/>
    <mergeCell ref="C499:C508"/>
    <mergeCell ref="C604:C613"/>
    <mergeCell ref="C698:C707"/>
    <mergeCell ref="C375:C384"/>
    <mergeCell ref="C552:C561"/>
    <mergeCell ref="A25:A34"/>
    <mergeCell ref="A458:A467"/>
    <mergeCell ref="A261:A270"/>
    <mergeCell ref="A66:A75"/>
    <mergeCell ref="A76:A85"/>
    <mergeCell ref="A87:A96"/>
    <mergeCell ref="A97:A106"/>
    <mergeCell ref="A221:A230"/>
    <mergeCell ref="A231:A240"/>
    <mergeCell ref="B698:B707"/>
    <mergeCell ref="C614:C623"/>
    <mergeCell ref="B678:B687"/>
    <mergeCell ref="B688:B697"/>
    <mergeCell ref="B668:B677"/>
    <mergeCell ref="C542:C551"/>
    <mergeCell ref="C25:C34"/>
    <mergeCell ref="A241:A250"/>
    <mergeCell ref="A688:A697"/>
    <mergeCell ref="A698:A707"/>
    <mergeCell ref="B261:B270"/>
    <mergeCell ref="B282:B291"/>
    <mergeCell ref="E137:E146"/>
    <mergeCell ref="B397:B406"/>
    <mergeCell ref="B407:B416"/>
    <mergeCell ref="F375:F384"/>
    <mergeCell ref="E324:E333"/>
    <mergeCell ref="F417:F426"/>
    <mergeCell ref="F427:F436"/>
    <mergeCell ref="F437:F446"/>
    <mergeCell ref="D427:D436"/>
    <mergeCell ref="C261:C270"/>
    <mergeCell ref="D261:D270"/>
    <mergeCell ref="F447:F456"/>
    <mergeCell ref="F489:F498"/>
    <mergeCell ref="C646:C655"/>
    <mergeCell ref="C479:C488"/>
    <mergeCell ref="C625:C634"/>
    <mergeCell ref="C635:C644"/>
    <mergeCell ref="C458:C467"/>
    <mergeCell ref="B614:B623"/>
    <mergeCell ref="B458:B467"/>
    <mergeCell ref="B468:B477"/>
    <mergeCell ref="B479:B488"/>
    <mergeCell ref="A375:A384"/>
    <mergeCell ref="B375:B384"/>
    <mergeCell ref="B542:B551"/>
    <mergeCell ref="B552:B561"/>
    <mergeCell ref="B563:B572"/>
    <mergeCell ref="A345:A354"/>
    <mergeCell ref="C759:C768"/>
    <mergeCell ref="C748:C757"/>
    <mergeCell ref="D890:D899"/>
    <mergeCell ref="D1178:D1187"/>
    <mergeCell ref="C779:C788"/>
    <mergeCell ref="D698:D707"/>
    <mergeCell ref="D708:D717"/>
    <mergeCell ref="B900:B909"/>
    <mergeCell ref="B933:B942"/>
    <mergeCell ref="B880:B889"/>
    <mergeCell ref="B973:B982"/>
    <mergeCell ref="H199:H203"/>
    <mergeCell ref="B335:B344"/>
    <mergeCell ref="B355:B364"/>
    <mergeCell ref="B292:B301"/>
    <mergeCell ref="B302:B311"/>
    <mergeCell ref="D241:D250"/>
    <mergeCell ref="C335:C344"/>
    <mergeCell ref="D251:D260"/>
    <mergeCell ref="F345:F354"/>
    <mergeCell ref="E375:E384"/>
    <mergeCell ref="D335:D344"/>
    <mergeCell ref="E397:E406"/>
    <mergeCell ref="D385:D394"/>
    <mergeCell ref="E385:E394"/>
    <mergeCell ref="F385:F394"/>
    <mergeCell ref="D231:D240"/>
    <mergeCell ref="C292:C301"/>
    <mergeCell ref="C302:C311"/>
    <mergeCell ref="C324:C333"/>
    <mergeCell ref="C355:C364"/>
    <mergeCell ref="D345:D354"/>
    <mergeCell ref="I231:I240"/>
    <mergeCell ref="I292:I301"/>
    <mergeCell ref="I335:I344"/>
    <mergeCell ref="H350:H354"/>
    <mergeCell ref="I355:I364"/>
    <mergeCell ref="H407:H411"/>
    <mergeCell ref="H412:H416"/>
    <mergeCell ref="E335:E344"/>
    <mergeCell ref="C241:C250"/>
    <mergeCell ref="F407:F416"/>
    <mergeCell ref="B365:B374"/>
    <mergeCell ref="C365:C374"/>
    <mergeCell ref="D365:D374"/>
    <mergeCell ref="E365:E374"/>
    <mergeCell ref="C668:C677"/>
    <mergeCell ref="C678:C687"/>
    <mergeCell ref="D499:D508"/>
    <mergeCell ref="C427:C436"/>
    <mergeCell ref="B345:B354"/>
    <mergeCell ref="B489:B498"/>
    <mergeCell ref="B584:B593"/>
    <mergeCell ref="I499:I508"/>
    <mergeCell ref="H504:H508"/>
    <mergeCell ref="E261:E270"/>
    <mergeCell ref="F261:F270"/>
    <mergeCell ref="G261:G270"/>
    <mergeCell ref="H261:H265"/>
    <mergeCell ref="I261:I270"/>
    <mergeCell ref="H537:H541"/>
    <mergeCell ref="H527:H531"/>
    <mergeCell ref="G512:G521"/>
    <mergeCell ref="I512:I521"/>
    <mergeCell ref="E1488:E1497"/>
    <mergeCell ref="F1249:F1258"/>
    <mergeCell ref="F1259:F1268"/>
    <mergeCell ref="F1279:F1288"/>
    <mergeCell ref="E984:E993"/>
    <mergeCell ref="E1178:E1187"/>
    <mergeCell ref="F1178:F1187"/>
    <mergeCell ref="E1371:E1380"/>
    <mergeCell ref="H1997:H2001"/>
    <mergeCell ref="H1844:H1848"/>
    <mergeCell ref="E489:E498"/>
    <mergeCell ref="H1889:H1893"/>
    <mergeCell ref="H1904:H1908"/>
    <mergeCell ref="H1925:H1929"/>
    <mergeCell ref="H1771:H1775"/>
    <mergeCell ref="H789:H793"/>
    <mergeCell ref="H794:H798"/>
    <mergeCell ref="H1208:H1212"/>
    <mergeCell ref="H1716:H1720"/>
    <mergeCell ref="H1832:H1836"/>
    <mergeCell ref="H1335:H1339"/>
    <mergeCell ref="H1284:H1288"/>
    <mergeCell ref="H1686:H1690"/>
    <mergeCell ref="H917:H921"/>
    <mergeCell ref="G1208:G1217"/>
    <mergeCell ref="G1218:G1227"/>
    <mergeCell ref="H1402:H1406"/>
    <mergeCell ref="E1269:E1278"/>
    <mergeCell ref="E1249:E1258"/>
    <mergeCell ref="F1310:F1319"/>
    <mergeCell ref="E1135:E1144"/>
    <mergeCell ref="E1105:E1114"/>
    <mergeCell ref="F1085:F1094"/>
    <mergeCell ref="I1422:I1431"/>
    <mergeCell ref="G1381:G1390"/>
    <mergeCell ref="I1259:I1268"/>
    <mergeCell ref="H1381:H1385"/>
    <mergeCell ref="I1371:I1380"/>
    <mergeCell ref="D1239:D1248"/>
    <mergeCell ref="F1239:F1248"/>
    <mergeCell ref="F1229:F1238"/>
    <mergeCell ref="F1269:F1278"/>
    <mergeCell ref="F1105:F1114"/>
    <mergeCell ref="H1239:H1243"/>
    <mergeCell ref="G1085:G1094"/>
    <mergeCell ref="G1115:G1124"/>
    <mergeCell ref="H1120:H1124"/>
    <mergeCell ref="H1090:H1094"/>
    <mergeCell ref="H1100:H1104"/>
    <mergeCell ref="H1110:H1114"/>
    <mergeCell ref="F1146:F1155"/>
    <mergeCell ref="I1095:I1104"/>
    <mergeCell ref="H1130:H1134"/>
    <mergeCell ref="G1105:G1114"/>
    <mergeCell ref="H1156:H1160"/>
    <mergeCell ref="E1259:E1268"/>
    <mergeCell ref="E1229:E1238"/>
    <mergeCell ref="D1135:D1144"/>
    <mergeCell ref="E1115:E1124"/>
    <mergeCell ref="E1125:E1134"/>
    <mergeCell ref="D1105:D1114"/>
    <mergeCell ref="D1330:D1339"/>
    <mergeCell ref="D1259:D1268"/>
    <mergeCell ref="D1168:D1177"/>
    <mergeCell ref="I46:I55"/>
    <mergeCell ref="H92:H96"/>
    <mergeCell ref="H5:H9"/>
    <mergeCell ref="H10:H14"/>
    <mergeCell ref="H15:H19"/>
    <mergeCell ref="H20:H24"/>
    <mergeCell ref="I56:I65"/>
    <mergeCell ref="H46:H50"/>
    <mergeCell ref="I76:I85"/>
    <mergeCell ref="I87:I96"/>
    <mergeCell ref="H76:H80"/>
    <mergeCell ref="H81:H85"/>
    <mergeCell ref="F25:F34"/>
    <mergeCell ref="F87:F96"/>
    <mergeCell ref="H51:H55"/>
    <mergeCell ref="H56:H60"/>
    <mergeCell ref="E87:E96"/>
    <mergeCell ref="G25:G34"/>
    <mergeCell ref="I25:I34"/>
    <mergeCell ref="E46:E55"/>
    <mergeCell ref="E56:E65"/>
    <mergeCell ref="H25:H29"/>
    <mergeCell ref="H30:H34"/>
    <mergeCell ref="G66:G75"/>
    <mergeCell ref="I66:I75"/>
    <mergeCell ref="F56:F65"/>
    <mergeCell ref="F76:F85"/>
    <mergeCell ref="E35:E44"/>
    <mergeCell ref="F35:F44"/>
    <mergeCell ref="G35:G44"/>
    <mergeCell ref="H35:H39"/>
    <mergeCell ref="I35:I44"/>
    <mergeCell ref="F5:F14"/>
    <mergeCell ref="F271:F280"/>
    <mergeCell ref="E5:E14"/>
    <mergeCell ref="E25:E34"/>
    <mergeCell ref="F199:F208"/>
    <mergeCell ref="F282:F291"/>
    <mergeCell ref="F292:F301"/>
    <mergeCell ref="H163:H167"/>
    <mergeCell ref="F97:F106"/>
    <mergeCell ref="E147:E156"/>
    <mergeCell ref="E221:E230"/>
    <mergeCell ref="F168:F177"/>
    <mergeCell ref="F189:F198"/>
    <mergeCell ref="E168:E177"/>
    <mergeCell ref="H112:H116"/>
    <mergeCell ref="H107:H111"/>
    <mergeCell ref="H117:H121"/>
    <mergeCell ref="H168:H172"/>
    <mergeCell ref="H173:H177"/>
    <mergeCell ref="H189:H193"/>
    <mergeCell ref="H194:H198"/>
    <mergeCell ref="H147:H151"/>
    <mergeCell ref="H287:H291"/>
    <mergeCell ref="H71:H75"/>
    <mergeCell ref="H87:H91"/>
    <mergeCell ref="G76:G85"/>
    <mergeCell ref="E15:E24"/>
    <mergeCell ref="F15:F24"/>
    <mergeCell ref="G15:G24"/>
    <mergeCell ref="H266:H270"/>
    <mergeCell ref="F178:F187"/>
    <mergeCell ref="E189:E198"/>
    <mergeCell ref="E66:E75"/>
    <mergeCell ref="E76:E85"/>
    <mergeCell ref="E97:E106"/>
    <mergeCell ref="E107:E116"/>
    <mergeCell ref="E117:E126"/>
    <mergeCell ref="E127:E136"/>
    <mergeCell ref="G87:G96"/>
    <mergeCell ref="G97:G106"/>
    <mergeCell ref="H422:H426"/>
    <mergeCell ref="F302:F311"/>
    <mergeCell ref="F324:F333"/>
    <mergeCell ref="F335:F344"/>
    <mergeCell ref="H122:H126"/>
    <mergeCell ref="H127:H131"/>
    <mergeCell ref="H132:H136"/>
    <mergeCell ref="H137:H141"/>
    <mergeCell ref="H158:H162"/>
    <mergeCell ref="F117:F126"/>
    <mergeCell ref="F127:F136"/>
    <mergeCell ref="F241:F250"/>
    <mergeCell ref="F209:F218"/>
    <mergeCell ref="F221:F230"/>
    <mergeCell ref="F231:F240"/>
    <mergeCell ref="F251:F260"/>
    <mergeCell ref="G107:G116"/>
    <mergeCell ref="E355:E364"/>
    <mergeCell ref="E231:E240"/>
    <mergeCell ref="E251:E260"/>
    <mergeCell ref="E271:E280"/>
    <mergeCell ref="G385:G394"/>
    <mergeCell ref="H385:H389"/>
    <mergeCell ref="H390:H394"/>
    <mergeCell ref="H427:H431"/>
    <mergeCell ref="H432:H436"/>
    <mergeCell ref="G437:G446"/>
    <mergeCell ref="G447:G456"/>
    <mergeCell ref="H437:H441"/>
    <mergeCell ref="H442:H446"/>
    <mergeCell ref="H484:H488"/>
    <mergeCell ref="G458:G467"/>
    <mergeCell ref="H355:H359"/>
    <mergeCell ref="H297:H301"/>
    <mergeCell ref="H324:H328"/>
    <mergeCell ref="H329:H333"/>
    <mergeCell ref="H282:H286"/>
    <mergeCell ref="I417:I426"/>
    <mergeCell ref="G241:G250"/>
    <mergeCell ref="G221:G230"/>
    <mergeCell ref="H271:H275"/>
    <mergeCell ref="H221:H225"/>
    <mergeCell ref="H226:H230"/>
    <mergeCell ref="H236:H240"/>
    <mergeCell ref="H231:H235"/>
    <mergeCell ref="H251:H255"/>
    <mergeCell ref="H256:H260"/>
    <mergeCell ref="H345:H349"/>
    <mergeCell ref="G313:G322"/>
    <mergeCell ref="H313:H317"/>
    <mergeCell ref="I458:I467"/>
    <mergeCell ref="I468:I477"/>
    <mergeCell ref="H241:H245"/>
    <mergeCell ref="H276:H280"/>
    <mergeCell ref="G417:G426"/>
    <mergeCell ref="G397:G406"/>
    <mergeCell ref="I397:I406"/>
    <mergeCell ref="I407:I416"/>
    <mergeCell ref="G407:G416"/>
    <mergeCell ref="I209:I218"/>
    <mergeCell ref="I345:I354"/>
    <mergeCell ref="I251:I260"/>
    <mergeCell ref="I271:I280"/>
    <mergeCell ref="G355:G364"/>
    <mergeCell ref="H360:H364"/>
    <mergeCell ref="G345:G354"/>
    <mergeCell ref="I313:I322"/>
    <mergeCell ref="G335:G344"/>
    <mergeCell ref="H246:H250"/>
    <mergeCell ref="H335:H339"/>
    <mergeCell ref="H340:H344"/>
    <mergeCell ref="G324:G333"/>
    <mergeCell ref="I324:I333"/>
    <mergeCell ref="G282:G291"/>
    <mergeCell ref="I282:I291"/>
    <mergeCell ref="I241:I250"/>
    <mergeCell ref="H365:H369"/>
    <mergeCell ref="H209:H213"/>
    <mergeCell ref="I385:I394"/>
    <mergeCell ref="H214:H218"/>
    <mergeCell ref="G231:G240"/>
    <mergeCell ref="H397:H401"/>
    <mergeCell ref="H402:H406"/>
    <mergeCell ref="I375:I384"/>
    <mergeCell ref="H380:H384"/>
    <mergeCell ref="G396:J396"/>
    <mergeCell ref="G209:G218"/>
    <mergeCell ref="G251:G260"/>
    <mergeCell ref="I900:I909"/>
    <mergeCell ref="G789:G798"/>
    <mergeCell ref="H845:H849"/>
    <mergeCell ref="H855:H859"/>
    <mergeCell ref="G850:G859"/>
    <mergeCell ref="H865:H869"/>
    <mergeCell ref="I1249:I1258"/>
    <mergeCell ref="H1341:H1345"/>
    <mergeCell ref="H1330:H1334"/>
    <mergeCell ref="G1269:G1278"/>
    <mergeCell ref="H1269:H1273"/>
    <mergeCell ref="I1600:I1609"/>
    <mergeCell ref="G1445:G1454"/>
    <mergeCell ref="I1445:I1454"/>
    <mergeCell ref="H1254:H1258"/>
    <mergeCell ref="I1498:I1507"/>
    <mergeCell ref="H1259:H1263"/>
    <mergeCell ref="I1435:I1444"/>
    <mergeCell ref="H1471:H1475"/>
    <mergeCell ref="H1549:H1553"/>
    <mergeCell ref="H1450:H1454"/>
    <mergeCell ref="H1461:H1465"/>
    <mergeCell ref="G1569:G1578"/>
    <mergeCell ref="G1579:G1588"/>
    <mergeCell ref="I1589:I1598"/>
    <mergeCell ref="G1600:G1609"/>
    <mergeCell ref="H1600:H1604"/>
    <mergeCell ref="H1569:H1573"/>
    <mergeCell ref="H1579:H1583"/>
    <mergeCell ref="H1440:H1444"/>
    <mergeCell ref="H1456:H1460"/>
    <mergeCell ref="G1402:G1411"/>
    <mergeCell ref="I2072:I2081"/>
    <mergeCell ref="H1786:H1790"/>
    <mergeCell ref="H1791:H1795"/>
    <mergeCell ref="I2029:I2038"/>
    <mergeCell ref="H2029:H2033"/>
    <mergeCell ref="I1751:I1760"/>
    <mergeCell ref="H1756:H1760"/>
    <mergeCell ref="H1894:H1898"/>
    <mergeCell ref="H1746:H1750"/>
    <mergeCell ref="H1736:H1740"/>
    <mergeCell ref="H1751:H1755"/>
    <mergeCell ref="G1874:G1883"/>
    <mergeCell ref="H1837:H1841"/>
    <mergeCell ref="I1771:I1780"/>
    <mergeCell ref="G1811:G1820"/>
    <mergeCell ref="H1811:H1815"/>
    <mergeCell ref="H2034:H2038"/>
    <mergeCell ref="H1816:H1820"/>
    <mergeCell ref="H1971:H1975"/>
    <mergeCell ref="I1832:I1841"/>
    <mergeCell ref="H1935:H1939"/>
    <mergeCell ref="G1822:G1831"/>
    <mergeCell ref="G1854:G1863"/>
    <mergeCell ref="I1854:I1863"/>
    <mergeCell ref="H1864:H1868"/>
    <mergeCell ref="H1874:H1878"/>
    <mergeCell ref="H1796:H1800"/>
    <mergeCell ref="H1859:H1863"/>
    <mergeCell ref="H1884:H1888"/>
    <mergeCell ref="G2007:J2007"/>
    <mergeCell ref="G1956:G1965"/>
    <mergeCell ref="I1997:I2006"/>
    <mergeCell ref="G1731:G1740"/>
    <mergeCell ref="I1731:I1740"/>
    <mergeCell ref="G1741:G1750"/>
    <mergeCell ref="I1741:I1750"/>
    <mergeCell ref="G1884:G1893"/>
    <mergeCell ref="G1711:G1720"/>
    <mergeCell ref="G1671:G1680"/>
    <mergeCell ref="I1559:I1568"/>
    <mergeCell ref="H1721:H1725"/>
    <mergeCell ref="H1726:H1730"/>
    <mergeCell ref="G1701:G1710"/>
    <mergeCell ref="G1864:G1873"/>
    <mergeCell ref="I1864:I1873"/>
    <mergeCell ref="I1874:I1883"/>
    <mergeCell ref="H1801:H1805"/>
    <mergeCell ref="G1843:J1843"/>
    <mergeCell ref="G1771:G1780"/>
    <mergeCell ref="H1854:H1858"/>
    <mergeCell ref="I1711:I1720"/>
    <mergeCell ref="H1665:H1669"/>
    <mergeCell ref="H1589:H1593"/>
    <mergeCell ref="H1849:H1853"/>
    <mergeCell ref="G1844:G1853"/>
    <mergeCell ref="H1711:H1715"/>
    <mergeCell ref="G1832:G1841"/>
    <mergeCell ref="H1701:H1705"/>
    <mergeCell ref="H1650:H1654"/>
    <mergeCell ref="G1691:G1700"/>
    <mergeCell ref="H1615:H1619"/>
    <mergeCell ref="I1721:I1730"/>
    <mergeCell ref="C1691:C1700"/>
    <mergeCell ref="E1771:E1780"/>
    <mergeCell ref="G1721:G1730"/>
    <mergeCell ref="C1751:C1760"/>
    <mergeCell ref="C1671:C1680"/>
    <mergeCell ref="C1681:C1690"/>
    <mergeCell ref="E1579:E1588"/>
    <mergeCell ref="E1589:E1598"/>
    <mergeCell ref="E1711:E1720"/>
    <mergeCell ref="D1630:D1639"/>
    <mergeCell ref="E1630:E1639"/>
    <mergeCell ref="C1640:C1649"/>
    <mergeCell ref="F1630:F1639"/>
    <mergeCell ref="G1630:G1639"/>
    <mergeCell ref="G1620:G1629"/>
    <mergeCell ref="G1821:J1821"/>
    <mergeCell ref="G1842:J1842"/>
    <mergeCell ref="F1771:F1780"/>
    <mergeCell ref="H1766:H1770"/>
    <mergeCell ref="H1630:H1634"/>
    <mergeCell ref="H1584:H1588"/>
    <mergeCell ref="G1681:G1690"/>
    <mergeCell ref="I1650:I1659"/>
    <mergeCell ref="H1655:H1659"/>
    <mergeCell ref="I1610:I1619"/>
    <mergeCell ref="H1610:H1614"/>
    <mergeCell ref="H1605:H1609"/>
    <mergeCell ref="G1599:J1599"/>
    <mergeCell ref="G1650:G1659"/>
    <mergeCell ref="C1660:C1669"/>
    <mergeCell ref="F1650:F1659"/>
    <mergeCell ref="F1610:F1619"/>
    <mergeCell ref="C1771:C1780"/>
    <mergeCell ref="C1811:C1820"/>
    <mergeCell ref="C1300:C1309"/>
    <mergeCell ref="C1422:C1431"/>
    <mergeCell ref="C1435:C1444"/>
    <mergeCell ref="C1445:C1454"/>
    <mergeCell ref="D1279:D1288"/>
    <mergeCell ref="D1371:D1380"/>
    <mergeCell ref="D1351:D1360"/>
    <mergeCell ref="G1529:G1538"/>
    <mergeCell ref="H1315:H1319"/>
    <mergeCell ref="C1549:C1558"/>
    <mergeCell ref="C1488:C1497"/>
    <mergeCell ref="H1498:H1502"/>
    <mergeCell ref="H1300:H1304"/>
    <mergeCell ref="G1487:J1487"/>
    <mergeCell ref="H1361:H1365"/>
    <mergeCell ref="H1376:H1380"/>
    <mergeCell ref="G1476:G1485"/>
    <mergeCell ref="G1498:G1507"/>
    <mergeCell ref="H1294:H1298"/>
    <mergeCell ref="G1422:G1431"/>
    <mergeCell ref="H1422:H1426"/>
    <mergeCell ref="E1801:E1810"/>
    <mergeCell ref="H1781:H1785"/>
    <mergeCell ref="I1781:I1790"/>
    <mergeCell ref="H1776:H1780"/>
    <mergeCell ref="G1528:J1528"/>
    <mergeCell ref="H1594:H1598"/>
    <mergeCell ref="G1610:G1619"/>
    <mergeCell ref="G1539:G1548"/>
    <mergeCell ref="G1660:G1669"/>
    <mergeCell ref="G1904:G1913"/>
    <mergeCell ref="G1925:G1934"/>
    <mergeCell ref="I1956:I1965"/>
    <mergeCell ref="I1966:I1975"/>
    <mergeCell ref="I1976:I1985"/>
    <mergeCell ref="I1987:I1996"/>
    <mergeCell ref="H1920:H1924"/>
    <mergeCell ref="H1956:H1960"/>
    <mergeCell ref="I1935:I1944"/>
    <mergeCell ref="G1966:G1975"/>
    <mergeCell ref="G1976:G1985"/>
    <mergeCell ref="G1987:G1996"/>
    <mergeCell ref="H1976:H1980"/>
    <mergeCell ref="H1987:H1991"/>
    <mergeCell ref="H1981:H1985"/>
    <mergeCell ref="H1966:H1970"/>
    <mergeCell ref="H1945:H1949"/>
    <mergeCell ref="I1945:I1954"/>
    <mergeCell ref="G2008:J2008"/>
    <mergeCell ref="G1914:J1914"/>
    <mergeCell ref="G1955:J1955"/>
    <mergeCell ref="G1986:J1986"/>
    <mergeCell ref="E1811:E1820"/>
    <mergeCell ref="H1822:H1826"/>
    <mergeCell ref="I1822:I1831"/>
    <mergeCell ref="D1822:D1831"/>
    <mergeCell ref="G1791:G1800"/>
    <mergeCell ref="I1884:I1893"/>
    <mergeCell ref="H885:H889"/>
    <mergeCell ref="G890:G899"/>
    <mergeCell ref="H890:H894"/>
    <mergeCell ref="I890:I899"/>
    <mergeCell ref="I1125:I1134"/>
    <mergeCell ref="E1741:E1750"/>
    <mergeCell ref="D1681:D1690"/>
    <mergeCell ref="F1701:F1710"/>
    <mergeCell ref="F1559:F1568"/>
    <mergeCell ref="E1549:E1558"/>
    <mergeCell ref="F1549:F1558"/>
    <mergeCell ref="G1559:G1568"/>
    <mergeCell ref="H1559:H1563"/>
    <mergeCell ref="G1589:G1598"/>
    <mergeCell ref="G1670:J1670"/>
    <mergeCell ref="H1223:H1227"/>
    <mergeCell ref="H1140:H1144"/>
    <mergeCell ref="H1869:H1873"/>
    <mergeCell ref="H1879:H1883"/>
    <mergeCell ref="H1706:H1710"/>
    <mergeCell ref="H1645:H1649"/>
    <mergeCell ref="H1513:H1517"/>
    <mergeCell ref="I840:I849"/>
    <mergeCell ref="I850:I859"/>
    <mergeCell ref="H860:H864"/>
    <mergeCell ref="H875:H879"/>
    <mergeCell ref="I860:I869"/>
    <mergeCell ref="F840:F849"/>
    <mergeCell ref="G1014:G1023"/>
    <mergeCell ref="H999:H1003"/>
    <mergeCell ref="H900:H904"/>
    <mergeCell ref="H943:H947"/>
    <mergeCell ref="G994:G1003"/>
    <mergeCell ref="H994:H998"/>
    <mergeCell ref="G860:G869"/>
    <mergeCell ref="I984:I993"/>
    <mergeCell ref="H1009:H1013"/>
    <mergeCell ref="H895:H899"/>
    <mergeCell ref="I994:I1003"/>
    <mergeCell ref="I870:I879"/>
    <mergeCell ref="G953:G962"/>
    <mergeCell ref="F933:F942"/>
    <mergeCell ref="F912:F921"/>
    <mergeCell ref="H1019:H1023"/>
    <mergeCell ref="G922:G931"/>
    <mergeCell ref="H922:H926"/>
    <mergeCell ref="G933:G942"/>
    <mergeCell ref="H912:H916"/>
    <mergeCell ref="H984:H988"/>
    <mergeCell ref="F953:F962"/>
    <mergeCell ref="I953:I962"/>
    <mergeCell ref="I880:I889"/>
    <mergeCell ref="G870:G879"/>
    <mergeCell ref="H870:H874"/>
    <mergeCell ref="F789:F798"/>
    <mergeCell ref="F779:F788"/>
    <mergeCell ref="E748:E757"/>
    <mergeCell ref="H733:H737"/>
    <mergeCell ref="H743:H747"/>
    <mergeCell ref="H753:H757"/>
    <mergeCell ref="I820:I829"/>
    <mergeCell ref="G809:G818"/>
    <mergeCell ref="H728:H732"/>
    <mergeCell ref="H738:H742"/>
    <mergeCell ref="H748:H752"/>
    <mergeCell ref="E728:E737"/>
    <mergeCell ref="G830:G839"/>
    <mergeCell ref="H769:H773"/>
    <mergeCell ref="F809:F818"/>
    <mergeCell ref="I830:I839"/>
    <mergeCell ref="G799:G808"/>
    <mergeCell ref="H814:H818"/>
    <mergeCell ref="F738:F747"/>
    <mergeCell ref="F748:F757"/>
    <mergeCell ref="E738:E747"/>
    <mergeCell ref="I738:I747"/>
    <mergeCell ref="G759:G768"/>
    <mergeCell ref="I759:I768"/>
    <mergeCell ref="G779:G788"/>
    <mergeCell ref="H779:H783"/>
    <mergeCell ref="I779:I788"/>
    <mergeCell ref="I748:I757"/>
    <mergeCell ref="G728:G737"/>
    <mergeCell ref="F728:F737"/>
    <mergeCell ref="H804:H808"/>
    <mergeCell ref="E830:E839"/>
    <mergeCell ref="H661:H665"/>
    <mergeCell ref="G646:G655"/>
    <mergeCell ref="H646:H650"/>
    <mergeCell ref="E594:E603"/>
    <mergeCell ref="E512:E521"/>
    <mergeCell ref="H512:H516"/>
    <mergeCell ref="E468:E477"/>
    <mergeCell ref="F769:F778"/>
    <mergeCell ref="F512:F521"/>
    <mergeCell ref="F542:F551"/>
    <mergeCell ref="H703:H707"/>
    <mergeCell ref="G708:G717"/>
    <mergeCell ref="H708:H712"/>
    <mergeCell ref="G769:G778"/>
    <mergeCell ref="F656:F665"/>
    <mergeCell ref="G656:G665"/>
    <mergeCell ref="H656:H660"/>
    <mergeCell ref="G748:G757"/>
    <mergeCell ref="H683:H687"/>
    <mergeCell ref="H479:H483"/>
    <mergeCell ref="G468:G477"/>
    <mergeCell ref="H517:H521"/>
    <mergeCell ref="H494:H498"/>
    <mergeCell ref="H604:H608"/>
    <mergeCell ref="G573:J573"/>
    <mergeCell ref="I574:I583"/>
    <mergeCell ref="I522:I531"/>
    <mergeCell ref="I532:I541"/>
    <mergeCell ref="I552:I561"/>
    <mergeCell ref="I708:I717"/>
    <mergeCell ref="I769:I778"/>
    <mergeCell ref="E668:E677"/>
    <mergeCell ref="H1691:H1695"/>
    <mergeCell ref="H1407:H1411"/>
    <mergeCell ref="I1361:I1370"/>
    <mergeCell ref="H1391:H1395"/>
    <mergeCell ref="I1518:I1527"/>
    <mergeCell ref="H1676:H1680"/>
    <mergeCell ref="H1681:H1685"/>
    <mergeCell ref="I1539:I1548"/>
    <mergeCell ref="I1508:I1517"/>
    <mergeCell ref="H1574:H1578"/>
    <mergeCell ref="H1635:H1639"/>
    <mergeCell ref="H1640:H1644"/>
    <mergeCell ref="G1640:G1649"/>
    <mergeCell ref="H1620:H1624"/>
    <mergeCell ref="H1625:H1629"/>
    <mergeCell ref="H1539:H1543"/>
    <mergeCell ref="I1691:I1700"/>
    <mergeCell ref="G1466:G1475"/>
    <mergeCell ref="G1518:G1527"/>
    <mergeCell ref="I1402:I1411"/>
    <mergeCell ref="H1386:H1390"/>
    <mergeCell ref="I1529:I1538"/>
    <mergeCell ref="I1549:I1558"/>
    <mergeCell ref="I1660:I1669"/>
    <mergeCell ref="G1486:J1486"/>
    <mergeCell ref="H1417:H1421"/>
    <mergeCell ref="G1401:J1401"/>
    <mergeCell ref="H1427:H1431"/>
    <mergeCell ref="G1412:G1421"/>
    <mergeCell ref="H1660:H1664"/>
    <mergeCell ref="H1371:H1375"/>
    <mergeCell ref="H1244:H1248"/>
    <mergeCell ref="G1432:J1432"/>
    <mergeCell ref="G1433:J1433"/>
    <mergeCell ref="G1434:J1434"/>
    <mergeCell ref="G1435:G1444"/>
    <mergeCell ref="G1289:G1298"/>
    <mergeCell ref="H1229:H1233"/>
    <mergeCell ref="H1075:H1079"/>
    <mergeCell ref="H1050:H1054"/>
    <mergeCell ref="I1105:I1114"/>
    <mergeCell ref="H1488:H1492"/>
    <mergeCell ref="H1493:H1497"/>
    <mergeCell ref="H1481:H1485"/>
    <mergeCell ref="I1488:I1497"/>
    <mergeCell ref="I1412:I1421"/>
    <mergeCell ref="H1466:H1470"/>
    <mergeCell ref="H1445:H1449"/>
    <mergeCell ref="G1549:G1558"/>
    <mergeCell ref="H1412:H1416"/>
    <mergeCell ref="H1310:H1314"/>
    <mergeCell ref="H1503:H1507"/>
    <mergeCell ref="I1279:I1288"/>
    <mergeCell ref="G1168:G1177"/>
    <mergeCell ref="G1300:G1309"/>
    <mergeCell ref="I1300:I1309"/>
    <mergeCell ref="H1213:H1217"/>
    <mergeCell ref="G562:J562"/>
    <mergeCell ref="G840:G849"/>
    <mergeCell ref="G1188:G1197"/>
    <mergeCell ref="I1188:I1197"/>
    <mergeCell ref="I656:I665"/>
    <mergeCell ref="G698:G707"/>
    <mergeCell ref="I1198:I1207"/>
    <mergeCell ref="H1203:H1207"/>
    <mergeCell ref="H1396:H1400"/>
    <mergeCell ref="I1310:I1319"/>
    <mergeCell ref="G1310:G1319"/>
    <mergeCell ref="I1135:I1144"/>
    <mergeCell ref="I1146:I1155"/>
    <mergeCell ref="I1218:I1227"/>
    <mergeCell ref="H1279:H1283"/>
    <mergeCell ref="H1274:H1278"/>
    <mergeCell ref="H1178:H1182"/>
    <mergeCell ref="I963:I972"/>
    <mergeCell ref="H1029:H1033"/>
    <mergeCell ref="H1039:H1043"/>
    <mergeCell ref="H1014:H1018"/>
    <mergeCell ref="H1055:H1059"/>
    <mergeCell ref="G984:G993"/>
    <mergeCell ref="I698:I707"/>
    <mergeCell ref="I799:I808"/>
    <mergeCell ref="I943:I952"/>
    <mergeCell ref="H1095:H1099"/>
    <mergeCell ref="H1080:H1084"/>
    <mergeCell ref="I1024:I1033"/>
    <mergeCell ref="H1151:H1155"/>
    <mergeCell ref="I1178:I1187"/>
    <mergeCell ref="H1146:H1150"/>
    <mergeCell ref="I809:I818"/>
    <mergeCell ref="H953:H957"/>
    <mergeCell ref="I1034:I1043"/>
    <mergeCell ref="I1004:I1013"/>
    <mergeCell ref="H809:H813"/>
    <mergeCell ref="H948:H952"/>
    <mergeCell ref="H905:H909"/>
    <mergeCell ref="G1125:G1134"/>
    <mergeCell ref="H1173:H1177"/>
    <mergeCell ref="G1024:G1033"/>
    <mergeCell ref="H1070:H1074"/>
    <mergeCell ref="G1055:G1064"/>
    <mergeCell ref="H499:H503"/>
    <mergeCell ref="G479:G488"/>
    <mergeCell ref="I973:I982"/>
    <mergeCell ref="H978:H982"/>
    <mergeCell ref="G1156:G1165"/>
    <mergeCell ref="H989:H993"/>
    <mergeCell ref="G1034:G1043"/>
    <mergeCell ref="G973:G982"/>
    <mergeCell ref="H973:H977"/>
    <mergeCell ref="G489:G498"/>
    <mergeCell ref="H489:H493"/>
    <mergeCell ref="I489:I498"/>
    <mergeCell ref="H579:H583"/>
    <mergeCell ref="H584:H588"/>
    <mergeCell ref="G625:G634"/>
    <mergeCell ref="H688:H692"/>
    <mergeCell ref="H630:H634"/>
    <mergeCell ref="I1156:I1165"/>
    <mergeCell ref="I1045:I1054"/>
    <mergeCell ref="I1065:I1074"/>
    <mergeCell ref="H61:H65"/>
    <mergeCell ref="G1781:G1790"/>
    <mergeCell ref="I1811:I1820"/>
    <mergeCell ref="I1791:I1800"/>
    <mergeCell ref="H1508:H1512"/>
    <mergeCell ref="G1801:G1810"/>
    <mergeCell ref="I1476:I1485"/>
    <mergeCell ref="I1671:I1680"/>
    <mergeCell ref="I1681:I1690"/>
    <mergeCell ref="I1569:I1578"/>
    <mergeCell ref="I1579:I1588"/>
    <mergeCell ref="I1620:I1629"/>
    <mergeCell ref="I1640:I1649"/>
    <mergeCell ref="I1630:I1639"/>
    <mergeCell ref="H1476:H1480"/>
    <mergeCell ref="H1366:H1370"/>
    <mergeCell ref="I1391:I1400"/>
    <mergeCell ref="I1330:I1339"/>
    <mergeCell ref="H1249:H1253"/>
    <mergeCell ref="I1168:I1177"/>
    <mergeCell ref="H1234:H1238"/>
    <mergeCell ref="G1146:G1155"/>
    <mergeCell ref="G1320:G1329"/>
    <mergeCell ref="H1320:H1324"/>
    <mergeCell ref="H1289:H1293"/>
    <mergeCell ref="H1325:H1329"/>
    <mergeCell ref="H1264:H1268"/>
    <mergeCell ref="G1198:G1207"/>
    <mergeCell ref="I1208:I1217"/>
    <mergeCell ref="G1229:G1238"/>
    <mergeCell ref="G1249:G1258"/>
    <mergeCell ref="H1806:H1810"/>
    <mergeCell ref="G457:J457"/>
    <mergeCell ref="G478:J478"/>
    <mergeCell ref="G509:J509"/>
    <mergeCell ref="F1864:F1873"/>
    <mergeCell ref="G1894:G1903"/>
    <mergeCell ref="I365:I374"/>
    <mergeCell ref="H370:H374"/>
    <mergeCell ref="G395:J395"/>
    <mergeCell ref="H1827:H1831"/>
    <mergeCell ref="I1801:I1810"/>
    <mergeCell ref="I1239:I1248"/>
    <mergeCell ref="G375:G384"/>
    <mergeCell ref="H375:H379"/>
    <mergeCell ref="G510:J510"/>
    <mergeCell ref="G511:J511"/>
    <mergeCell ref="I437:I446"/>
    <mergeCell ref="I479:I488"/>
    <mergeCell ref="I447:I456"/>
    <mergeCell ref="H417:H421"/>
    <mergeCell ref="G365:G374"/>
    <mergeCell ref="G1351:G1360"/>
    <mergeCell ref="G1391:G1400"/>
    <mergeCell ref="H1435:H1439"/>
    <mergeCell ref="H1534:H1538"/>
    <mergeCell ref="G1508:G1517"/>
    <mergeCell ref="H447:H451"/>
    <mergeCell ref="G427:G436"/>
    <mergeCell ref="I427:I436"/>
    <mergeCell ref="I1761:I1770"/>
    <mergeCell ref="I1701:I1710"/>
    <mergeCell ref="G1488:G1497"/>
    <mergeCell ref="G1095:G1104"/>
    <mergeCell ref="G4:J4"/>
    <mergeCell ref="G45:J45"/>
    <mergeCell ref="G86:J86"/>
    <mergeCell ref="G157:J157"/>
    <mergeCell ref="G188:J188"/>
    <mergeCell ref="G219:J219"/>
    <mergeCell ref="G220:J220"/>
    <mergeCell ref="G281:I281"/>
    <mergeCell ref="G312:J312"/>
    <mergeCell ref="G323:J323"/>
    <mergeCell ref="G334:J334"/>
    <mergeCell ref="H292:H296"/>
    <mergeCell ref="H152:H156"/>
    <mergeCell ref="I107:I116"/>
    <mergeCell ref="I117:I126"/>
    <mergeCell ref="G127:G136"/>
    <mergeCell ref="I127:I136"/>
    <mergeCell ref="I189:I198"/>
    <mergeCell ref="I97:I106"/>
    <mergeCell ref="G271:G280"/>
    <mergeCell ref="G5:G14"/>
    <mergeCell ref="G302:G311"/>
    <mergeCell ref="H302:H306"/>
    <mergeCell ref="H307:H311"/>
    <mergeCell ref="H318:H322"/>
    <mergeCell ref="I221:I230"/>
    <mergeCell ref="H204:H208"/>
    <mergeCell ref="G56:G65"/>
    <mergeCell ref="G137:G146"/>
    <mergeCell ref="G178:G187"/>
    <mergeCell ref="I15:I24"/>
    <mergeCell ref="I5:I14"/>
    <mergeCell ref="G168:G177"/>
    <mergeCell ref="G1761:G1770"/>
    <mergeCell ref="G1751:G1760"/>
    <mergeCell ref="H1761:H1765"/>
    <mergeCell ref="H1731:H1735"/>
    <mergeCell ref="H1741:H1745"/>
    <mergeCell ref="H1671:H1675"/>
    <mergeCell ref="H1554:H1558"/>
    <mergeCell ref="H1518:H1522"/>
    <mergeCell ref="H1529:H1533"/>
    <mergeCell ref="H1523:H1527"/>
    <mergeCell ref="H1564:H1568"/>
    <mergeCell ref="G1135:G1144"/>
    <mergeCell ref="H1135:H1139"/>
    <mergeCell ref="G1341:G1350"/>
    <mergeCell ref="H1198:H1202"/>
    <mergeCell ref="G1259:G1268"/>
    <mergeCell ref="H1696:H1700"/>
    <mergeCell ref="H1183:H1187"/>
    <mergeCell ref="H1085:H1089"/>
    <mergeCell ref="H1105:H1109"/>
    <mergeCell ref="G943:G952"/>
    <mergeCell ref="G1045:G1054"/>
    <mergeCell ref="G1065:G1074"/>
    <mergeCell ref="G1075:G1084"/>
    <mergeCell ref="H463:H467"/>
    <mergeCell ref="H473:H477"/>
    <mergeCell ref="H458:H462"/>
    <mergeCell ref="H468:H472"/>
    <mergeCell ref="H452:H456"/>
    <mergeCell ref="G1279:G1288"/>
    <mergeCell ref="H1544:H1548"/>
    <mergeCell ref="I1075:I1084"/>
    <mergeCell ref="I1085:I1094"/>
    <mergeCell ref="I912:I921"/>
    <mergeCell ref="I933:I942"/>
    <mergeCell ref="I1014:I1023"/>
    <mergeCell ref="I1055:I1064"/>
    <mergeCell ref="G1330:G1339"/>
    <mergeCell ref="G1361:G1370"/>
    <mergeCell ref="G1455:J1455"/>
    <mergeCell ref="G912:G921"/>
    <mergeCell ref="H958:H962"/>
    <mergeCell ref="G1178:G1187"/>
    <mergeCell ref="G1456:G1465"/>
    <mergeCell ref="I1456:I1465"/>
    <mergeCell ref="I1466:I1475"/>
    <mergeCell ref="H1351:H1355"/>
    <mergeCell ref="I1351:I1360"/>
    <mergeCell ref="H1356:H1360"/>
    <mergeCell ref="I1229:I1238"/>
    <mergeCell ref="H1065:H1069"/>
    <mergeCell ref="I1269:I1278"/>
    <mergeCell ref="I1320:I1329"/>
    <mergeCell ref="I1341:I1350"/>
    <mergeCell ref="I1381:I1390"/>
    <mergeCell ref="H1346:H1350"/>
    <mergeCell ref="G1371:G1380"/>
    <mergeCell ref="G1239:G1248"/>
    <mergeCell ref="I1115:I1124"/>
    <mergeCell ref="H1024:H1028"/>
    <mergeCell ref="H1034:H1038"/>
    <mergeCell ref="I1289:I1298"/>
    <mergeCell ref="H1218:H1222"/>
    <mergeCell ref="I2227:I2236"/>
    <mergeCell ref="G2039:J2039"/>
    <mergeCell ref="G2070:J2070"/>
    <mergeCell ref="G2071:J2071"/>
    <mergeCell ref="G2142:J2142"/>
    <mergeCell ref="G2143:J2143"/>
    <mergeCell ref="G2164:J2164"/>
    <mergeCell ref="G2215:J2215"/>
    <mergeCell ref="H2087:H2091"/>
    <mergeCell ref="I2154:I2163"/>
    <mergeCell ref="H2200:H2204"/>
    <mergeCell ref="H2210:H2214"/>
    <mergeCell ref="G2132:G2141"/>
    <mergeCell ref="G2112:G2121"/>
    <mergeCell ref="H2159:H2163"/>
    <mergeCell ref="I2205:I2214"/>
    <mergeCell ref="I2165:I2174"/>
    <mergeCell ref="G2072:G2081"/>
    <mergeCell ref="G2082:G2091"/>
    <mergeCell ref="G2092:G2101"/>
    <mergeCell ref="G2102:G2111"/>
    <mergeCell ref="I2082:I2091"/>
    <mergeCell ref="G2185:G2194"/>
    <mergeCell ref="G2144:G2153"/>
    <mergeCell ref="I2144:I2153"/>
    <mergeCell ref="H2170:H2174"/>
    <mergeCell ref="H2180:H2184"/>
    <mergeCell ref="H2077:H2081"/>
    <mergeCell ref="H2097:H2101"/>
    <mergeCell ref="H2107:H2111"/>
    <mergeCell ref="I2060:I2069"/>
    <mergeCell ref="H2232:H2236"/>
    <mergeCell ref="I2019:I2028"/>
    <mergeCell ref="G1997:G2006"/>
    <mergeCell ref="H1899:H1903"/>
    <mergeCell ref="H1909:H1913"/>
    <mergeCell ref="H1930:H1934"/>
    <mergeCell ref="I2132:I2141"/>
    <mergeCell ref="H2137:H2141"/>
    <mergeCell ref="H2222:H2226"/>
    <mergeCell ref="H2217:H2221"/>
    <mergeCell ref="I2092:I2101"/>
    <mergeCell ref="I2112:I2121"/>
    <mergeCell ref="H2154:H2158"/>
    <mergeCell ref="G2216:J2216"/>
    <mergeCell ref="H2060:H2064"/>
    <mergeCell ref="H2045:H2049"/>
    <mergeCell ref="G2175:G2184"/>
    <mergeCell ref="H2195:H2199"/>
    <mergeCell ref="H2185:H2189"/>
    <mergeCell ref="G1915:G1924"/>
    <mergeCell ref="H1915:H1919"/>
    <mergeCell ref="H2132:H2136"/>
    <mergeCell ref="I2040:I2049"/>
    <mergeCell ref="H1961:H1965"/>
    <mergeCell ref="H1992:H1996"/>
    <mergeCell ref="H2002:H2006"/>
    <mergeCell ref="H2014:H2018"/>
    <mergeCell ref="H2055:H2059"/>
    <mergeCell ref="G2040:G2049"/>
    <mergeCell ref="H2050:H2054"/>
    <mergeCell ref="H2019:H2023"/>
    <mergeCell ref="H2040:H2044"/>
    <mergeCell ref="I1915:I1924"/>
    <mergeCell ref="I2102:I2111"/>
    <mergeCell ref="G2154:G2163"/>
    <mergeCell ref="G2165:G2174"/>
    <mergeCell ref="G2309:J2309"/>
    <mergeCell ref="G624:J624"/>
    <mergeCell ref="G645:J645"/>
    <mergeCell ref="G666:J666"/>
    <mergeCell ref="G667:J667"/>
    <mergeCell ref="G758:J758"/>
    <mergeCell ref="G910:J910"/>
    <mergeCell ref="G911:J911"/>
    <mergeCell ref="G932:J932"/>
    <mergeCell ref="G983:J983"/>
    <mergeCell ref="G1044:J1044"/>
    <mergeCell ref="G1145:J1145"/>
    <mergeCell ref="G1166:J1166"/>
    <mergeCell ref="G1167:J1167"/>
    <mergeCell ref="G1228:J1228"/>
    <mergeCell ref="G1299:J1299"/>
    <mergeCell ref="G1340:J1340"/>
    <mergeCell ref="G1935:G1944"/>
    <mergeCell ref="G1945:G1954"/>
    <mergeCell ref="H1940:H1944"/>
    <mergeCell ref="H1950:H1954"/>
    <mergeCell ref="H2065:H2069"/>
    <mergeCell ref="H2009:H2013"/>
    <mergeCell ref="H2024:H2028"/>
    <mergeCell ref="G2237:J2237"/>
    <mergeCell ref="G2278:J2278"/>
    <mergeCell ref="G2060:G2069"/>
    <mergeCell ref="I1925:I1934"/>
    <mergeCell ref="I2009:I2018"/>
  </mergeCells>
  <phoneticPr fontId="9" type="noConversion"/>
  <conditionalFormatting sqref="G2">
    <cfRule type="expression" dxfId="8580" priority="16096">
      <formula>#REF! = "produs"</formula>
    </cfRule>
    <cfRule type="expression" dxfId="8579" priority="16097">
      <formula>#REF! = "obiectiv"</formula>
    </cfRule>
  </conditionalFormatting>
  <conditionalFormatting sqref="G3 W282:IU284 W47:IU48 W57:IU58 W67:IU68 W77:IU78 W88:IU89 W98:IU99 W108:IU109 W118:IU119 W128:IU129 W138:IU139 W159:IU160 W169:IU170 W398:IU399 W408:IU409 W418:IU419 W428:IU429 W438:IU439 W448:IU449 W336:IU336 W356:IU357 L302:P302 K6:K11 K13:K15 W13:IU17 W50:IU55 W60:IU65 W70:IU75 W91:IU96 W101:IU106 W111:IU116 W121:IU126 W131:IU136 W162:IU167 W193:IU201 W235:IU240 W401:IU406 W411:IU416 W421:IU426 W431:IU436 W441:IU446 W286:IU294 W317:IU326 W338:IU354 W359:IU364 W141:IU156 W306:IU311 K209 W313:IU315 V2072:V2131 W296:IU304 V282:V311 W203:IU211 V189:V218 W172:IU177 V1105:V1134 V1822:V1842 V2009:V2028 K2050:K2059 L8:P9 V8:IU11 L13:P13 V13 Q8:U13 K2217:IU2226 W80:IU85 V345:IU354 W275:IU280 V1310:V1319 V1341:V1350 W328:IU334 W19:IU34 L334:P334 L3:IU3 V397:V456 W225:IU233 W251:IU253 W255:IU260 L5:IU7 W213:IU223 Q188:V188 L14:V14 V1381:V1390 K2029:IU2038 Q2050:IU2059 Q4:IU4 W188:IU191 W271:IU273 V1529:V1534 V1361:V1370 V1401:V1421 W478:IU478 V1914 V1536:V1598 G188 L219:U220 K2142:IU2214 W451:IU457 L396:IU396">
    <cfRule type="expression" dxfId="8578" priority="16158">
      <formula>#REF! = "produs"</formula>
    </cfRule>
    <cfRule type="expression" dxfId="8577" priority="16159">
      <formula>#REF! = "obiectiv"</formula>
    </cfRule>
  </conditionalFormatting>
  <conditionalFormatting sqref="G334 G1843 G281 G323 G312 J281">
    <cfRule type="expression" dxfId="8576" priority="15917">
      <formula>$E281 = "produs"</formula>
    </cfRule>
    <cfRule type="expression" dxfId="8575" priority="15918">
      <formula>$E281 = "obiectiv"</formula>
    </cfRule>
  </conditionalFormatting>
  <conditionalFormatting sqref="G345 G15 J6:J7 J66 J97 J107 J117 G127 J137 J127 J168 J14 J9:J10 J76 J189 J199 J221 J231 J251 J271 J335 J355 J1701 J2144:J2145 J2029:J2030 J2050:J2051 J2217:J2218 J2032:J2038 J2053:J2059 J2157:J2163 J2168:J2176 J2178:J2186 J2188:J2196 J2198:J2206 J2208:J2214 J2220:J2226 V1044:V1134 G220 G45:G46 G5:J5 I46:J46 I158:J158 G2215:G2216 J87 J25 J2165:J2166 J2147:J2155">
    <cfRule type="expression" dxfId="8574" priority="15701">
      <formula>#REF! = "produs"</formula>
    </cfRule>
    <cfRule type="expression" dxfId="8573" priority="15702">
      <formula>#REF! = "obiectiv"</formula>
    </cfRule>
  </conditionalFormatting>
  <conditionalFormatting sqref="G2144">
    <cfRule type="expression" dxfId="8572" priority="15465">
      <formula>#REF! = "produs"</formula>
    </cfRule>
  </conditionalFormatting>
  <conditionalFormatting sqref="G2144">
    <cfRule type="expression" dxfId="8571" priority="15466">
      <formula>#REF! = "obiectiv"</formula>
    </cfRule>
  </conditionalFormatting>
  <conditionalFormatting sqref="J84:J85 Q85:V85 V147:V156 J1045:J1046 K1044:K1054 J1168:K1169 V912:V921 J1310:IU1311 V335:V364 V25:V34 Q1105:U1113 K1111:U1134 L1079:U1084 Q1077:U1078 Q1067:U1068 L1069:U1076 L1049:U1054 Q1047:U1048 J348:K354 K347 J1048:J1054 J1065:J1066 J1068:J1076 J1078:J1084 J1095:J1096 J1098:J1106 J1108:J1116 J1118:J1126 J1128:J1134 K1170 J1201:K1209 J1211:K1217 J1249:IU1250 K1231 J1252:IU1253 K1251:IU1251 J1262:IU1263 K1261:IU1261 J1313:IU1319 K1312:IU1312 J1344:IU1350 K1343:IU1343 K1363:IU1363 K1383:IU1383 J1412:IU1413 K1404 J1415:IU1421 K1414:IU1414 J1171:K1177 K1065:K1084 W1044:IU1134 L1065:U1066 K1166:IU1166 J1364:IU1370 J1381:IU1382 J1265:IU1268 J1264:K1264 Q1264:IU1264 J1255:IU1260 J1254:K1254 Q1254:IU1254 J345:K346 Q345:V354 Q1168:IU1177 J1229:K1230 J1232:K1238 Q1229:IU1238 K1228:IU1228 J1402:K1403 J1405:K1411 Q1402:IU1411 J1384:IU1390 J1361:IU1362 K1401:IU1401 J1341:IU1342 Q1055:U1064 Q1085:U1094 L1044:U1046 K1095:U1104 K1340:IU1340 L1188:IU1217 J1198:K1199 K1192:K1217 V1691:V1820 K457">
    <cfRule type="expression" dxfId="8570" priority="17624">
      <formula>#REF! = "produs"</formula>
    </cfRule>
    <cfRule type="expression" dxfId="8569" priority="17625">
      <formula>#REF! = "obiectiv"</formula>
    </cfRule>
  </conditionalFormatting>
  <conditionalFormatting sqref="F422:G426 F417:H421 F412:G416 V251:V260 L1718 N1718:U1718 L1710:U1717 Q1716:U1719 K399 F409:I409 K429 K439 K449 L1719:U1720 V271:V280 F397:H406 K418:K419 Q397:U426 F427:H446 F447:F456 J819:J821 V819:IU879 K819:K820 L819:U831 K872:K879 K862:K870 K852:K860 K842:K850 K832:K840 K822:K830 W457:IU457 L1731:U1760 W478:IU478 W1914:IU1914 K1914 V397:IU456 I412:J416 J417:K418 F410:J411 J400:K406 F407:J408 J397:K398 J420:K428 J430:K438 J450:K456 J440:K448 F478:G478 G1955 K2278:V2278 J471:K477 J461:K469 F395:G396 J458:K459 K457 F457:G457 K478 V2040:V2049 V2050:IU2059 K2050:K2059 J2050:J2051 K395:IU396">
    <cfRule type="expression" dxfId="8568" priority="18454">
      <formula>#REF! = "produs"</formula>
    </cfRule>
    <cfRule type="expression" dxfId="8567" priority="18455">
      <formula>#REF! = "obiectiv"</formula>
    </cfRule>
  </conditionalFormatting>
  <conditionalFormatting sqref="K4 K282 K188:K189 K219:K220 K271 K396 K292 K302 K313 K324 K25">
    <cfRule type="expression" dxfId="8566" priority="15095">
      <formula>#REF! = "produs"</formula>
    </cfRule>
    <cfRule type="expression" dxfId="8565" priority="15096">
      <formula>#REF! = "obiectiv"</formula>
    </cfRule>
  </conditionalFormatting>
  <conditionalFormatting sqref="K16:K17 K19:K34">
    <cfRule type="expression" dxfId="8564" priority="15089">
      <formula>#REF! = "produs"</formula>
    </cfRule>
    <cfRule type="expression" dxfId="8563" priority="15090">
      <formula>#REF! = "obiectiv"</formula>
    </cfRule>
  </conditionalFormatting>
  <conditionalFormatting sqref="H61">
    <cfRule type="expression" dxfId="8562" priority="15041">
      <formula>#REF! = "produs"</formula>
    </cfRule>
    <cfRule type="expression" dxfId="8561" priority="15042">
      <formula>#REF! = "obiectiv"</formula>
    </cfRule>
  </conditionalFormatting>
  <conditionalFormatting sqref="I15 H20 J23:J26 J19 J21 J28:J34 J15:J16">
    <cfRule type="expression" dxfId="8560" priority="15087">
      <formula>#REF! = "produs"</formula>
    </cfRule>
    <cfRule type="expression" dxfId="8559" priority="15088">
      <formula>#REF! = "obiectiv"</formula>
    </cfRule>
  </conditionalFormatting>
  <conditionalFormatting sqref="L24:U24 L15:U17 Q18:U23 L19:P23 Q25:U34">
    <cfRule type="expression" dxfId="8558" priority="15085">
      <formula>#REF! = "produs"</formula>
    </cfRule>
    <cfRule type="expression" dxfId="8557" priority="15086">
      <formula>#REF! = "obiectiv"</formula>
    </cfRule>
  </conditionalFormatting>
  <conditionalFormatting sqref="K6">
    <cfRule type="expression" dxfId="8556" priority="15083">
      <formula>#REF! = "produs"</formula>
    </cfRule>
    <cfRule type="expression" dxfId="8555" priority="15084">
      <formula>#REF! = "obiectiv"</formula>
    </cfRule>
  </conditionalFormatting>
  <conditionalFormatting sqref="K47:K48 K50:K52 K54:K55">
    <cfRule type="expression" dxfId="8554" priority="15079">
      <formula>#REF! = "produs"</formula>
    </cfRule>
    <cfRule type="expression" dxfId="8553" priority="15080">
      <formula>#REF! = "obiectiv"</formula>
    </cfRule>
  </conditionalFormatting>
  <conditionalFormatting sqref="J47 J54:J55 J52 J50">
    <cfRule type="expression" dxfId="8552" priority="15077">
      <formula>#REF! = "produs"</formula>
    </cfRule>
    <cfRule type="expression" dxfId="8551" priority="15078">
      <formula>#REF! = "obiectiv"</formula>
    </cfRule>
  </conditionalFormatting>
  <conditionalFormatting sqref="J22">
    <cfRule type="expression" dxfId="8550" priority="15069">
      <formula>#REF! = "produs"</formula>
    </cfRule>
    <cfRule type="expression" dxfId="8549" priority="15070">
      <formula>#REF! = "obiectiv"</formula>
    </cfRule>
  </conditionalFormatting>
  <conditionalFormatting sqref="Q46:U55">
    <cfRule type="expression" dxfId="8548" priority="15071">
      <formula>#REF! = "produs"</formula>
    </cfRule>
    <cfRule type="expression" dxfId="8547" priority="15072">
      <formula>#REF! = "obiectiv"</formula>
    </cfRule>
  </conditionalFormatting>
  <conditionalFormatting sqref="J57 J64:J65 J62 J60">
    <cfRule type="expression" dxfId="8546" priority="15057">
      <formula>#REF! = "produs"</formula>
    </cfRule>
    <cfRule type="expression" dxfId="8545" priority="15058">
      <formula>#REF! = "obiectiv"</formula>
    </cfRule>
  </conditionalFormatting>
  <conditionalFormatting sqref="J53">
    <cfRule type="expression" dxfId="8544" priority="15067">
      <formula>#REF! = "produs"</formula>
    </cfRule>
    <cfRule type="expression" dxfId="8543" priority="15068">
      <formula>#REF! = "obiectiv"</formula>
    </cfRule>
  </conditionalFormatting>
  <conditionalFormatting sqref="K58 K60:K65">
    <cfRule type="expression" dxfId="8542" priority="15059">
      <formula>#REF! = "produs"</formula>
    </cfRule>
    <cfRule type="expression" dxfId="8541" priority="15060">
      <formula>#REF! = "obiectiv"</formula>
    </cfRule>
  </conditionalFormatting>
  <conditionalFormatting sqref="J63">
    <cfRule type="expression" dxfId="8540" priority="15053">
      <formula>#REF! = "produs"</formula>
    </cfRule>
    <cfRule type="expression" dxfId="8539" priority="15054">
      <formula>#REF! = "obiectiv"</formula>
    </cfRule>
  </conditionalFormatting>
  <conditionalFormatting sqref="Q57:U65">
    <cfRule type="expression" dxfId="8538" priority="15055">
      <formula>#REF! = "produs"</formula>
    </cfRule>
    <cfRule type="expression" dxfId="8537" priority="15056">
      <formula>#REF! = "obiectiv"</formula>
    </cfRule>
  </conditionalFormatting>
  <conditionalFormatting sqref="H10">
    <cfRule type="expression" dxfId="8536" priority="15045">
      <formula>#REF! = "produs"</formula>
    </cfRule>
    <cfRule type="expression" dxfId="8535" priority="15046">
      <formula>#REF! = "obiectiv"</formula>
    </cfRule>
  </conditionalFormatting>
  <conditionalFormatting sqref="H51">
    <cfRule type="expression" dxfId="8534" priority="15043">
      <formula>#REF! = "produs"</formula>
    </cfRule>
    <cfRule type="expression" dxfId="8533" priority="15044">
      <formula>#REF! = "obiectiv"</formula>
    </cfRule>
  </conditionalFormatting>
  <conditionalFormatting sqref="J98 J105:J106 J103 J101">
    <cfRule type="expression" dxfId="8532" priority="14923">
      <formula>#REF! = "produs"</formula>
    </cfRule>
    <cfRule type="expression" dxfId="8531" priority="14924">
      <formula>#REF! = "obiectiv"</formula>
    </cfRule>
  </conditionalFormatting>
  <conditionalFormatting sqref="J94">
    <cfRule type="expression" dxfId="8530" priority="14935">
      <formula>#REF! = "produs"</formula>
    </cfRule>
    <cfRule type="expression" dxfId="8529" priority="14936">
      <formula>#REF! = "obiectiv"</formula>
    </cfRule>
  </conditionalFormatting>
  <conditionalFormatting sqref="J67 J74:J75 J72 J70">
    <cfRule type="expression" dxfId="8528" priority="15019">
      <formula>#REF! = "produs"</formula>
    </cfRule>
    <cfRule type="expression" dxfId="8527" priority="15020">
      <formula>#REF! = "obiectiv"</formula>
    </cfRule>
  </conditionalFormatting>
  <conditionalFormatting sqref="J77 J82 J80">
    <cfRule type="expression" dxfId="8526" priority="14987">
      <formula>#REF! = "produs"</formula>
    </cfRule>
    <cfRule type="expression" dxfId="8525" priority="14988">
      <formula>#REF! = "obiectiv"</formula>
    </cfRule>
  </conditionalFormatting>
  <conditionalFormatting sqref="K68 K70:K75">
    <cfRule type="expression" dxfId="8524" priority="15021">
      <formula>#REF! = "produs"</formula>
    </cfRule>
    <cfRule type="expression" dxfId="8523" priority="15022">
      <formula>#REF! = "obiectiv"</formula>
    </cfRule>
  </conditionalFormatting>
  <conditionalFormatting sqref="J73">
    <cfRule type="expression" dxfId="8522" priority="15015">
      <formula>#REF! = "produs"</formula>
    </cfRule>
    <cfRule type="expression" dxfId="8521" priority="15016">
      <formula>#REF! = "obiectiv"</formula>
    </cfRule>
  </conditionalFormatting>
  <conditionalFormatting sqref="L75:U75 L74:P74 L70:P71 Q69:U74 L67:U68">
    <cfRule type="expression" dxfId="8520" priority="15017">
      <formula>#REF! = "produs"</formula>
    </cfRule>
    <cfRule type="expression" dxfId="8519" priority="15018">
      <formula>#REF! = "obiectiv"</formula>
    </cfRule>
  </conditionalFormatting>
  <conditionalFormatting sqref="L73:P73">
    <cfRule type="expression" dxfId="8518" priority="15013">
      <formula>#REF! = "produs"</formula>
    </cfRule>
    <cfRule type="expression" dxfId="8517" priority="15014">
      <formula>#REF! = "obiectiv"</formula>
    </cfRule>
  </conditionalFormatting>
  <conditionalFormatting sqref="O72:P72">
    <cfRule type="expression" dxfId="8516" priority="15011">
      <formula>#REF! = "produs"</formula>
    </cfRule>
    <cfRule type="expression" dxfId="8515" priority="15012">
      <formula>#REF! = "obiectiv"</formula>
    </cfRule>
  </conditionalFormatting>
  <conditionalFormatting sqref="H81">
    <cfRule type="expression" dxfId="8514" priority="14977">
      <formula>#REF! = "produs"</formula>
    </cfRule>
    <cfRule type="expression" dxfId="8513" priority="14978">
      <formula>#REF! = "obiectiv"</formula>
    </cfRule>
  </conditionalFormatting>
  <conditionalFormatting sqref="J104">
    <cfRule type="expression" dxfId="8512" priority="14919">
      <formula>#REF! = "produs"</formula>
    </cfRule>
    <cfRule type="expression" dxfId="8511" priority="14920">
      <formula>#REF! = "obiectiv"</formula>
    </cfRule>
  </conditionalFormatting>
  <conditionalFormatting sqref="Q77:U77">
    <cfRule type="expression" dxfId="8510" priority="14985">
      <formula>#REF! = "produs"</formula>
    </cfRule>
    <cfRule type="expression" dxfId="8509" priority="14986">
      <formula>#REF! = "obiectiv"</formula>
    </cfRule>
  </conditionalFormatting>
  <conditionalFormatting sqref="J83">
    <cfRule type="expression" dxfId="8508" priority="14983">
      <formula>#REF! = "produs"</formula>
    </cfRule>
    <cfRule type="expression" dxfId="8507" priority="14984">
      <formula>#REF! = "obiectiv"</formula>
    </cfRule>
  </conditionalFormatting>
  <conditionalFormatting sqref="H102">
    <cfRule type="expression" dxfId="8506" priority="14913">
      <formula>#REF! = "produs"</formula>
    </cfRule>
    <cfRule type="expression" dxfId="8505" priority="14914">
      <formula>#REF! = "obiectiv"</formula>
    </cfRule>
  </conditionalFormatting>
  <conditionalFormatting sqref="K131:K136 K128:K129">
    <cfRule type="expression" dxfId="8504" priority="14877">
      <formula>#REF! = "produs"</formula>
    </cfRule>
    <cfRule type="expression" dxfId="8503" priority="14878">
      <formula>#REF! = "obiectiv"</formula>
    </cfRule>
  </conditionalFormatting>
  <conditionalFormatting sqref="J88 J95:J96 J93 J91">
    <cfRule type="expression" dxfId="8502" priority="14939">
      <formula>#REF! = "produs"</formula>
    </cfRule>
    <cfRule type="expression" dxfId="8501" priority="14940">
      <formula>#REF! = "obiectiv"</formula>
    </cfRule>
  </conditionalFormatting>
  <conditionalFormatting sqref="Q96:U96">
    <cfRule type="expression" dxfId="8500" priority="14937">
      <formula>#REF! = "produs"</formula>
    </cfRule>
    <cfRule type="expression" dxfId="8499" priority="14938">
      <formula>#REF! = "obiectiv"</formula>
    </cfRule>
  </conditionalFormatting>
  <conditionalFormatting sqref="J128 J135:J136 J133 J131">
    <cfRule type="expression" dxfId="8498" priority="14875">
      <formula>#REF! = "produs"</formula>
    </cfRule>
    <cfRule type="expression" dxfId="8497" priority="14876">
      <formula>#REF! = "obiectiv"</formula>
    </cfRule>
  </conditionalFormatting>
  <conditionalFormatting sqref="Q136:U136 Q128:U128">
    <cfRule type="expression" dxfId="8496" priority="14873">
      <formula>#REF! = "produs"</formula>
    </cfRule>
    <cfRule type="expression" dxfId="8495" priority="14874">
      <formula>#REF! = "obiectiv"</formula>
    </cfRule>
  </conditionalFormatting>
  <conditionalFormatting sqref="K98:K99 K101:K106">
    <cfRule type="expression" dxfId="8494" priority="14925">
      <formula>#REF! = "produs"</formula>
    </cfRule>
    <cfRule type="expression" dxfId="8493" priority="14926">
      <formula>#REF! = "obiectiv"</formula>
    </cfRule>
  </conditionalFormatting>
  <conditionalFormatting sqref="J278">
    <cfRule type="expression" dxfId="8492" priority="14615">
      <formula>#REF! = "produs"</formula>
    </cfRule>
    <cfRule type="expression" dxfId="8491" priority="14616">
      <formula>#REF! = "obiectiv"</formula>
    </cfRule>
  </conditionalFormatting>
  <conditionalFormatting sqref="L106:U106 L105:P105 L101:P102 L98:U98 L99:P99">
    <cfRule type="expression" dxfId="8490" priority="14921">
      <formula>#REF! = "produs"</formula>
    </cfRule>
    <cfRule type="expression" dxfId="8489" priority="14922">
      <formula>#REF! = "obiectiv"</formula>
    </cfRule>
  </conditionalFormatting>
  <conditionalFormatting sqref="L104:P104">
    <cfRule type="expression" dxfId="8488" priority="14917">
      <formula>#REF! = "produs"</formula>
    </cfRule>
    <cfRule type="expression" dxfId="8487" priority="14918">
      <formula>#REF! = "obiectiv"</formula>
    </cfRule>
  </conditionalFormatting>
  <conditionalFormatting sqref="L103:P103">
    <cfRule type="expression" dxfId="8486" priority="14915">
      <formula>#REF! = "produs"</formula>
    </cfRule>
    <cfRule type="expression" dxfId="8485" priority="14916">
      <formula>#REF! = "obiectiv"</formula>
    </cfRule>
  </conditionalFormatting>
  <conditionalFormatting sqref="J108 J115:J116 J113 J111">
    <cfRule type="expression" dxfId="8484" priority="14907">
      <formula>#REF! = "produs"</formula>
    </cfRule>
    <cfRule type="expression" dxfId="8483" priority="14908">
      <formula>#REF! = "obiectiv"</formula>
    </cfRule>
  </conditionalFormatting>
  <conditionalFormatting sqref="Q116:U116 Q108:U108">
    <cfRule type="expression" dxfId="8482" priority="14905">
      <formula>#REF! = "produs"</formula>
    </cfRule>
    <cfRule type="expression" dxfId="8481" priority="14906">
      <formula>#REF! = "obiectiv"</formula>
    </cfRule>
  </conditionalFormatting>
  <conditionalFormatting sqref="J114">
    <cfRule type="expression" dxfId="8480" priority="14903">
      <formula>#REF! = "produs"</formula>
    </cfRule>
    <cfRule type="expression" dxfId="8479" priority="14904">
      <formula>#REF! = "obiectiv"</formula>
    </cfRule>
  </conditionalFormatting>
  <conditionalFormatting sqref="J124">
    <cfRule type="expression" dxfId="8478" priority="14887">
      <formula>#REF! = "produs"</formula>
    </cfRule>
    <cfRule type="expression" dxfId="8477" priority="14888">
      <formula>#REF! = "obiectiv"</formula>
    </cfRule>
  </conditionalFormatting>
  <conditionalFormatting sqref="J138 J145:J148 J143 J141 J150:J156">
    <cfRule type="expression" dxfId="8476" priority="14859">
      <formula>#REF! = "produs"</formula>
    </cfRule>
    <cfRule type="expression" dxfId="8475" priority="14860">
      <formula>#REF! = "obiectiv"</formula>
    </cfRule>
  </conditionalFormatting>
  <conditionalFormatting sqref="J118 J125:J126 J123 J121">
    <cfRule type="expression" dxfId="8474" priority="14891">
      <formula>#REF! = "produs"</formula>
    </cfRule>
    <cfRule type="expression" dxfId="8473" priority="14892">
      <formula>#REF! = "obiectiv"</formula>
    </cfRule>
  </conditionalFormatting>
  <conditionalFormatting sqref="Q126:U126 Q118:U118">
    <cfRule type="expression" dxfId="8472" priority="14889">
      <formula>#REF! = "produs"</formula>
    </cfRule>
    <cfRule type="expression" dxfId="8471" priority="14890">
      <formula>#REF! = "obiectiv"</formula>
    </cfRule>
  </conditionalFormatting>
  <conditionalFormatting sqref="J134">
    <cfRule type="expression" dxfId="8470" priority="14871">
      <formula>#REF! = "produs"</formula>
    </cfRule>
    <cfRule type="expression" dxfId="8469" priority="14872">
      <formula>#REF! = "obiectiv"</formula>
    </cfRule>
  </conditionalFormatting>
  <conditionalFormatting sqref="H163">
    <cfRule type="expression" dxfId="8468" priority="14833">
      <formula>#REF! = "produs"</formula>
    </cfRule>
    <cfRule type="expression" dxfId="8467" priority="14834">
      <formula>#REF! = "obiectiv"</formula>
    </cfRule>
  </conditionalFormatting>
  <conditionalFormatting sqref="K139 K141:K147 K149:K156">
    <cfRule type="expression" dxfId="8466" priority="14861">
      <formula>#REF! = "produs"</formula>
    </cfRule>
    <cfRule type="expression" dxfId="8465" priority="14862">
      <formula>#REF! = "obiectiv"</formula>
    </cfRule>
  </conditionalFormatting>
  <conditionalFormatting sqref="Q138:U138 Q146:U146 L147:U156">
    <cfRule type="expression" dxfId="8464" priority="14857">
      <formula>#REF! = "produs"</formula>
    </cfRule>
    <cfRule type="expression" dxfId="8463" priority="14858">
      <formula>#REF! = "obiectiv"</formula>
    </cfRule>
  </conditionalFormatting>
  <conditionalFormatting sqref="J144">
    <cfRule type="expression" dxfId="8462" priority="14855">
      <formula>#REF! = "produs"</formula>
    </cfRule>
    <cfRule type="expression" dxfId="8461" priority="14856">
      <formula>#REF! = "obiectiv"</formula>
    </cfRule>
  </conditionalFormatting>
  <conditionalFormatting sqref="H173">
    <cfRule type="expression" dxfId="8460" priority="14817">
      <formula>#REF! = "produs"</formula>
    </cfRule>
    <cfRule type="expression" dxfId="8459" priority="14818">
      <formula>#REF! = "obiectiv"</formula>
    </cfRule>
  </conditionalFormatting>
  <conditionalFormatting sqref="K159:K160 K162:K167">
    <cfRule type="expression" dxfId="8458" priority="14845">
      <formula>#REF! = "produs"</formula>
    </cfRule>
    <cfRule type="expression" dxfId="8457" priority="14846">
      <formula>#REF! = "obiectiv"</formula>
    </cfRule>
  </conditionalFormatting>
  <conditionalFormatting sqref="J159 J166:J167 J164 J162">
    <cfRule type="expression" dxfId="8456" priority="14843">
      <formula>#REF! = "produs"</formula>
    </cfRule>
    <cfRule type="expression" dxfId="8455" priority="14844">
      <formula>#REF! = "obiectiv"</formula>
    </cfRule>
  </conditionalFormatting>
  <conditionalFormatting sqref="Q167:U167 Q159:U159">
    <cfRule type="expression" dxfId="8454" priority="14841">
      <formula>#REF! = "produs"</formula>
    </cfRule>
    <cfRule type="expression" dxfId="8453" priority="14842">
      <formula>#REF! = "obiectiv"</formula>
    </cfRule>
  </conditionalFormatting>
  <conditionalFormatting sqref="J165">
    <cfRule type="expression" dxfId="8452" priority="14839">
      <formula>#REF! = "produs"</formula>
    </cfRule>
    <cfRule type="expression" dxfId="8451" priority="14840">
      <formula>#REF! = "obiectiv"</formula>
    </cfRule>
  </conditionalFormatting>
  <conditionalFormatting sqref="K169:K170 K172:K177">
    <cfRule type="expression" dxfId="8450" priority="14829">
      <formula>#REF! = "produs"</formula>
    </cfRule>
    <cfRule type="expression" dxfId="8449" priority="14830">
      <formula>#REF! = "obiectiv"</formula>
    </cfRule>
  </conditionalFormatting>
  <conditionalFormatting sqref="J169 J176:J177 J174 J172">
    <cfRule type="expression" dxfId="8448" priority="14827">
      <formula>#REF! = "produs"</formula>
    </cfRule>
    <cfRule type="expression" dxfId="8447" priority="14828">
      <formula>#REF! = "obiectiv"</formula>
    </cfRule>
  </conditionalFormatting>
  <conditionalFormatting sqref="L177:U177 L169:U169">
    <cfRule type="expression" dxfId="8446" priority="14825">
      <formula>#REF! = "produs"</formula>
    </cfRule>
    <cfRule type="expression" dxfId="8445" priority="14826">
      <formula>#REF! = "obiectiv"</formula>
    </cfRule>
  </conditionalFormatting>
  <conditionalFormatting sqref="J175">
    <cfRule type="expression" dxfId="8444" priority="14823">
      <formula>#REF! = "produs"</formula>
    </cfRule>
    <cfRule type="expression" dxfId="8443" priority="14824">
      <formula>#REF! = "obiectiv"</formula>
    </cfRule>
  </conditionalFormatting>
  <conditionalFormatting sqref="J216">
    <cfRule type="expression" dxfId="8442" priority="14727">
      <formula>#REF! = "produs"</formula>
    </cfRule>
    <cfRule type="expression" dxfId="8441" priority="14728">
      <formula>#REF! = "obiectiv"</formula>
    </cfRule>
  </conditionalFormatting>
  <conditionalFormatting sqref="J258">
    <cfRule type="expression" dxfId="8440" priority="14647">
      <formula>#REF! = "produs"</formula>
    </cfRule>
    <cfRule type="expression" dxfId="8439" priority="14648">
      <formula>#REF! = "obiectiv"</formula>
    </cfRule>
  </conditionalFormatting>
  <conditionalFormatting sqref="J210 J217:J218 J215 J213">
    <cfRule type="expression" dxfId="8438" priority="14731">
      <formula>#REF! = "produs"</formula>
    </cfRule>
    <cfRule type="expression" dxfId="8437" priority="14732">
      <formula>#REF! = "obiectiv"</formula>
    </cfRule>
  </conditionalFormatting>
  <conditionalFormatting sqref="Q218:U218 Q210:U210">
    <cfRule type="expression" dxfId="8436" priority="14729">
      <formula>#REF! = "produs"</formula>
    </cfRule>
    <cfRule type="expression" dxfId="8435" priority="14730">
      <formula>#REF! = "obiectiv"</formula>
    </cfRule>
  </conditionalFormatting>
  <conditionalFormatting sqref="K191 K193:K198">
    <cfRule type="expression" dxfId="8434" priority="14781">
      <formula>#REF! = "produs"</formula>
    </cfRule>
    <cfRule type="expression" dxfId="8433" priority="14782">
      <formula>#REF! = "obiectiv"</formula>
    </cfRule>
  </conditionalFormatting>
  <conditionalFormatting sqref="J190 J197:J198 J195 J193">
    <cfRule type="expression" dxfId="8432" priority="14779">
      <formula>#REF! = "produs"</formula>
    </cfRule>
    <cfRule type="expression" dxfId="8431" priority="14780">
      <formula>#REF! = "obiectiv"</formula>
    </cfRule>
  </conditionalFormatting>
  <conditionalFormatting sqref="Q198:U198 Q190:U190">
    <cfRule type="expression" dxfId="8430" priority="14777">
      <formula>#REF! = "produs"</formula>
    </cfRule>
    <cfRule type="expression" dxfId="8429" priority="14778">
      <formula>#REF! = "obiectiv"</formula>
    </cfRule>
  </conditionalFormatting>
  <conditionalFormatting sqref="J196">
    <cfRule type="expression" dxfId="8428" priority="14775">
      <formula>#REF! = "produs"</formula>
    </cfRule>
    <cfRule type="expression" dxfId="8427" priority="14776">
      <formula>#REF! = "obiectiv"</formula>
    </cfRule>
  </conditionalFormatting>
  <conditionalFormatting sqref="J252 J259:J260 J257 J255">
    <cfRule type="expression" dxfId="8426" priority="14651">
      <formula>#REF! = "produs"</formula>
    </cfRule>
    <cfRule type="expression" dxfId="8425" priority="14652">
      <formula>#REF! = "obiectiv"</formula>
    </cfRule>
  </conditionalFormatting>
  <conditionalFormatting sqref="Q260:U260 Q252:U252">
    <cfRule type="expression" dxfId="8424" priority="14649">
      <formula>#REF! = "produs"</formula>
    </cfRule>
    <cfRule type="expression" dxfId="8423" priority="14650">
      <formula>#REF! = "obiectiv"</formula>
    </cfRule>
  </conditionalFormatting>
  <conditionalFormatting sqref="J404">
    <cfRule type="expression" dxfId="8422" priority="14567">
      <formula>#REF! = "produs"</formula>
    </cfRule>
    <cfRule type="expression" dxfId="8421" priority="14568">
      <formula>#REF! = "obiectiv"</formula>
    </cfRule>
  </conditionalFormatting>
  <conditionalFormatting sqref="J272 J279:J280 J277 J275">
    <cfRule type="expression" dxfId="8420" priority="14619">
      <formula>#REF! = "produs"</formula>
    </cfRule>
    <cfRule type="expression" dxfId="8419" priority="14620">
      <formula>#REF! = "obiectiv"</formula>
    </cfRule>
  </conditionalFormatting>
  <conditionalFormatting sqref="J200 J207:J208 J205 J203">
    <cfRule type="expression" dxfId="8418" priority="14763">
      <formula>#REF! = "produs"</formula>
    </cfRule>
    <cfRule type="expression" dxfId="8417" priority="14764">
      <formula>#REF! = "obiectiv"</formula>
    </cfRule>
  </conditionalFormatting>
  <conditionalFormatting sqref="Q208:U208 Q200:U200">
    <cfRule type="expression" dxfId="8416" priority="14761">
      <formula>#REF! = "produs"</formula>
    </cfRule>
    <cfRule type="expression" dxfId="8415" priority="14762">
      <formula>#REF! = "obiectiv"</formula>
    </cfRule>
  </conditionalFormatting>
  <conditionalFormatting sqref="J206">
    <cfRule type="expression" dxfId="8414" priority="14759">
      <formula>#REF! = "produs"</formula>
    </cfRule>
    <cfRule type="expression" dxfId="8413" priority="14760">
      <formula>#REF! = "obiectiv"</formula>
    </cfRule>
  </conditionalFormatting>
  <conditionalFormatting sqref="K213:K218 K210:K211">
    <cfRule type="expression" dxfId="8412" priority="14733">
      <formula>#REF! = "produs"</formula>
    </cfRule>
    <cfRule type="expression" dxfId="8411" priority="14734">
      <formula>#REF! = "obiectiv"</formula>
    </cfRule>
  </conditionalFormatting>
  <conditionalFormatting sqref="J424">
    <cfRule type="expression" dxfId="8410" priority="14503">
      <formula>#REF! = "produs"</formula>
    </cfRule>
    <cfRule type="expression" dxfId="8409" priority="14504">
      <formula>#REF! = "obiectiv"</formula>
    </cfRule>
  </conditionalFormatting>
  <conditionalFormatting sqref="J398 J405:J406 J403 J401">
    <cfRule type="expression" dxfId="8408" priority="14571">
      <formula>#REF! = "produs"</formula>
    </cfRule>
    <cfRule type="expression" dxfId="8407" priority="14572">
      <formula>#REF! = "obiectiv"</formula>
    </cfRule>
  </conditionalFormatting>
  <conditionalFormatting sqref="J414">
    <cfRule type="expression" dxfId="8406" priority="14519">
      <formula>#REF! = "produs"</formula>
    </cfRule>
    <cfRule type="expression" dxfId="8405" priority="14520">
      <formula>#REF! = "obiectiv"</formula>
    </cfRule>
  </conditionalFormatting>
  <conditionalFormatting sqref="J232 J239:J240 J237 J235">
    <cfRule type="expression" dxfId="8404" priority="14667">
      <formula>#REF! = "produs"</formula>
    </cfRule>
    <cfRule type="expression" dxfId="8403" priority="14668">
      <formula>#REF! = "obiectiv"</formula>
    </cfRule>
  </conditionalFormatting>
  <conditionalFormatting sqref="J454">
    <cfRule type="expression" dxfId="8402" priority="14439">
      <formula>#REF! = "produs"</formula>
    </cfRule>
    <cfRule type="expression" dxfId="8401" priority="14440">
      <formula>#REF! = "obiectiv"</formula>
    </cfRule>
  </conditionalFormatting>
  <conditionalFormatting sqref="J222 J229:J230 J227 J225">
    <cfRule type="expression" dxfId="8400" priority="14683">
      <formula>#REF! = "produs"</formula>
    </cfRule>
    <cfRule type="expression" dxfId="8399" priority="14684">
      <formula>#REF! = "obiectiv"</formula>
    </cfRule>
  </conditionalFormatting>
  <conditionalFormatting sqref="Q230:U230 Q222:U222">
    <cfRule type="expression" dxfId="8398" priority="14681">
      <formula>#REF! = "produs"</formula>
    </cfRule>
    <cfRule type="expression" dxfId="8397" priority="14682">
      <formula>#REF! = "obiectiv"</formula>
    </cfRule>
  </conditionalFormatting>
  <conditionalFormatting sqref="J228">
    <cfRule type="expression" dxfId="8396" priority="14679">
      <formula>#REF! = "produs"</formula>
    </cfRule>
    <cfRule type="expression" dxfId="8395" priority="14680">
      <formula>#REF! = "obiectiv"</formula>
    </cfRule>
  </conditionalFormatting>
  <conditionalFormatting sqref="J444">
    <cfRule type="expression" dxfId="8394" priority="14455">
      <formula>#REF! = "produs"</formula>
    </cfRule>
    <cfRule type="expression" dxfId="8393" priority="14456">
      <formula>#REF! = "obiectiv"</formula>
    </cfRule>
  </conditionalFormatting>
  <conditionalFormatting sqref="Q240:U240 Q232:U232">
    <cfRule type="expression" dxfId="8392" priority="14665">
      <formula>#REF! = "produs"</formula>
    </cfRule>
    <cfRule type="expression" dxfId="8391" priority="14666">
      <formula>#REF! = "obiectiv"</formula>
    </cfRule>
  </conditionalFormatting>
  <conditionalFormatting sqref="J238">
    <cfRule type="expression" dxfId="8390" priority="14663">
      <formula>#REF! = "produs"</formula>
    </cfRule>
    <cfRule type="expression" dxfId="8389" priority="14664">
      <formula>#REF! = "obiectiv"</formula>
    </cfRule>
  </conditionalFormatting>
  <conditionalFormatting sqref="L278:P278">
    <cfRule type="expression" dxfId="8388" priority="14613">
      <formula>#REF! = "produs"</formula>
    </cfRule>
    <cfRule type="expression" dxfId="8387" priority="14614">
      <formula>#REF! = "obiectiv"</formula>
    </cfRule>
  </conditionalFormatting>
  <conditionalFormatting sqref="J418 J425:J426 J423 J421">
    <cfRule type="expression" dxfId="8386" priority="14507">
      <formula>#REF! = "produs"</formula>
    </cfRule>
    <cfRule type="expression" dxfId="8385" priority="14508">
      <formula>#REF! = "obiectiv"</formula>
    </cfRule>
  </conditionalFormatting>
  <conditionalFormatting sqref="J434">
    <cfRule type="expression" dxfId="8384" priority="14471">
      <formula>#REF! = "produs"</formula>
    </cfRule>
    <cfRule type="expression" dxfId="8383" priority="14472">
      <formula>#REF! = "obiectiv"</formula>
    </cfRule>
  </conditionalFormatting>
  <conditionalFormatting sqref="J428 J435:J436 J433 J431">
    <cfRule type="expression" dxfId="8382" priority="14475">
      <formula>#REF! = "produs"</formula>
    </cfRule>
    <cfRule type="expression" dxfId="8381" priority="14476">
      <formula>#REF! = "obiectiv"</formula>
    </cfRule>
  </conditionalFormatting>
  <conditionalFormatting sqref="J289">
    <cfRule type="expression" dxfId="8380" priority="14391">
      <formula>#REF! = "produs"</formula>
    </cfRule>
    <cfRule type="expression" dxfId="8379" priority="14392">
      <formula>#REF! = "obiectiv"</formula>
    </cfRule>
  </conditionalFormatting>
  <conditionalFormatting sqref="K273 K275:K280">
    <cfRule type="expression" dxfId="8378" priority="14621">
      <formula>#REF! = "produs"</formula>
    </cfRule>
    <cfRule type="expression" dxfId="8377" priority="14622">
      <formula>#REF! = "obiectiv"</formula>
    </cfRule>
  </conditionalFormatting>
  <conditionalFormatting sqref="L280:U280 L279:P279 L272:U272 L273:P273 L275:P276">
    <cfRule type="expression" dxfId="8376" priority="14617">
      <formula>#REF! = "produs"</formula>
    </cfRule>
    <cfRule type="expression" dxfId="8375" priority="14618">
      <formula>#REF! = "obiectiv"</formula>
    </cfRule>
  </conditionalFormatting>
  <conditionalFormatting sqref="J283 J290:J291 J288 J286">
    <cfRule type="expression" dxfId="8374" priority="14395">
      <formula>#REF! = "produs"</formula>
    </cfRule>
    <cfRule type="expression" dxfId="8373" priority="14396">
      <formula>#REF! = "obiectiv"</formula>
    </cfRule>
  </conditionalFormatting>
  <conditionalFormatting sqref="L277:P277">
    <cfRule type="expression" dxfId="8372" priority="14611">
      <formula>#REF! = "produs"</formula>
    </cfRule>
    <cfRule type="expression" dxfId="8371" priority="14612">
      <formula>#REF! = "obiectiv"</formula>
    </cfRule>
  </conditionalFormatting>
  <conditionalFormatting sqref="J303 J310:J311 J308 J306">
    <cfRule type="expression" dxfId="8370" priority="14347">
      <formula>#REF! = "produs"</formula>
    </cfRule>
    <cfRule type="expression" dxfId="8369" priority="14348">
      <formula>#REF! = "obiectiv"</formula>
    </cfRule>
  </conditionalFormatting>
  <conditionalFormatting sqref="J320">
    <cfRule type="expression" dxfId="8368" priority="14327">
      <formula>#REF! = "produs"</formula>
    </cfRule>
    <cfRule type="expression" dxfId="8367" priority="14328">
      <formula>#REF! = "obiectiv"</formula>
    </cfRule>
  </conditionalFormatting>
  <conditionalFormatting sqref="K401:K406 K398:K399">
    <cfRule type="expression" dxfId="8366" priority="14573">
      <formula>#REF! = "produs"</formula>
    </cfRule>
    <cfRule type="expression" dxfId="8365" priority="14574">
      <formula>#REF! = "obiectiv"</formula>
    </cfRule>
  </conditionalFormatting>
  <conditionalFormatting sqref="J362">
    <cfRule type="expression" dxfId="8364" priority="14263">
      <formula>#REF! = "produs"</formula>
    </cfRule>
    <cfRule type="expression" dxfId="8363" priority="14264">
      <formula>#REF! = "obiectiv"</formula>
    </cfRule>
  </conditionalFormatting>
  <conditionalFormatting sqref="Q406:U406 Q398:U398">
    <cfRule type="expression" dxfId="8362" priority="14569">
      <formula>#REF! = "produs"</formula>
    </cfRule>
    <cfRule type="expression" dxfId="8361" priority="14570">
      <formula>#REF! = "obiectiv"</formula>
    </cfRule>
  </conditionalFormatting>
  <conditionalFormatting sqref="J408 J415:J416 J413 J411">
    <cfRule type="expression" dxfId="8360" priority="14523">
      <formula>#REF! = "produs"</formula>
    </cfRule>
    <cfRule type="expression" dxfId="8359" priority="14524">
      <formula>#REF! = "obiectiv"</formula>
    </cfRule>
  </conditionalFormatting>
  <conditionalFormatting sqref="L288:P288">
    <cfRule type="expression" dxfId="8358" priority="14387">
      <formula>#REF! = "produs"</formula>
    </cfRule>
    <cfRule type="expression" dxfId="8357" priority="14388">
      <formula>#REF! = "obiectiv"</formula>
    </cfRule>
  </conditionalFormatting>
  <conditionalFormatting sqref="K451:K456 K448:K449">
    <cfRule type="expression" dxfId="8356" priority="14445">
      <formula>#REF! = "produs"</formula>
    </cfRule>
    <cfRule type="expression" dxfId="8355" priority="14446">
      <formula>#REF! = "obiectiv"</formula>
    </cfRule>
  </conditionalFormatting>
  <conditionalFormatting sqref="J293 J300:J301 J298 J296">
    <cfRule type="expression" dxfId="8354" priority="14379">
      <formula>#REF! = "produs"</formula>
    </cfRule>
    <cfRule type="expression" dxfId="8353" priority="14380">
      <formula>#REF! = "obiectiv"</formula>
    </cfRule>
  </conditionalFormatting>
  <conditionalFormatting sqref="J299">
    <cfRule type="expression" dxfId="8352" priority="14375">
      <formula>#REF! = "produs"</formula>
    </cfRule>
    <cfRule type="expression" dxfId="8351" priority="14376">
      <formula>#REF! = "obiectiv"</formula>
    </cfRule>
  </conditionalFormatting>
  <conditionalFormatting sqref="J309">
    <cfRule type="expression" dxfId="8350" priority="14343">
      <formula>#REF! = "produs"</formula>
    </cfRule>
    <cfRule type="expression" dxfId="8349" priority="14344">
      <formula>#REF! = "obiectiv"</formula>
    </cfRule>
  </conditionalFormatting>
  <conditionalFormatting sqref="J325 J332:J333 J330 J328">
    <cfRule type="expression" dxfId="8348" priority="14315">
      <formula>#REF! = "produs"</formula>
    </cfRule>
    <cfRule type="expression" dxfId="8347" priority="14316">
      <formula>#REF! = "obiectiv"</formula>
    </cfRule>
  </conditionalFormatting>
  <conditionalFormatting sqref="J56">
    <cfRule type="expression" dxfId="8346" priority="14043">
      <formula>#REF! = "produs"</formula>
    </cfRule>
    <cfRule type="expression" dxfId="8345" priority="14044">
      <formula>#REF! = "obiectiv"</formula>
    </cfRule>
  </conditionalFormatting>
  <conditionalFormatting sqref="J331">
    <cfRule type="expression" dxfId="8344" priority="14311">
      <formula>#REF! = "produs"</formula>
    </cfRule>
    <cfRule type="expression" dxfId="8343" priority="14312">
      <formula>#REF! = "obiectiv"</formula>
    </cfRule>
  </conditionalFormatting>
  <conditionalFormatting sqref="Q416:U416 Q408:U408">
    <cfRule type="expression" dxfId="8342" priority="14521">
      <formula>#REF! = "produs"</formula>
    </cfRule>
    <cfRule type="expression" dxfId="8341" priority="14522">
      <formula>#REF! = "obiectiv"</formula>
    </cfRule>
  </conditionalFormatting>
  <conditionalFormatting sqref="Q457:V457 L478:V478">
    <cfRule type="expression" dxfId="8340" priority="14409">
      <formula>#REF! = "produs"</formula>
    </cfRule>
    <cfRule type="expression" dxfId="8339" priority="14410">
      <formula>#REF! = "obiectiv"</formula>
    </cfRule>
  </conditionalFormatting>
  <conditionalFormatting sqref="G87">
    <cfRule type="expression" dxfId="8338" priority="13989">
      <formula>#REF! = "produs"</formula>
    </cfRule>
    <cfRule type="expression" dxfId="8337" priority="13990">
      <formula>#REF! = "obiectiv"</formula>
    </cfRule>
  </conditionalFormatting>
  <conditionalFormatting sqref="K421:K426 K418:K419">
    <cfRule type="expression" dxfId="8336" priority="14509">
      <formula>#REF! = "produs"</formula>
    </cfRule>
    <cfRule type="expression" dxfId="8335" priority="14510">
      <formula>#REF! = "obiectiv"</formula>
    </cfRule>
  </conditionalFormatting>
  <conditionalFormatting sqref="J314 J321:J322 J319 J317">
    <cfRule type="expression" dxfId="8334" priority="14331">
      <formula>#REF! = "produs"</formula>
    </cfRule>
    <cfRule type="expression" dxfId="8333" priority="14332">
      <formula>#REF! = "obiectiv"</formula>
    </cfRule>
  </conditionalFormatting>
  <conditionalFormatting sqref="Q426:U426 Q418:U418">
    <cfRule type="expression" dxfId="8332" priority="14505">
      <formula>#REF! = "produs"</formula>
    </cfRule>
    <cfRule type="expression" dxfId="8331" priority="14506">
      <formula>#REF! = "obiectiv"</formula>
    </cfRule>
  </conditionalFormatting>
  <conditionalFormatting sqref="J438 J445:J446 J443 J441">
    <cfRule type="expression" dxfId="8330" priority="14459">
      <formula>#REF! = "produs"</formula>
    </cfRule>
    <cfRule type="expression" dxfId="8329" priority="14460">
      <formula>#REF! = "obiectiv"</formula>
    </cfRule>
  </conditionalFormatting>
  <conditionalFormatting sqref="K306:K311 K303:K304">
    <cfRule type="expression" dxfId="8328" priority="14349">
      <formula>#REF! = "produs"</formula>
    </cfRule>
    <cfRule type="expression" dxfId="8327" priority="14350">
      <formula>#REF! = "obiectiv"</formula>
    </cfRule>
  </conditionalFormatting>
  <conditionalFormatting sqref="J342">
    <cfRule type="expression" dxfId="8326" priority="14279">
      <formula>#REF! = "produs"</formula>
    </cfRule>
    <cfRule type="expression" dxfId="8325" priority="14280">
      <formula>#REF! = "obiectiv"</formula>
    </cfRule>
  </conditionalFormatting>
  <conditionalFormatting sqref="J448 J455:J456 J453 J451">
    <cfRule type="expression" dxfId="8324" priority="14443">
      <formula>#REF! = "produs"</formula>
    </cfRule>
    <cfRule type="expression" dxfId="8323" priority="14444">
      <formula>#REF! = "obiectiv"</formula>
    </cfRule>
  </conditionalFormatting>
  <conditionalFormatting sqref="J154">
    <cfRule type="expression" dxfId="8322" priority="14247">
      <formula>#REF! = "produs"</formula>
    </cfRule>
    <cfRule type="expression" dxfId="8321" priority="14248">
      <formula>#REF! = "obiectiv"</formula>
    </cfRule>
  </conditionalFormatting>
  <conditionalFormatting sqref="K431:K436 K428:K429">
    <cfRule type="expression" dxfId="8320" priority="14477">
      <formula>#REF! = "produs"</formula>
    </cfRule>
    <cfRule type="expression" dxfId="8319" priority="14478">
      <formula>#REF! = "obiectiv"</formula>
    </cfRule>
  </conditionalFormatting>
  <conditionalFormatting sqref="J26 J33:J34 J31 J29">
    <cfRule type="expression" dxfId="8318" priority="14299">
      <formula>#REF! = "produs"</formula>
    </cfRule>
    <cfRule type="expression" dxfId="8317" priority="14300">
      <formula>#REF! = "obiectiv"</formula>
    </cfRule>
  </conditionalFormatting>
  <conditionalFormatting sqref="L436:U436 L435:P435 L428:U428 L431:P432">
    <cfRule type="expression" dxfId="8316" priority="14473">
      <formula>#REF! = "produs"</formula>
    </cfRule>
    <cfRule type="expression" dxfId="8315" priority="14474">
      <formula>#REF! = "obiectiv"</formula>
    </cfRule>
  </conditionalFormatting>
  <conditionalFormatting sqref="J32">
    <cfRule type="expression" dxfId="8314" priority="14295">
      <formula>#REF! = "produs"</formula>
    </cfRule>
    <cfRule type="expression" dxfId="8313" priority="14296">
      <formula>#REF! = "obiectiv"</formula>
    </cfRule>
  </conditionalFormatting>
  <conditionalFormatting sqref="L434:P434">
    <cfRule type="expression" dxfId="8312" priority="14469">
      <formula>#REF! = "produs"</formula>
    </cfRule>
    <cfRule type="expression" dxfId="8311" priority="14470">
      <formula>#REF! = "obiectiv"</formula>
    </cfRule>
  </conditionalFormatting>
  <conditionalFormatting sqref="L433:P433">
    <cfRule type="expression" dxfId="8310" priority="14467">
      <formula>#REF! = "produs"</formula>
    </cfRule>
    <cfRule type="expression" dxfId="8309" priority="14468">
      <formula>#REF! = "obiectiv"</formula>
    </cfRule>
  </conditionalFormatting>
  <conditionalFormatting sqref="J148 J155:J156 J153 J151">
    <cfRule type="expression" dxfId="8308" priority="14251">
      <formula>#REF! = "produs"</formula>
    </cfRule>
    <cfRule type="expression" dxfId="8307" priority="14252">
      <formula>#REF! = "obiectiv"</formula>
    </cfRule>
  </conditionalFormatting>
  <conditionalFormatting sqref="K441:K446 K438:K439">
    <cfRule type="expression" dxfId="8306" priority="14461">
      <formula>#REF! = "produs"</formula>
    </cfRule>
    <cfRule type="expression" dxfId="8305" priority="14462">
      <formula>#REF! = "obiectiv"</formula>
    </cfRule>
  </conditionalFormatting>
  <conditionalFormatting sqref="J336 J343:J346 J341 J339 J348:J354">
    <cfRule type="expression" dxfId="8304" priority="14283">
      <formula>#REF! = "produs"</formula>
    </cfRule>
    <cfRule type="expression" dxfId="8303" priority="14284">
      <formula>#REF! = "obiectiv"</formula>
    </cfRule>
  </conditionalFormatting>
  <conditionalFormatting sqref="L446:U446 L445:P445 L438:U438 L439:P439 L441:P442">
    <cfRule type="expression" dxfId="8302" priority="14457">
      <formula>#REF! = "produs"</formula>
    </cfRule>
    <cfRule type="expression" dxfId="8301" priority="14458">
      <formula>#REF! = "obiectiv"</formula>
    </cfRule>
  </conditionalFormatting>
  <conditionalFormatting sqref="J140">
    <cfRule type="expression" dxfId="8300" priority="13773">
      <formula>#REF! = "produs"</formula>
    </cfRule>
    <cfRule type="expression" dxfId="8299" priority="13774">
      <formula>#REF! = "obiectiv"</formula>
    </cfRule>
  </conditionalFormatting>
  <conditionalFormatting sqref="L444:P444">
    <cfRule type="expression" dxfId="8298" priority="14453">
      <formula>#REF! = "produs"</formula>
    </cfRule>
    <cfRule type="expression" dxfId="8297" priority="14454">
      <formula>#REF! = "obiectiv"</formula>
    </cfRule>
  </conditionalFormatting>
  <conditionalFormatting sqref="L443:P443">
    <cfRule type="expression" dxfId="8296" priority="14451">
      <formula>#REF! = "produs"</formula>
    </cfRule>
    <cfRule type="expression" dxfId="8295" priority="14452">
      <formula>#REF! = "obiectiv"</formula>
    </cfRule>
  </conditionalFormatting>
  <conditionalFormatting sqref="G86">
    <cfRule type="expression" dxfId="8294" priority="13995">
      <formula>#REF! = "produs"</formula>
    </cfRule>
    <cfRule type="expression" dxfId="8293" priority="13996">
      <formula>#REF! = "obiectiv"</formula>
    </cfRule>
  </conditionalFormatting>
  <conditionalFormatting sqref="K296:K301 K293:K294">
    <cfRule type="expression" dxfId="8292" priority="14381">
      <formula>#REF! = "produs"</formula>
    </cfRule>
    <cfRule type="expression" dxfId="8291" priority="14382">
      <formula>#REF! = "obiectiv"</formula>
    </cfRule>
  </conditionalFormatting>
  <conditionalFormatting sqref="J356 J363:J364 J361 J359">
    <cfRule type="expression" dxfId="8290" priority="14267">
      <formula>#REF! = "produs"</formula>
    </cfRule>
    <cfRule type="expression" dxfId="8289" priority="14268">
      <formula>#REF! = "obiectiv"</formula>
    </cfRule>
  </conditionalFormatting>
  <conditionalFormatting sqref="Q456:U456 Q448:U448">
    <cfRule type="expression" dxfId="8288" priority="14441">
      <formula>#REF! = "produs"</formula>
    </cfRule>
    <cfRule type="expression" dxfId="8287" priority="14442">
      <formula>#REF! = "obiectiv"</formula>
    </cfRule>
  </conditionalFormatting>
  <conditionalFormatting sqref="G107">
    <cfRule type="expression" dxfId="8286" priority="13977">
      <formula>#REF! = "produs"</formula>
    </cfRule>
    <cfRule type="expression" dxfId="8285" priority="13978">
      <formula>#REF! = "obiectiv"</formula>
    </cfRule>
  </conditionalFormatting>
  <conditionalFormatting sqref="Q168:U168">
    <cfRule type="expression" dxfId="8284" priority="13921">
      <formula>#REF! = "produs"</formula>
    </cfRule>
    <cfRule type="expression" dxfId="8283" priority="13922">
      <formula>#REF! = "obiectiv"</formula>
    </cfRule>
  </conditionalFormatting>
  <conditionalFormatting sqref="K140 V140:IU140">
    <cfRule type="expression" dxfId="8282" priority="13775">
      <formula>#REF! = "produs"</formula>
    </cfRule>
    <cfRule type="expression" dxfId="8281" priority="13776">
      <formula>#REF! = "obiectiv"</formula>
    </cfRule>
  </conditionalFormatting>
  <conditionalFormatting sqref="G157">
    <cfRule type="expression" dxfId="8280" priority="14005">
      <formula>#REF! = "produs"</formula>
    </cfRule>
    <cfRule type="expression" dxfId="8279" priority="14006">
      <formula>#REF! = "obiectiv"</formula>
    </cfRule>
  </conditionalFormatting>
  <conditionalFormatting sqref="G168">
    <cfRule type="expression" dxfId="8278" priority="13923">
      <formula>#REF! = "produs"</formula>
    </cfRule>
    <cfRule type="expression" dxfId="8277" priority="13924">
      <formula>#REF! = "obiectiv"</formula>
    </cfRule>
  </conditionalFormatting>
  <conditionalFormatting sqref="K478">
    <cfRule type="expression" dxfId="8276" priority="14413">
      <formula>#REF! = "produs"</formula>
    </cfRule>
    <cfRule type="expression" dxfId="8275" priority="14414">
      <formula>#REF! = "obiectiv"</formula>
    </cfRule>
  </conditionalFormatting>
  <conditionalFormatting sqref="J234">
    <cfRule type="expression" dxfId="8274" priority="13729">
      <formula>#REF! = "produs"</formula>
    </cfRule>
    <cfRule type="expression" dxfId="8273" priority="13730">
      <formula>#REF! = "obiectiv"</formula>
    </cfRule>
  </conditionalFormatting>
  <conditionalFormatting sqref="L311:U311 L310:P310 L306:P307 L303:U303 L304:P304">
    <cfRule type="expression" dxfId="8272" priority="14345">
      <formula>#REF! = "produs"</formula>
    </cfRule>
    <cfRule type="expression" dxfId="8271" priority="14346">
      <formula>#REF! = "obiectiv"</formula>
    </cfRule>
  </conditionalFormatting>
  <conditionalFormatting sqref="G97">
    <cfRule type="expression" dxfId="8270" priority="13985">
      <formula>#REF! = "produs"</formula>
    </cfRule>
    <cfRule type="expression" dxfId="8269" priority="13986">
      <formula>#REF! = "obiectiv"</formula>
    </cfRule>
  </conditionalFormatting>
  <conditionalFormatting sqref="L153:P153">
    <cfRule type="expression" dxfId="8268" priority="14243">
      <formula>#REF! = "produs"</formula>
    </cfRule>
    <cfRule type="expression" dxfId="8267" priority="14244">
      <formula>#REF! = "obiectiv"</formula>
    </cfRule>
  </conditionalFormatting>
  <conditionalFormatting sqref="K26:K27 K29:K34">
    <cfRule type="expression" dxfId="8266" priority="14301">
      <formula>#REF! = "produs"</formula>
    </cfRule>
    <cfRule type="expression" dxfId="8265" priority="14302">
      <formula>#REF! = "obiectiv"</formula>
    </cfRule>
  </conditionalFormatting>
  <conditionalFormatting sqref="J18">
    <cfRule type="expression" dxfId="8264" priority="13843">
      <formula>#REF! = "produs"</formula>
    </cfRule>
    <cfRule type="expression" dxfId="8263" priority="13844">
      <formula>#REF! = "obiectiv"</formula>
    </cfRule>
  </conditionalFormatting>
  <conditionalFormatting sqref="K286:K291 K283:K284">
    <cfRule type="expression" dxfId="8262" priority="14397">
      <formula>#REF! = "produs"</formula>
    </cfRule>
    <cfRule type="expression" dxfId="8261" priority="14398">
      <formula>#REF! = "obiectiv"</formula>
    </cfRule>
  </conditionalFormatting>
  <conditionalFormatting sqref="V159:V160 V162:V167">
    <cfRule type="expression" dxfId="8260" priority="13881">
      <formula>#REF! = "produs"</formula>
    </cfRule>
    <cfRule type="expression" dxfId="8259" priority="13882">
      <formula>#REF! = "obiectiv"</formula>
    </cfRule>
  </conditionalFormatting>
  <conditionalFormatting sqref="L291:U291 L290:P290 Q283:U283 L286:P287">
    <cfRule type="expression" dxfId="8258" priority="14393">
      <formula>#REF! = "produs"</formula>
    </cfRule>
    <cfRule type="expression" dxfId="8257" priority="14394">
      <formula>#REF! = "obiectiv"</formula>
    </cfRule>
  </conditionalFormatting>
  <conditionalFormatting sqref="G137">
    <cfRule type="expression" dxfId="8256" priority="13951">
      <formula>#REF! = "produs"</formula>
    </cfRule>
    <cfRule type="expression" dxfId="8255" priority="13952">
      <formula>#REF! = "obiectiv"</formula>
    </cfRule>
  </conditionalFormatting>
  <conditionalFormatting sqref="L289:P289">
    <cfRule type="expression" dxfId="8254" priority="14389">
      <formula>#REF! = "produs"</formula>
    </cfRule>
    <cfRule type="expression" dxfId="8253" priority="14390">
      <formula>#REF! = "obiectiv"</formula>
    </cfRule>
  </conditionalFormatting>
  <conditionalFormatting sqref="L308:P308">
    <cfRule type="expression" dxfId="8252" priority="14339">
      <formula>#REF! = "produs"</formula>
    </cfRule>
    <cfRule type="expression" dxfId="8251" priority="14340">
      <formula>#REF! = "obiectiv"</formula>
    </cfRule>
  </conditionalFormatting>
  <conditionalFormatting sqref="J59">
    <cfRule type="expression" dxfId="8250" priority="13811">
      <formula>#REF! = "produs"</formula>
    </cfRule>
    <cfRule type="expression" dxfId="8249" priority="13812">
      <formula>#REF! = "obiectiv"</formula>
    </cfRule>
  </conditionalFormatting>
  <conditionalFormatting sqref="G158">
    <cfRule type="expression" dxfId="8248" priority="13935">
      <formula>#REF! = "produs"</formula>
    </cfRule>
    <cfRule type="expression" dxfId="8247" priority="13936">
      <formula>#REF! = "obiectiv"</formula>
    </cfRule>
  </conditionalFormatting>
  <conditionalFormatting sqref="Q301:U301 Q293:U293">
    <cfRule type="expression" dxfId="8246" priority="14377">
      <formula>#REF! = "produs"</formula>
    </cfRule>
    <cfRule type="expression" dxfId="8245" priority="14378">
      <formula>#REF! = "obiectiv"</formula>
    </cfRule>
  </conditionalFormatting>
  <conditionalFormatting sqref="J13">
    <cfRule type="expression" dxfId="8244" priority="13847">
      <formula>#REF! = "produs"</formula>
    </cfRule>
    <cfRule type="expression" dxfId="8243" priority="13848">
      <formula>#REF! = "obiectiv"</formula>
    </cfRule>
  </conditionalFormatting>
  <conditionalFormatting sqref="G117">
    <cfRule type="expression" dxfId="8242" priority="13969">
      <formula>#REF! = "produs"</formula>
    </cfRule>
    <cfRule type="expression" dxfId="8241" priority="13970">
      <formula>#REF! = "obiectiv"</formula>
    </cfRule>
  </conditionalFormatting>
  <conditionalFormatting sqref="J12">
    <cfRule type="expression" dxfId="8240" priority="13835">
      <formula>#REF! = "produs"</formula>
    </cfRule>
    <cfRule type="expression" dxfId="8239" priority="13836">
      <formula>#REF! = "obiectiv"</formula>
    </cfRule>
  </conditionalFormatting>
  <conditionalFormatting sqref="K338:K354">
    <cfRule type="expression" dxfId="8238" priority="14285">
      <formula>#REF! = "produs"</formula>
    </cfRule>
    <cfRule type="expression" dxfId="8237" priority="14286">
      <formula>#REF! = "obiectiv"</formula>
    </cfRule>
  </conditionalFormatting>
  <conditionalFormatting sqref="J49">
    <cfRule type="expression" dxfId="8236" priority="13819">
      <formula>#REF! = "produs"</formula>
    </cfRule>
    <cfRule type="expression" dxfId="8235" priority="13820">
      <formula>#REF! = "obiectiv"</formula>
    </cfRule>
  </conditionalFormatting>
  <conditionalFormatting sqref="J90">
    <cfRule type="expression" dxfId="8234" priority="13793">
      <formula>#REF! = "produs"</formula>
    </cfRule>
    <cfRule type="expression" dxfId="8233" priority="13794">
      <formula>#REF! = "obiectiv"</formula>
    </cfRule>
  </conditionalFormatting>
  <conditionalFormatting sqref="L309:P309">
    <cfRule type="expression" dxfId="8232" priority="14341">
      <formula>#REF! = "produs"</formula>
    </cfRule>
    <cfRule type="expression" dxfId="8231" priority="14342">
      <formula>#REF! = "obiectiv"</formula>
    </cfRule>
  </conditionalFormatting>
  <conditionalFormatting sqref="K317:K322 K314:K315">
    <cfRule type="expression" dxfId="8230" priority="14333">
      <formula>#REF! = "produs"</formula>
    </cfRule>
    <cfRule type="expression" dxfId="8229" priority="14334">
      <formula>#REF! = "obiectiv"</formula>
    </cfRule>
  </conditionalFormatting>
  <conditionalFormatting sqref="J79">
    <cfRule type="expression" dxfId="8228" priority="13825">
      <formula>#REF! = "produs"</formula>
    </cfRule>
    <cfRule type="expression" dxfId="8227" priority="13826">
      <formula>#REF! = "obiectiv"</formula>
    </cfRule>
  </conditionalFormatting>
  <conditionalFormatting sqref="Q322:U322 Q314:U314">
    <cfRule type="expression" dxfId="8226" priority="14329">
      <formula>#REF! = "produs"</formula>
    </cfRule>
    <cfRule type="expression" dxfId="8225" priority="14330">
      <formula>#REF! = "obiectiv"</formula>
    </cfRule>
  </conditionalFormatting>
  <conditionalFormatting sqref="J130">
    <cfRule type="expression" dxfId="8224" priority="13777">
      <formula>#REF! = "produs"</formula>
    </cfRule>
    <cfRule type="expression" dxfId="8223" priority="13778">
      <formula>#REF! = "obiectiv"</formula>
    </cfRule>
  </conditionalFormatting>
  <conditionalFormatting sqref="K328:K333 K325:K326">
    <cfRule type="expression" dxfId="8222" priority="14317">
      <formula>#REF! = "produs"</formula>
    </cfRule>
    <cfRule type="expression" dxfId="8221" priority="14318">
      <formula>#REF! = "obiectiv"</formula>
    </cfRule>
  </conditionalFormatting>
  <conditionalFormatting sqref="J11">
    <cfRule type="expression" dxfId="8220" priority="13831">
      <formula>#REF! = "produs"</formula>
    </cfRule>
    <cfRule type="expression" dxfId="8219" priority="13832">
      <formula>#REF! = "obiectiv"</formula>
    </cfRule>
  </conditionalFormatting>
  <conditionalFormatting sqref="Q325:U325 Q333:U333">
    <cfRule type="expression" dxfId="8218" priority="14313">
      <formula>#REF! = "produs"</formula>
    </cfRule>
    <cfRule type="expression" dxfId="8217" priority="14314">
      <formula>#REF! = "obiectiv"</formula>
    </cfRule>
  </conditionalFormatting>
  <conditionalFormatting sqref="I168">
    <cfRule type="expression" dxfId="8216" priority="13937">
      <formula>#REF! = "produs"</formula>
    </cfRule>
    <cfRule type="expression" dxfId="8215" priority="13938">
      <formula>#REF! = "obiectiv"</formula>
    </cfRule>
  </conditionalFormatting>
  <conditionalFormatting sqref="Q34:U34 Q26:U26">
    <cfRule type="expression" dxfId="8214" priority="14297">
      <formula>#REF! = "produs"</formula>
    </cfRule>
    <cfRule type="expression" dxfId="8213" priority="14298">
      <formula>#REF! = "obiectiv"</formula>
    </cfRule>
  </conditionalFormatting>
  <conditionalFormatting sqref="J152 J360 J340 J30 J329 J318 J307 J297 J287 J452 J442 J432 J422 J412 J402 J276 J256 J236 J226 J214 J204 J194 J173 J163 J142 J132 J122 J112 J102 J92 J81 J71 J61 J51 J20">
    <cfRule type="expression" dxfId="8212" priority="13829">
      <formula>#REF! = "produs"</formula>
    </cfRule>
    <cfRule type="expression" dxfId="8211" priority="13830">
      <formula>#REF! = "obiectiv"</formula>
    </cfRule>
  </conditionalFormatting>
  <conditionalFormatting sqref="J224">
    <cfRule type="expression" dxfId="8210" priority="13733">
      <formula>#REF! = "produs"</formula>
    </cfRule>
    <cfRule type="expression" dxfId="8209" priority="13734">
      <formula>#REF! = "obiectiv"</formula>
    </cfRule>
  </conditionalFormatting>
  <conditionalFormatting sqref="L344:U344 L343:P343 L336:U336 L338:P340 Q345:U354">
    <cfRule type="expression" dxfId="8208" priority="14281">
      <formula>#REF! = "produs"</formula>
    </cfRule>
    <cfRule type="expression" dxfId="8207" priority="14282">
      <formula>#REF! = "obiectiv"</formula>
    </cfRule>
  </conditionalFormatting>
  <conditionalFormatting sqref="L342:P342">
    <cfRule type="expression" dxfId="8206" priority="14277">
      <formula>#REF! = "produs"</formula>
    </cfRule>
    <cfRule type="expression" dxfId="8205" priority="14278">
      <formula>#REF! = "obiectiv"</formula>
    </cfRule>
  </conditionalFormatting>
  <conditionalFormatting sqref="M341:P341">
    <cfRule type="expression" dxfId="8204" priority="14275">
      <formula>#REF! = "produs"</formula>
    </cfRule>
    <cfRule type="expression" dxfId="8203" priority="14276">
      <formula>#REF! = "obiectiv"</formula>
    </cfRule>
  </conditionalFormatting>
  <conditionalFormatting sqref="K359:K364 K356:K357">
    <cfRule type="expression" dxfId="8202" priority="14269">
      <formula>#REF! = "produs"</formula>
    </cfRule>
    <cfRule type="expression" dxfId="8201" priority="14270">
      <formula>#REF! = "obiectiv"</formula>
    </cfRule>
  </conditionalFormatting>
  <conditionalFormatting sqref="J192">
    <cfRule type="expression" dxfId="8200" priority="13757">
      <formula>#REF! = "produs"</formula>
    </cfRule>
    <cfRule type="expression" dxfId="8199" priority="13758">
      <formula>#REF! = "obiectiv"</formula>
    </cfRule>
  </conditionalFormatting>
  <conditionalFormatting sqref="Q364:U364 Q356:U356">
    <cfRule type="expression" dxfId="8198" priority="14265">
      <formula>#REF! = "produs"</formula>
    </cfRule>
    <cfRule type="expression" dxfId="8197" priority="14266">
      <formula>#REF! = "obiectiv"</formula>
    </cfRule>
  </conditionalFormatting>
  <conditionalFormatting sqref="J327">
    <cfRule type="expression" dxfId="8196" priority="13641">
      <formula>#REF! = "produs"</formula>
    </cfRule>
    <cfRule type="expression" dxfId="8195" priority="13642">
      <formula>#REF! = "obiectiv"</formula>
    </cfRule>
  </conditionalFormatting>
  <conditionalFormatting sqref="K149 K151:K156">
    <cfRule type="expression" dxfId="8194" priority="14253">
      <formula>#REF! = "produs"</formula>
    </cfRule>
    <cfRule type="expression" dxfId="8193" priority="14254">
      <formula>#REF! = "obiectiv"</formula>
    </cfRule>
  </conditionalFormatting>
  <conditionalFormatting sqref="J100">
    <cfRule type="expression" dxfId="8192" priority="13789">
      <formula>#REF! = "produs"</formula>
    </cfRule>
    <cfRule type="expression" dxfId="8191" priority="13790">
      <formula>#REF! = "obiectiv"</formula>
    </cfRule>
  </conditionalFormatting>
  <conditionalFormatting sqref="L156:U156 L155:P155 L151:P152 L148:U148 L149:P149">
    <cfRule type="expression" dxfId="8190" priority="14249">
      <formula>#REF! = "produs"</formula>
    </cfRule>
    <cfRule type="expression" dxfId="8189" priority="14250">
      <formula>#REF! = "obiectiv"</formula>
    </cfRule>
  </conditionalFormatting>
  <conditionalFormatting sqref="J110">
    <cfRule type="expression" dxfId="8188" priority="13785">
      <formula>#REF! = "produs"</formula>
    </cfRule>
    <cfRule type="expression" dxfId="8187" priority="13786">
      <formula>#REF! = "obiectiv"</formula>
    </cfRule>
  </conditionalFormatting>
  <conditionalFormatting sqref="L154:P154">
    <cfRule type="expression" dxfId="8186" priority="14245">
      <formula>#REF! = "produs"</formula>
    </cfRule>
    <cfRule type="expression" dxfId="8185" priority="14246">
      <formula>#REF! = "obiectiv"</formula>
    </cfRule>
  </conditionalFormatting>
  <conditionalFormatting sqref="Q66:U66">
    <cfRule type="expression" dxfId="8184" priority="14037">
      <formula>#REF! = "produs"</formula>
    </cfRule>
    <cfRule type="expression" dxfId="8183" priority="14038">
      <formula>#REF! = "obiectiv"</formula>
    </cfRule>
  </conditionalFormatting>
  <conditionalFormatting sqref="J69">
    <cfRule type="expression" dxfId="8182" priority="13797">
      <formula>#REF! = "produs"</formula>
    </cfRule>
    <cfRule type="expression" dxfId="8181" priority="13798">
      <formula>#REF! = "obiectiv"</formula>
    </cfRule>
  </conditionalFormatting>
  <conditionalFormatting sqref="Q78:U84">
    <cfRule type="expression" dxfId="8180" priority="14029">
      <formula>#REF! = "produs"</formula>
    </cfRule>
    <cfRule type="expression" dxfId="8179" priority="14030">
      <formula>#REF! = "obiectiv"</formula>
    </cfRule>
  </conditionalFormatting>
  <conditionalFormatting sqref="J400">
    <cfRule type="expression" dxfId="8178" priority="13705">
      <formula>#REF! = "produs"</formula>
    </cfRule>
    <cfRule type="expression" dxfId="8177" priority="13706">
      <formula>#REF! = "obiectiv"</formula>
    </cfRule>
  </conditionalFormatting>
  <conditionalFormatting sqref="J161">
    <cfRule type="expression" dxfId="8176" priority="13769">
      <formula>#REF! = "produs"</formula>
    </cfRule>
    <cfRule type="expression" dxfId="8175" priority="13770">
      <formula>#REF! = "obiectiv"</formula>
    </cfRule>
  </conditionalFormatting>
  <conditionalFormatting sqref="J254">
    <cfRule type="expression" dxfId="8174" priority="13725">
      <formula>#REF! = "produs"</formula>
    </cfRule>
    <cfRule type="expression" dxfId="8173" priority="13726">
      <formula>#REF! = "obiectiv"</formula>
    </cfRule>
  </conditionalFormatting>
  <conditionalFormatting sqref="J8">
    <cfRule type="expression" dxfId="8172" priority="13809">
      <formula>#REF! = "produs"</formula>
    </cfRule>
    <cfRule type="expression" dxfId="8171" priority="13810">
      <formula>#REF! = "obiectiv"</formula>
    </cfRule>
  </conditionalFormatting>
  <conditionalFormatting sqref="J430">
    <cfRule type="expression" dxfId="8170" priority="13681">
      <formula>#REF! = "produs"</formula>
    </cfRule>
    <cfRule type="expression" dxfId="8169" priority="13682">
      <formula>#REF! = "obiectiv"</formula>
    </cfRule>
  </conditionalFormatting>
  <conditionalFormatting sqref="Q87:U87">
    <cfRule type="expression" dxfId="8168" priority="13987">
      <formula>#REF! = "produs"</formula>
    </cfRule>
    <cfRule type="expression" dxfId="8167" priority="13988">
      <formula>#REF! = "obiectiv"</formula>
    </cfRule>
  </conditionalFormatting>
  <conditionalFormatting sqref="J171">
    <cfRule type="expression" dxfId="8166" priority="13765">
      <formula>#REF! = "produs"</formula>
    </cfRule>
    <cfRule type="expression" dxfId="8165" priority="13766">
      <formula>#REF! = "obiectiv"</formula>
    </cfRule>
  </conditionalFormatting>
  <conditionalFormatting sqref="J150">
    <cfRule type="expression" dxfId="8164" priority="13625">
      <formula>#REF! = "produs"</formula>
    </cfRule>
    <cfRule type="expression" dxfId="8163" priority="13626">
      <formula>#REF! = "obiectiv"</formula>
    </cfRule>
  </conditionalFormatting>
  <conditionalFormatting sqref="J274">
    <cfRule type="expression" dxfId="8162" priority="13717">
      <formula>#REF! = "produs"</formula>
    </cfRule>
    <cfRule type="expression" dxfId="8161" priority="13718">
      <formula>#REF! = "obiectiv"</formula>
    </cfRule>
  </conditionalFormatting>
  <conditionalFormatting sqref="Q97:U97">
    <cfRule type="expression" dxfId="8160" priority="13979">
      <formula>#REF! = "produs"</formula>
    </cfRule>
    <cfRule type="expression" dxfId="8159" priority="13980">
      <formula>#REF! = "obiectiv"</formula>
    </cfRule>
  </conditionalFormatting>
  <conditionalFormatting sqref="H127">
    <cfRule type="expression" dxfId="8158" priority="13581">
      <formula>#REF! = "produs"</formula>
    </cfRule>
    <cfRule type="expression" dxfId="8157" priority="13582">
      <formula>#REF! = "obiectiv"</formula>
    </cfRule>
  </conditionalFormatting>
  <conditionalFormatting sqref="H87">
    <cfRule type="expression" dxfId="8156" priority="13597">
      <formula>#REF! = "produs"</formula>
    </cfRule>
    <cfRule type="expression" dxfId="8155" priority="13598">
      <formula>#REF! = "obiectiv"</formula>
    </cfRule>
  </conditionalFormatting>
  <conditionalFormatting sqref="Q117:U117">
    <cfRule type="expression" dxfId="8154" priority="13959">
      <formula>#REF! = "produs"</formula>
    </cfRule>
    <cfRule type="expression" dxfId="8153" priority="13960">
      <formula>#REF! = "obiectiv"</formula>
    </cfRule>
  </conditionalFormatting>
  <conditionalFormatting sqref="Q107:U107">
    <cfRule type="expression" dxfId="8152" priority="13971">
      <formula>#REF! = "produs"</formula>
    </cfRule>
    <cfRule type="expression" dxfId="8151" priority="13972">
      <formula>#REF! = "obiectiv"</formula>
    </cfRule>
  </conditionalFormatting>
  <conditionalFormatting sqref="J285">
    <cfRule type="expression" dxfId="8150" priority="13661">
      <formula>#REF! = "produs"</formula>
    </cfRule>
    <cfRule type="expression" dxfId="8149" priority="13662">
      <formula>#REF! = "obiectiv"</formula>
    </cfRule>
  </conditionalFormatting>
  <conditionalFormatting sqref="J202">
    <cfRule type="expression" dxfId="8148" priority="13753">
      <formula>#REF! = "produs"</formula>
    </cfRule>
    <cfRule type="expression" dxfId="8147" priority="13754">
      <formula>#REF! = "obiectiv"</formula>
    </cfRule>
  </conditionalFormatting>
  <conditionalFormatting sqref="J450">
    <cfRule type="expression" dxfId="8146" priority="13673">
      <formula>#REF! = "produs"</formula>
    </cfRule>
    <cfRule type="expression" dxfId="8145" priority="13674">
      <formula>#REF! = "obiectiv"</formula>
    </cfRule>
  </conditionalFormatting>
  <conditionalFormatting sqref="J28">
    <cfRule type="expression" dxfId="8144" priority="13637">
      <formula>#REF! = "produs"</formula>
    </cfRule>
    <cfRule type="expression" dxfId="8143" priority="13638">
      <formula>#REF! = "obiectiv"</formula>
    </cfRule>
  </conditionalFormatting>
  <conditionalFormatting sqref="V138:V139 V141:V156">
    <cfRule type="expression" dxfId="8142" priority="13883">
      <formula>#REF! = "produs"</formula>
    </cfRule>
    <cfRule type="expression" dxfId="8141" priority="13884">
      <formula>#REF! = "obiectiv"</formula>
    </cfRule>
  </conditionalFormatting>
  <conditionalFormatting sqref="Q127:U127">
    <cfRule type="expression" dxfId="8140" priority="13949">
      <formula>#REF! = "produs"</formula>
    </cfRule>
    <cfRule type="expression" dxfId="8139" priority="13950">
      <formula>#REF! = "obiectiv"</formula>
    </cfRule>
  </conditionalFormatting>
  <conditionalFormatting sqref="Q137:U137">
    <cfRule type="expression" dxfId="8138" priority="13947">
      <formula>#REF! = "produs"</formula>
    </cfRule>
    <cfRule type="expression" dxfId="8137" priority="13948">
      <formula>#REF! = "obiectiv"</formula>
    </cfRule>
  </conditionalFormatting>
  <conditionalFormatting sqref="J420">
    <cfRule type="expression" dxfId="8136" priority="13689">
      <formula>#REF! = "produs"</formula>
    </cfRule>
    <cfRule type="expression" dxfId="8135" priority="13690">
      <formula>#REF! = "obiectiv"</formula>
    </cfRule>
  </conditionalFormatting>
  <conditionalFormatting sqref="J212">
    <cfRule type="expression" dxfId="8134" priority="13745">
      <formula>#REF! = "produs"</formula>
    </cfRule>
    <cfRule type="expression" dxfId="8133" priority="13746">
      <formula>#REF! = "obiectiv"</formula>
    </cfRule>
  </conditionalFormatting>
  <conditionalFormatting sqref="H97">
    <cfRule type="expression" dxfId="8132" priority="13593">
      <formula>#REF! = "produs"</formula>
    </cfRule>
    <cfRule type="expression" dxfId="8131" priority="13594">
      <formula>#REF! = "obiectiv"</formula>
    </cfRule>
  </conditionalFormatting>
  <conditionalFormatting sqref="J120">
    <cfRule type="expression" dxfId="8130" priority="13781">
      <formula>#REF! = "produs"</formula>
    </cfRule>
    <cfRule type="expression" dxfId="8129" priority="13782">
      <formula>#REF! = "obiectiv"</formula>
    </cfRule>
  </conditionalFormatting>
  <conditionalFormatting sqref="H46">
    <cfRule type="expression" dxfId="8128" priority="13617">
      <formula>#REF! = "produs"</formula>
    </cfRule>
    <cfRule type="expression" dxfId="8127" priority="13618">
      <formula>#REF! = "obiectiv"</formula>
    </cfRule>
  </conditionalFormatting>
  <conditionalFormatting sqref="V67:V68 V70:V75">
    <cfRule type="expression" dxfId="8126" priority="13903">
      <formula>#REF! = "produs"</formula>
    </cfRule>
    <cfRule type="expression" dxfId="8125" priority="13904">
      <formula>#REF! = "obiectiv"</formula>
    </cfRule>
  </conditionalFormatting>
  <conditionalFormatting sqref="Q158:U158">
    <cfRule type="expression" dxfId="8124" priority="13931">
      <formula>#REF! = "produs"</formula>
    </cfRule>
    <cfRule type="expression" dxfId="8123" priority="13932">
      <formula>#REF! = "obiectiv"</formula>
    </cfRule>
  </conditionalFormatting>
  <conditionalFormatting sqref="V169:V170 V172:V177">
    <cfRule type="expression" dxfId="8122" priority="13879">
      <formula>#REF! = "produs"</formula>
    </cfRule>
    <cfRule type="expression" dxfId="8121" priority="13880">
      <formula>#REF! = "obiectiv"</formula>
    </cfRule>
  </conditionalFormatting>
  <conditionalFormatting sqref="V324:V333 V313:V322 V1498:V1507 V1518:V1527 V1435:V1454 V1456:V1485 V221:V240">
    <cfRule type="expression" dxfId="8120" priority="13877">
      <formula>#REF! = "produs"</formula>
    </cfRule>
    <cfRule type="expression" dxfId="8119" priority="13878">
      <formula>#REF! = "obiectiv"</formula>
    </cfRule>
  </conditionalFormatting>
  <conditionalFormatting sqref="J440">
    <cfRule type="expression" dxfId="8118" priority="13677">
      <formula>#REF! = "produs"</formula>
    </cfRule>
    <cfRule type="expression" dxfId="8117" priority="13678">
      <formula>#REF! = "obiectiv"</formula>
    </cfRule>
  </conditionalFormatting>
  <conditionalFormatting sqref="V15:V17 V19:V34">
    <cfRule type="expression" dxfId="8116" priority="13913">
      <formula>#REF! = "produs"</formula>
    </cfRule>
    <cfRule type="expression" dxfId="8115" priority="13914">
      <formula>#REF! = "obiectiv"</formula>
    </cfRule>
  </conditionalFormatting>
  <conditionalFormatting sqref="V47:V48 V50:V55">
    <cfRule type="expression" dxfId="8114" priority="13911">
      <formula>#REF! = "produs"</formula>
    </cfRule>
    <cfRule type="expression" dxfId="8113" priority="13912">
      <formula>#REF! = "obiectiv"</formula>
    </cfRule>
  </conditionalFormatting>
  <conditionalFormatting sqref="V46">
    <cfRule type="expression" dxfId="8112" priority="13909">
      <formula>#REF! = "produs"</formula>
    </cfRule>
    <cfRule type="expression" dxfId="8111" priority="13910">
      <formula>#REF! = "obiectiv"</formula>
    </cfRule>
  </conditionalFormatting>
  <conditionalFormatting sqref="V57:V58 V60:V65">
    <cfRule type="expression" dxfId="8110" priority="13907">
      <formula>#REF! = "produs"</formula>
    </cfRule>
    <cfRule type="expression" dxfId="8109" priority="13908">
      <formula>#REF! = "obiectiv"</formula>
    </cfRule>
  </conditionalFormatting>
  <conditionalFormatting sqref="V88:V89 V91:V96">
    <cfRule type="expression" dxfId="8108" priority="13893">
      <formula>#REF! = "produs"</formula>
    </cfRule>
    <cfRule type="expression" dxfId="8107" priority="13894">
      <formula>#REF! = "obiectiv"</formula>
    </cfRule>
  </conditionalFormatting>
  <conditionalFormatting sqref="V77">
    <cfRule type="expression" dxfId="8106" priority="13899">
      <formula>#REF! = "produs"</formula>
    </cfRule>
    <cfRule type="expression" dxfId="8105" priority="13900">
      <formula>#REF! = "obiectiv"</formula>
    </cfRule>
  </conditionalFormatting>
  <conditionalFormatting sqref="V98:V99 V101:V106">
    <cfRule type="expression" dxfId="8104" priority="13891">
      <formula>#REF! = "produs"</formula>
    </cfRule>
    <cfRule type="expression" dxfId="8103" priority="13892">
      <formula>#REF! = "obiectiv"</formula>
    </cfRule>
  </conditionalFormatting>
  <conditionalFormatting sqref="V108:V109 V111:V116">
    <cfRule type="expression" dxfId="8102" priority="13889">
      <formula>#REF! = "produs"</formula>
    </cfRule>
    <cfRule type="expression" dxfId="8101" priority="13890">
      <formula>#REF! = "obiectiv"</formula>
    </cfRule>
  </conditionalFormatting>
  <conditionalFormatting sqref="V118:V119 V121:V126">
    <cfRule type="expression" dxfId="8100" priority="13887">
      <formula>#REF! = "produs"</formula>
    </cfRule>
    <cfRule type="expression" dxfId="8099" priority="13888">
      <formula>#REF! = "obiectiv"</formula>
    </cfRule>
  </conditionalFormatting>
  <conditionalFormatting sqref="V128:V129 V131:V136">
    <cfRule type="expression" dxfId="8098" priority="13885">
      <formula>#REF! = "produs"</formula>
    </cfRule>
    <cfRule type="expression" dxfId="8097" priority="13886">
      <formula>#REF! = "obiectiv"</formula>
    </cfRule>
  </conditionalFormatting>
  <conditionalFormatting sqref="V66">
    <cfRule type="expression" dxfId="8096" priority="13875">
      <formula>#REF! = "produs"</formula>
    </cfRule>
    <cfRule type="expression" dxfId="8095" priority="13876">
      <formula>#REF! = "obiectiv"</formula>
    </cfRule>
  </conditionalFormatting>
  <conditionalFormatting sqref="V78 V80:V84">
    <cfRule type="expression" dxfId="8094" priority="13871">
      <formula>#REF! = "produs"</formula>
    </cfRule>
    <cfRule type="expression" dxfId="8093" priority="13872">
      <formula>#REF! = "obiectiv"</formula>
    </cfRule>
  </conditionalFormatting>
  <conditionalFormatting sqref="V87">
    <cfRule type="expression" dxfId="8092" priority="13865">
      <formula>#REF! = "produs"</formula>
    </cfRule>
    <cfRule type="expression" dxfId="8091" priority="13866">
      <formula>#REF! = "obiectiv"</formula>
    </cfRule>
  </conditionalFormatting>
  <conditionalFormatting sqref="V97">
    <cfRule type="expression" dxfId="8090" priority="13863">
      <formula>#REF! = "produs"</formula>
    </cfRule>
    <cfRule type="expression" dxfId="8089" priority="13864">
      <formula>#REF! = "obiectiv"</formula>
    </cfRule>
  </conditionalFormatting>
  <conditionalFormatting sqref="V107">
    <cfRule type="expression" dxfId="8088" priority="13861">
      <formula>#REF! = "produs"</formula>
    </cfRule>
    <cfRule type="expression" dxfId="8087" priority="13862">
      <formula>#REF! = "obiectiv"</formula>
    </cfRule>
  </conditionalFormatting>
  <conditionalFormatting sqref="V117">
    <cfRule type="expression" dxfId="8086" priority="13859">
      <formula>#REF! = "produs"</formula>
    </cfRule>
    <cfRule type="expression" dxfId="8085" priority="13860">
      <formula>#REF! = "obiectiv"</formula>
    </cfRule>
  </conditionalFormatting>
  <conditionalFormatting sqref="V127">
    <cfRule type="expression" dxfId="8084" priority="13857">
      <formula>#REF! = "produs"</formula>
    </cfRule>
    <cfRule type="expression" dxfId="8083" priority="13858">
      <formula>#REF! = "obiectiv"</formula>
    </cfRule>
  </conditionalFormatting>
  <conditionalFormatting sqref="V137">
    <cfRule type="expression" dxfId="8082" priority="13855">
      <formula>#REF! = "produs"</formula>
    </cfRule>
    <cfRule type="expression" dxfId="8081" priority="13856">
      <formula>#REF! = "obiectiv"</formula>
    </cfRule>
  </conditionalFormatting>
  <conditionalFormatting sqref="V168">
    <cfRule type="expression" dxfId="8080" priority="13851">
      <formula>#REF! = "produs"</formula>
    </cfRule>
    <cfRule type="expression" dxfId="8079" priority="13852">
      <formula>#REF! = "obiectiv"</formula>
    </cfRule>
  </conditionalFormatting>
  <conditionalFormatting sqref="V158">
    <cfRule type="expression" dxfId="8078" priority="13853">
      <formula>#REF! = "produs"</formula>
    </cfRule>
    <cfRule type="expression" dxfId="8077" priority="13854">
      <formula>#REF! = "obiectiv"</formula>
    </cfRule>
  </conditionalFormatting>
  <conditionalFormatting sqref="K18 V18:IU18">
    <cfRule type="expression" dxfId="8076" priority="13845">
      <formula>#REF! = "produs"</formula>
    </cfRule>
    <cfRule type="expression" dxfId="8075" priority="13846">
      <formula>#REF! = "obiectiv"</formula>
    </cfRule>
  </conditionalFormatting>
  <conditionalFormatting sqref="J316">
    <cfRule type="expression" dxfId="8074" priority="13645">
      <formula>#REF! = "produs"</formula>
    </cfRule>
    <cfRule type="expression" dxfId="8073" priority="13646">
      <formula>#REF! = "obiectiv"</formula>
    </cfRule>
  </conditionalFormatting>
  <conditionalFormatting sqref="W12:IU12">
    <cfRule type="expression" dxfId="8072" priority="13841">
      <formula>#REF! = "produs"</formula>
    </cfRule>
    <cfRule type="expression" dxfId="8071" priority="13842">
      <formula>#REF! = "obiectiv"</formula>
    </cfRule>
  </conditionalFormatting>
  <conditionalFormatting sqref="K12">
    <cfRule type="expression" dxfId="8070" priority="13839">
      <formula>#REF! = "produs"</formula>
    </cfRule>
    <cfRule type="expression" dxfId="8069" priority="13840">
      <formula>#REF! = "obiectiv"</formula>
    </cfRule>
  </conditionalFormatting>
  <conditionalFormatting sqref="K69:P69 V69:IU69">
    <cfRule type="expression" dxfId="8068" priority="13799">
      <formula>#REF! = "produs"</formula>
    </cfRule>
    <cfRule type="expression" dxfId="8067" priority="13800">
      <formula>#REF! = "obiectiv"</formula>
    </cfRule>
  </conditionalFormatting>
  <conditionalFormatting sqref="K1262:P1262 W1262:IU1262">
    <cfRule type="expression" dxfId="8066" priority="12265">
      <formula>#REF! = "produs"</formula>
    </cfRule>
    <cfRule type="expression" dxfId="8065" priority="12266">
      <formula>#REF! = "obiectiv"</formula>
    </cfRule>
  </conditionalFormatting>
  <conditionalFormatting sqref="V12">
    <cfRule type="expression" dxfId="8064" priority="13833">
      <formula>#REF! = "produs"</formula>
    </cfRule>
    <cfRule type="expression" dxfId="8063" priority="13834">
      <formula>#REF! = "obiectiv"</formula>
    </cfRule>
  </conditionalFormatting>
  <conditionalFormatting sqref="H107">
    <cfRule type="expression" dxfId="8062" priority="13589">
      <formula>#REF! = "produs"</formula>
    </cfRule>
    <cfRule type="expression" dxfId="8061" priority="13590">
      <formula>#REF! = "obiectiv"</formula>
    </cfRule>
  </conditionalFormatting>
  <conditionalFormatting sqref="V79:IU79">
    <cfRule type="expression" dxfId="8060" priority="13827">
      <formula>#REF! = "produs"</formula>
    </cfRule>
    <cfRule type="expression" dxfId="8059" priority="13828">
      <formula>#REF! = "obiectiv"</formula>
    </cfRule>
  </conditionalFormatting>
  <conditionalFormatting sqref="J410">
    <cfRule type="expression" dxfId="8058" priority="13693">
      <formula>#REF! = "produs"</formula>
    </cfRule>
    <cfRule type="expression" dxfId="8057" priority="13694">
      <formula>#REF! = "obiectiv"</formula>
    </cfRule>
  </conditionalFormatting>
  <conditionalFormatting sqref="K49 V49:IU49">
    <cfRule type="expression" dxfId="8056" priority="13821">
      <formula>#REF! = "produs"</formula>
    </cfRule>
    <cfRule type="expression" dxfId="8055" priority="13822">
      <formula>#REF! = "obiectiv"</formula>
    </cfRule>
  </conditionalFormatting>
  <conditionalFormatting sqref="K59 V59:IU59">
    <cfRule type="expression" dxfId="8054" priority="13815">
      <formula>#REF! = "produs"</formula>
    </cfRule>
    <cfRule type="expression" dxfId="8053" priority="13816">
      <formula>#REF! = "obiectiv"</formula>
    </cfRule>
  </conditionalFormatting>
  <conditionalFormatting sqref="J305">
    <cfRule type="expression" dxfId="8052" priority="13649">
      <formula>#REF! = "produs"</formula>
    </cfRule>
    <cfRule type="expression" dxfId="8051" priority="13650">
      <formula>#REF! = "obiectiv"</formula>
    </cfRule>
  </conditionalFormatting>
  <conditionalFormatting sqref="K285 W285:IU285">
    <cfRule type="expression" dxfId="8050" priority="13663">
      <formula>#REF! = "produs"</formula>
    </cfRule>
    <cfRule type="expression" dxfId="8049" priority="13664">
      <formula>#REF! = "obiectiv"</formula>
    </cfRule>
  </conditionalFormatting>
  <conditionalFormatting sqref="V90:IU90">
    <cfRule type="expression" dxfId="8048" priority="13795">
      <formula>#REF! = "produs"</formula>
    </cfRule>
    <cfRule type="expression" dxfId="8047" priority="13796">
      <formula>#REF! = "obiectiv"</formula>
    </cfRule>
  </conditionalFormatting>
  <conditionalFormatting sqref="K100:P100 V100:IU100">
    <cfRule type="expression" dxfId="8046" priority="13791">
      <formula>#REF! = "produs"</formula>
    </cfRule>
    <cfRule type="expression" dxfId="8045" priority="13792">
      <formula>#REF! = "obiectiv"</formula>
    </cfRule>
  </conditionalFormatting>
  <conditionalFormatting sqref="H158">
    <cfRule type="expression" dxfId="8044" priority="13573">
      <formula>#REF! = "produs"</formula>
    </cfRule>
    <cfRule type="expression" dxfId="8043" priority="13574">
      <formula>#REF! = "obiectiv"</formula>
    </cfRule>
  </conditionalFormatting>
  <conditionalFormatting sqref="V110:IU110">
    <cfRule type="expression" dxfId="8042" priority="13787">
      <formula>#REF! = "produs"</formula>
    </cfRule>
    <cfRule type="expression" dxfId="8041" priority="13788">
      <formula>#REF! = "obiectiv"</formula>
    </cfRule>
  </conditionalFormatting>
  <conditionalFormatting sqref="J295">
    <cfRule type="expression" dxfId="8040" priority="13657">
      <formula>#REF! = "produs"</formula>
    </cfRule>
    <cfRule type="expression" dxfId="8039" priority="13658">
      <formula>#REF! = "obiectiv"</formula>
    </cfRule>
  </conditionalFormatting>
  <conditionalFormatting sqref="V120:IU120">
    <cfRule type="expression" dxfId="8038" priority="13783">
      <formula>#REF! = "produs"</formula>
    </cfRule>
    <cfRule type="expression" dxfId="8037" priority="13784">
      <formula>#REF! = "obiectiv"</formula>
    </cfRule>
  </conditionalFormatting>
  <conditionalFormatting sqref="K130 V130:IU130">
    <cfRule type="expression" dxfId="8036" priority="13779">
      <formula>#REF! = "produs"</formula>
    </cfRule>
    <cfRule type="expression" dxfId="8035" priority="13780">
      <formula>#REF! = "obiectiv"</formula>
    </cfRule>
  </conditionalFormatting>
  <conditionalFormatting sqref="H15">
    <cfRule type="expression" dxfId="8034" priority="13623">
      <formula>#REF! = "produs"</formula>
    </cfRule>
    <cfRule type="expression" dxfId="8033" priority="13624">
      <formula>#REF! = "obiectiv"</formula>
    </cfRule>
  </conditionalFormatting>
  <conditionalFormatting sqref="K161 V161:IU161">
    <cfRule type="expression" dxfId="8032" priority="13771">
      <formula>#REF! = "produs"</formula>
    </cfRule>
    <cfRule type="expression" dxfId="8031" priority="13772">
      <formula>#REF! = "obiectiv"</formula>
    </cfRule>
  </conditionalFormatting>
  <conditionalFormatting sqref="K171 V171:IU171">
    <cfRule type="expression" dxfId="8030" priority="13767">
      <formula>#REF! = "produs"</formula>
    </cfRule>
    <cfRule type="expression" dxfId="8029" priority="13768">
      <formula>#REF! = "obiectiv"</formula>
    </cfRule>
  </conditionalFormatting>
  <conditionalFormatting sqref="J1260 J1267:J1268 J1265 J1263">
    <cfRule type="expression" dxfId="8028" priority="12277">
      <formula>#REF! = "produs"</formula>
    </cfRule>
    <cfRule type="expression" dxfId="8027" priority="12278">
      <formula>#REF! = "obiectiv"</formula>
    </cfRule>
  </conditionalFormatting>
  <conditionalFormatting sqref="Q852:U853 L854:U861 L864:U879 Q862:U863 Q842:U843 L844:U851 Q832:U833 L834:U841">
    <cfRule type="expression" dxfId="8026" priority="12759">
      <formula>#REF! = "produs"</formula>
    </cfRule>
    <cfRule type="expression" dxfId="8025" priority="12760">
      <formula>#REF! = "obiectiv"</formula>
    </cfRule>
  </conditionalFormatting>
  <conditionalFormatting sqref="K192 W192:IU192">
    <cfRule type="expression" dxfId="8024" priority="13759">
      <formula>#REF! = "produs"</formula>
    </cfRule>
    <cfRule type="expression" dxfId="8023" priority="13760">
      <formula>#REF! = "obiectiv"</formula>
    </cfRule>
  </conditionalFormatting>
  <conditionalFormatting sqref="J358">
    <cfRule type="expression" dxfId="8022" priority="13629">
      <formula>#REF! = "produs"</formula>
    </cfRule>
    <cfRule type="expression" dxfId="8021" priority="13630">
      <formula>#REF! = "obiectiv"</formula>
    </cfRule>
  </conditionalFormatting>
  <conditionalFormatting sqref="W202:IU202">
    <cfRule type="expression" dxfId="8020" priority="13755">
      <formula>#REF! = "produs"</formula>
    </cfRule>
    <cfRule type="expression" dxfId="8019" priority="13756">
      <formula>#REF! = "obiectiv"</formula>
    </cfRule>
  </conditionalFormatting>
  <conditionalFormatting sqref="K1068 W1068:IU1068">
    <cfRule type="expression" dxfId="8018" priority="12199">
      <formula>#REF! = "produs"</formula>
    </cfRule>
    <cfRule type="expression" dxfId="8017" priority="12200">
      <formula>#REF! = "obiectiv"</formula>
    </cfRule>
  </conditionalFormatting>
  <conditionalFormatting sqref="H92">
    <cfRule type="expression" dxfId="8016" priority="13599">
      <formula>#REF! = "produs"</formula>
    </cfRule>
    <cfRule type="expression" dxfId="8015" priority="13600">
      <formula>#REF! = "obiectiv"</formula>
    </cfRule>
  </conditionalFormatting>
  <conditionalFormatting sqref="K212 W212:IU212">
    <cfRule type="expression" dxfId="8014" priority="13747">
      <formula>#REF! = "produs"</formula>
    </cfRule>
    <cfRule type="expression" dxfId="8013" priority="13748">
      <formula>#REF! = "obiectiv"</formula>
    </cfRule>
  </conditionalFormatting>
  <conditionalFormatting sqref="K440:P440 W440:IU440">
    <cfRule type="expression" dxfId="8012" priority="13679">
      <formula>#REF! = "produs"</formula>
    </cfRule>
    <cfRule type="expression" dxfId="8011" priority="13680">
      <formula>#REF! = "obiectiv"</formula>
    </cfRule>
  </conditionalFormatting>
  <conditionalFormatting sqref="H56">
    <cfRule type="expression" dxfId="8010" priority="13613">
      <formula>#REF! = "produs"</formula>
    </cfRule>
    <cfRule type="expression" dxfId="8009" priority="13614">
      <formula>#REF! = "obiectiv"</formula>
    </cfRule>
  </conditionalFormatting>
  <conditionalFormatting sqref="H76">
    <cfRule type="expression" dxfId="8008" priority="13601">
      <formula>#REF! = "produs"</formula>
    </cfRule>
    <cfRule type="expression" dxfId="8007" priority="13602">
      <formula>#REF! = "obiectiv"</formula>
    </cfRule>
  </conditionalFormatting>
  <conditionalFormatting sqref="K842 K844:K849">
    <cfRule type="expression" dxfId="8006" priority="12455">
      <formula>#REF! = "produs"</formula>
    </cfRule>
    <cfRule type="expression" dxfId="8005" priority="12456">
      <formula>#REF! = "obiectiv"</formula>
    </cfRule>
  </conditionalFormatting>
  <conditionalFormatting sqref="W224:IU224">
    <cfRule type="expression" dxfId="8004" priority="13735">
      <formula>#REF! = "produs"</formula>
    </cfRule>
    <cfRule type="expression" dxfId="8003" priority="13736">
      <formula>#REF! = "obiectiv"</formula>
    </cfRule>
  </conditionalFormatting>
  <conditionalFormatting sqref="W234:IU234">
    <cfRule type="expression" dxfId="8002" priority="13731">
      <formula>#REF! = "produs"</formula>
    </cfRule>
    <cfRule type="expression" dxfId="8001" priority="13732">
      <formula>#REF! = "obiectiv"</formula>
    </cfRule>
  </conditionalFormatting>
  <conditionalFormatting sqref="W254:IU254">
    <cfRule type="expression" dxfId="8000" priority="13727">
      <formula>#REF! = "produs"</formula>
    </cfRule>
    <cfRule type="expression" dxfId="7999" priority="13728">
      <formula>#REF! = "obiectiv"</formula>
    </cfRule>
  </conditionalFormatting>
  <conditionalFormatting sqref="J2224">
    <cfRule type="expression" dxfId="7998" priority="13461">
      <formula>#REF! = "produs"</formula>
    </cfRule>
    <cfRule type="expression" dxfId="7997" priority="13462">
      <formula>#REF! = "obiectiv"</formula>
    </cfRule>
  </conditionalFormatting>
  <conditionalFormatting sqref="L866:P866">
    <cfRule type="expression" dxfId="7996" priority="12401">
      <formula>#REF! = "produs"</formula>
    </cfRule>
    <cfRule type="expression" dxfId="7995" priority="12402">
      <formula>#REF! = "obiectiv"</formula>
    </cfRule>
  </conditionalFormatting>
  <conditionalFormatting sqref="K274:P274 W274:IU274">
    <cfRule type="expression" dxfId="7994" priority="13719">
      <formula>#REF! = "produs"</formula>
    </cfRule>
    <cfRule type="expression" dxfId="7993" priority="13720">
      <formula>#REF! = "obiectiv"</formula>
    </cfRule>
  </conditionalFormatting>
  <conditionalFormatting sqref="H117">
    <cfRule type="expression" dxfId="7992" priority="13585">
      <formula>#REF! = "produs"</formula>
    </cfRule>
    <cfRule type="expression" dxfId="7991" priority="13586">
      <formula>#REF! = "obiectiv"</formula>
    </cfRule>
  </conditionalFormatting>
  <conditionalFormatting sqref="H402">
    <cfRule type="expression" dxfId="7990" priority="13537">
      <formula>#REF! = "produs"</formula>
    </cfRule>
    <cfRule type="expression" dxfId="7989" priority="13538">
      <formula>#REF! = "obiectiv"</formula>
    </cfRule>
  </conditionalFormatting>
  <conditionalFormatting sqref="H137">
    <cfRule type="expression" dxfId="7988" priority="13577">
      <formula>#REF! = "produs"</formula>
    </cfRule>
    <cfRule type="expression" dxfId="7987" priority="13578">
      <formula>#REF! = "obiectiv"</formula>
    </cfRule>
  </conditionalFormatting>
  <conditionalFormatting sqref="K400 W400:IU400">
    <cfRule type="expression" dxfId="7986" priority="13707">
      <formula>#REF! = "produs"</formula>
    </cfRule>
    <cfRule type="expression" dxfId="7985" priority="13708">
      <formula>#REF! = "obiectiv"</formula>
    </cfRule>
  </conditionalFormatting>
  <conditionalFormatting sqref="H168">
    <cfRule type="expression" dxfId="7984" priority="13569">
      <formula>#REF! = "produs"</formula>
    </cfRule>
    <cfRule type="expression" dxfId="7983" priority="13570">
      <formula>#REF! = "obiectiv"</formula>
    </cfRule>
  </conditionalFormatting>
  <conditionalFormatting sqref="K1078 W1078:IU1078">
    <cfRule type="expression" dxfId="7982" priority="12177">
      <formula>#REF! = "produs"</formula>
    </cfRule>
    <cfRule type="expression" dxfId="7981" priority="12178">
      <formula>#REF! = "obiectiv"</formula>
    </cfRule>
  </conditionalFormatting>
  <conditionalFormatting sqref="W410:IU410">
    <cfRule type="expression" dxfId="7980" priority="13695">
      <formula>#REF! = "produs"</formula>
    </cfRule>
    <cfRule type="expression" dxfId="7979" priority="13696">
      <formula>#REF! = "obiectiv"</formula>
    </cfRule>
  </conditionalFormatting>
  <conditionalFormatting sqref="K420 W420:IU420">
    <cfRule type="expression" dxfId="7978" priority="13691">
      <formula>#REF! = "produs"</formula>
    </cfRule>
    <cfRule type="expression" dxfId="7977" priority="13692">
      <formula>#REF! = "obiectiv"</formula>
    </cfRule>
  </conditionalFormatting>
  <conditionalFormatting sqref="L837:P837">
    <cfRule type="expression" dxfId="7976" priority="12469">
      <formula>#REF! = "produs"</formula>
    </cfRule>
    <cfRule type="expression" dxfId="7975" priority="12470">
      <formula>#REF! = "obiectiv"</formula>
    </cfRule>
  </conditionalFormatting>
  <conditionalFormatting sqref="K430 W430:IU430">
    <cfRule type="expression" dxfId="7974" priority="13683">
      <formula>#REF! = "produs"</formula>
    </cfRule>
    <cfRule type="expression" dxfId="7973" priority="13684">
      <formula>#REF! = "obiectiv"</formula>
    </cfRule>
  </conditionalFormatting>
  <conditionalFormatting sqref="K358 W358:IU358">
    <cfRule type="expression" dxfId="7972" priority="13631">
      <formula>#REF! = "produs"</formula>
    </cfRule>
    <cfRule type="expression" dxfId="7971" priority="13632">
      <formula>#REF! = "obiectiv"</formula>
    </cfRule>
  </conditionalFormatting>
  <conditionalFormatting sqref="K450 W450:IU450">
    <cfRule type="expression" dxfId="7970" priority="13675">
      <formula>#REF! = "produs"</formula>
    </cfRule>
    <cfRule type="expression" dxfId="7969" priority="13676">
      <formula>#REF! = "obiectiv"</formula>
    </cfRule>
  </conditionalFormatting>
  <conditionalFormatting sqref="K862 K864:K869">
    <cfRule type="expression" dxfId="7968" priority="12411">
      <formula>#REF! = "produs"</formula>
    </cfRule>
    <cfRule type="expression" dxfId="7967" priority="12412">
      <formula>#REF! = "obiectiv"</formula>
    </cfRule>
  </conditionalFormatting>
  <conditionalFormatting sqref="K295 W295:IU295">
    <cfRule type="expression" dxfId="7966" priority="13659">
      <formula>#REF! = "produs"</formula>
    </cfRule>
    <cfRule type="expression" dxfId="7965" priority="13660">
      <formula>#REF! = "obiectiv"</formula>
    </cfRule>
  </conditionalFormatting>
  <conditionalFormatting sqref="K305:P305 W305:IU305">
    <cfRule type="expression" dxfId="7964" priority="13651">
      <formula>#REF! = "produs"</formula>
    </cfRule>
    <cfRule type="expression" dxfId="7963" priority="13652">
      <formula>#REF! = "obiectiv"</formula>
    </cfRule>
  </conditionalFormatting>
  <conditionalFormatting sqref="K316 W316:IU316">
    <cfRule type="expression" dxfId="7962" priority="13647">
      <formula>#REF! = "produs"</formula>
    </cfRule>
    <cfRule type="expression" dxfId="7961" priority="13648">
      <formula>#REF! = "obiectiv"</formula>
    </cfRule>
  </conditionalFormatting>
  <conditionalFormatting sqref="K327 W327:IU327">
    <cfRule type="expression" dxfId="7960" priority="13643">
      <formula>#REF! = "produs"</formula>
    </cfRule>
    <cfRule type="expression" dxfId="7959" priority="13644">
      <formula>#REF! = "obiectiv"</formula>
    </cfRule>
  </conditionalFormatting>
  <conditionalFormatting sqref="K28 W28:IU28">
    <cfRule type="expression" dxfId="7958" priority="13639">
      <formula>#REF! = "produs"</formula>
    </cfRule>
    <cfRule type="expression" dxfId="7957" priority="13640">
      <formula>#REF! = "obiectiv"</formula>
    </cfRule>
  </conditionalFormatting>
  <conditionalFormatting sqref="K337:P337 W337:IU337">
    <cfRule type="expression" dxfId="7956" priority="13635">
      <formula>#REF! = "produs"</formula>
    </cfRule>
    <cfRule type="expression" dxfId="7955" priority="13636">
      <formula>#REF! = "obiectiv"</formula>
    </cfRule>
  </conditionalFormatting>
  <conditionalFormatting sqref="K150:P150 W150:IU150">
    <cfRule type="expression" dxfId="7954" priority="13627">
      <formula>#REF! = "produs"</formula>
    </cfRule>
    <cfRule type="expression" dxfId="7953" priority="13628">
      <formula>#REF! = "obiectiv"</formula>
    </cfRule>
  </conditionalFormatting>
  <conditionalFormatting sqref="L1265:P1265">
    <cfRule type="expression" dxfId="7952" priority="12269">
      <formula>#REF! = "produs"</formula>
    </cfRule>
    <cfRule type="expression" dxfId="7951" priority="12270">
      <formula>#REF! = "obiectiv"</formula>
    </cfRule>
  </conditionalFormatting>
  <conditionalFormatting sqref="W831:IU832 W834:IU839">
    <cfRule type="expression" dxfId="7950" priority="12479">
      <formula>#REF! = "produs"</formula>
    </cfRule>
    <cfRule type="expression" dxfId="7949" priority="12480">
      <formula>#REF! = "obiectiv"</formula>
    </cfRule>
  </conditionalFormatting>
  <conditionalFormatting sqref="W2218:IU2219 W2221:IU2226">
    <cfRule type="expression" dxfId="7948" priority="13469">
      <formula>#REF! = "produs"</formula>
    </cfRule>
    <cfRule type="expression" dxfId="7947" priority="13470">
      <formula>#REF! = "obiectiv"</formula>
    </cfRule>
  </conditionalFormatting>
  <conditionalFormatting sqref="J2220">
    <cfRule type="expression" dxfId="7946" priority="13451">
      <formula>#REF! = "produs"</formula>
    </cfRule>
    <cfRule type="expression" dxfId="7945" priority="13452">
      <formula>#REF! = "obiectiv"</formula>
    </cfRule>
  </conditionalFormatting>
  <conditionalFormatting sqref="J2218 J2225:J2226 J2223 J2221">
    <cfRule type="expression" dxfId="7944" priority="13465">
      <formula>#REF! = "produs"</formula>
    </cfRule>
    <cfRule type="expression" dxfId="7943" priority="13466">
      <formula>#REF! = "obiectiv"</formula>
    </cfRule>
  </conditionalFormatting>
  <conditionalFormatting sqref="W1230:IU1231 W1233:IU1238">
    <cfRule type="expression" dxfId="7942" priority="12325">
      <formula>#REF! = "produs"</formula>
    </cfRule>
    <cfRule type="expression" dxfId="7941" priority="12326">
      <formula>#REF! = "obiectiv"</formula>
    </cfRule>
  </conditionalFormatting>
  <conditionalFormatting sqref="W1250:IU1251 W1253:IU1258">
    <cfRule type="expression" dxfId="7940" priority="12303">
      <formula>#REF! = "produs"</formula>
    </cfRule>
    <cfRule type="expression" dxfId="7939" priority="12304">
      <formula>#REF! = "obiectiv"</formula>
    </cfRule>
  </conditionalFormatting>
  <conditionalFormatting sqref="W1260:IU1261 W1263:IU1268">
    <cfRule type="expression" dxfId="7938" priority="12281">
      <formula>#REF! = "produs"</formula>
    </cfRule>
    <cfRule type="expression" dxfId="7937" priority="12282">
      <formula>#REF! = "obiectiv"</formula>
    </cfRule>
  </conditionalFormatting>
  <conditionalFormatting sqref="J1346">
    <cfRule type="expression" dxfId="7936" priority="12047">
      <formula>#REF! = "produs"</formula>
    </cfRule>
    <cfRule type="expression" dxfId="7935" priority="12048">
      <formula>#REF! = "obiectiv"</formula>
    </cfRule>
  </conditionalFormatting>
  <conditionalFormatting sqref="J1230 J1237:J1238 J1235 J1233">
    <cfRule type="expression" dxfId="7934" priority="12321">
      <formula>#REF! = "produs"</formula>
    </cfRule>
    <cfRule type="expression" dxfId="7933" priority="12322">
      <formula>#REF! = "obiectiv"</formula>
    </cfRule>
  </conditionalFormatting>
  <conditionalFormatting sqref="J1250 J1257:J1258 J1255 J1253">
    <cfRule type="expression" dxfId="7932" priority="12299">
      <formula>#REF! = "produs"</formula>
    </cfRule>
    <cfRule type="expression" dxfId="7931" priority="12300">
      <formula>#REF! = "obiectiv"</formula>
    </cfRule>
  </conditionalFormatting>
  <conditionalFormatting sqref="K852 K854:K859">
    <cfRule type="expression" dxfId="7930" priority="12433">
      <formula>#REF! = "produs"</formula>
    </cfRule>
    <cfRule type="expression" dxfId="7929" priority="12434">
      <formula>#REF! = "obiectiv"</formula>
    </cfRule>
  </conditionalFormatting>
  <conditionalFormatting sqref="J1082">
    <cfRule type="expression" dxfId="7928" priority="12185">
      <formula>#REF! = "produs"</formula>
    </cfRule>
    <cfRule type="expression" dxfId="7927" priority="12186">
      <formula>#REF! = "obiectiv"</formula>
    </cfRule>
  </conditionalFormatting>
  <conditionalFormatting sqref="K1252:P1252 W1252:IU1252">
    <cfRule type="expression" dxfId="7926" priority="12287">
      <formula>#REF! = "produs"</formula>
    </cfRule>
    <cfRule type="expression" dxfId="7925" priority="12288">
      <formula>#REF! = "obiectiv"</formula>
    </cfRule>
  </conditionalFormatting>
  <conditionalFormatting sqref="J1046 J1053:J1054 J1051 J1049">
    <cfRule type="expression" dxfId="7924" priority="12233">
      <formula>#REF! = "produs"</formula>
    </cfRule>
    <cfRule type="expression" dxfId="7923" priority="12234">
      <formula>#REF! = "obiectiv"</formula>
    </cfRule>
  </conditionalFormatting>
  <conditionalFormatting sqref="J1100">
    <cfRule type="expression" dxfId="7922" priority="12135">
      <formula>#REF! = "produs"</formula>
    </cfRule>
    <cfRule type="expression" dxfId="7921" priority="12136">
      <formula>#REF! = "obiectiv"</formula>
    </cfRule>
  </conditionalFormatting>
  <conditionalFormatting sqref="J2222">
    <cfRule type="expression" dxfId="7920" priority="13455">
      <formula>#REF! = "produs"</formula>
    </cfRule>
    <cfRule type="expression" dxfId="7919" priority="13456">
      <formula>#REF! = "obiectiv"</formula>
    </cfRule>
  </conditionalFormatting>
  <conditionalFormatting sqref="J1173">
    <cfRule type="expression" dxfId="7918" priority="12113">
      <formula>#REF! = "produs"</formula>
    </cfRule>
    <cfRule type="expression" dxfId="7917" priority="12114">
      <formula>#REF! = "obiectiv"</formula>
    </cfRule>
  </conditionalFormatting>
  <conditionalFormatting sqref="J1076 J1083:J1084 J1081 J1079">
    <cfRule type="expression" dxfId="7916" priority="12189">
      <formula>#REF! = "produs"</formula>
    </cfRule>
    <cfRule type="expression" dxfId="7915" priority="12190">
      <formula>#REF! = "obiectiv"</formula>
    </cfRule>
  </conditionalFormatting>
  <conditionalFormatting sqref="W1076:IU1077 W1079:IU1084">
    <cfRule type="expression" dxfId="7914" priority="12193">
      <formula>#REF! = "produs"</formula>
    </cfRule>
    <cfRule type="expression" dxfId="7913" priority="12194">
      <formula>#REF! = "obiectiv"</formula>
    </cfRule>
  </conditionalFormatting>
  <conditionalFormatting sqref="L1255:P1255">
    <cfRule type="expression" dxfId="7912" priority="12291">
      <formula>#REF! = "produs"</formula>
    </cfRule>
    <cfRule type="expression" dxfId="7911" priority="12292">
      <formula>#REF! = "obiectiv"</formula>
    </cfRule>
  </conditionalFormatting>
  <conditionalFormatting sqref="L1412:U1421 Q1403:U1403 Q1411:U1411">
    <cfRule type="expression" dxfId="7910" priority="12077">
      <formula>#REF! = "produs"</formula>
    </cfRule>
    <cfRule type="expression" dxfId="7909" priority="12078">
      <formula>#REF! = "obiectiv"</formula>
    </cfRule>
  </conditionalFormatting>
  <conditionalFormatting sqref="J845">
    <cfRule type="expression" dxfId="7908" priority="12443">
      <formula>#REF! = "produs"</formula>
    </cfRule>
    <cfRule type="expression" dxfId="7907" priority="12444">
      <formula>#REF! = "obiectiv"</formula>
    </cfRule>
  </conditionalFormatting>
  <conditionalFormatting sqref="J1096 J1103:J1106 J1101 J1099 J1108:J1116 J1118:J1126 J1128:J1134">
    <cfRule type="expression" dxfId="7906" priority="12145">
      <formula>#REF! = "produs"</formula>
    </cfRule>
    <cfRule type="expression" dxfId="7905" priority="12146">
      <formula>#REF! = "obiectiv"</formula>
    </cfRule>
  </conditionalFormatting>
  <conditionalFormatting sqref="J1169 J1176:J1177 J1174 J1172">
    <cfRule type="expression" dxfId="7904" priority="12123">
      <formula>#REF! = "produs"</formula>
    </cfRule>
    <cfRule type="expression" dxfId="7903" priority="12124">
      <formula>#REF! = "obiectiv"</formula>
    </cfRule>
  </conditionalFormatting>
  <conditionalFormatting sqref="J865">
    <cfRule type="expression" dxfId="7902" priority="12399">
      <formula>#REF! = "produs"</formula>
    </cfRule>
    <cfRule type="expression" dxfId="7901" priority="12400">
      <formula>#REF! = "obiectiv"</formula>
    </cfRule>
  </conditionalFormatting>
  <conditionalFormatting sqref="K2218:K2219 K2221:K2226">
    <cfRule type="expression" dxfId="7900" priority="13467">
      <formula>#REF! = "produs"</formula>
    </cfRule>
    <cfRule type="expression" dxfId="7899" priority="13468">
      <formula>#REF! = "obiectiv"</formula>
    </cfRule>
  </conditionalFormatting>
  <conditionalFormatting sqref="L2226:U2226 L2225:P2225 L2219:P2219 L2218:U2218 L2221:P2222">
    <cfRule type="expression" dxfId="7898" priority="13463">
      <formula>#REF! = "produs"</formula>
    </cfRule>
    <cfRule type="expression" dxfId="7897" priority="13464">
      <formula>#REF! = "obiectiv"</formula>
    </cfRule>
  </conditionalFormatting>
  <conditionalFormatting sqref="L2224:P2224">
    <cfRule type="expression" dxfId="7896" priority="13459">
      <formula>#REF! = "produs"</formula>
    </cfRule>
    <cfRule type="expression" dxfId="7895" priority="13460">
      <formula>#REF! = "obiectiv"</formula>
    </cfRule>
  </conditionalFormatting>
  <conditionalFormatting sqref="L2223:P2223">
    <cfRule type="expression" dxfId="7894" priority="13457">
      <formula>#REF! = "produs"</formula>
    </cfRule>
    <cfRule type="expression" dxfId="7893" priority="13458">
      <formula>#REF! = "obiectiv"</formula>
    </cfRule>
  </conditionalFormatting>
  <conditionalFormatting sqref="K2220:P2220 W2220:IU2220">
    <cfRule type="expression" dxfId="7892" priority="13453">
      <formula>#REF! = "produs"</formula>
    </cfRule>
    <cfRule type="expression" dxfId="7891" priority="13454">
      <formula>#REF! = "obiectiv"</formula>
    </cfRule>
  </conditionalFormatting>
  <conditionalFormatting sqref="J1419">
    <cfRule type="expression" dxfId="7890" priority="12031">
      <formula>#REF! = "produs"</formula>
    </cfRule>
    <cfRule type="expression" dxfId="7889" priority="12032">
      <formula>#REF! = "obiectiv"</formula>
    </cfRule>
  </conditionalFormatting>
  <conditionalFormatting sqref="J1311 J1318:J1319 J1316 J1314">
    <cfRule type="expression" dxfId="7888" priority="11969">
      <formula>#REF! = "produs"</formula>
    </cfRule>
    <cfRule type="expression" dxfId="7887" priority="11970">
      <formula>#REF! = "obiectiv"</formula>
    </cfRule>
  </conditionalFormatting>
  <conditionalFormatting sqref="K1232 W1232:IU1232">
    <cfRule type="expression" dxfId="7886" priority="12309">
      <formula>#REF! = "produs"</formula>
    </cfRule>
    <cfRule type="expression" dxfId="7885" priority="12310">
      <formula>#REF! = "obiectiv"</formula>
    </cfRule>
  </conditionalFormatting>
  <conditionalFormatting sqref="L1387:P1387">
    <cfRule type="expression" dxfId="7884" priority="11983">
      <formula>#REF! = "produs"</formula>
    </cfRule>
    <cfRule type="expression" dxfId="7883" priority="11984">
      <formula>#REF! = "obiectiv"</formula>
    </cfRule>
  </conditionalFormatting>
  <conditionalFormatting sqref="K915:P915 W915:IU915">
    <cfRule type="expression" dxfId="7882" priority="11759">
      <formula>#REF! = "produs"</formula>
    </cfRule>
    <cfRule type="expression" dxfId="7881" priority="11760">
      <formula>#REF! = "obiectiv"</formula>
    </cfRule>
  </conditionalFormatting>
  <conditionalFormatting sqref="L849:U849 L848:P848 L841:U841">
    <cfRule type="expression" dxfId="7880" priority="12451">
      <formula>#REF! = "produs"</formula>
    </cfRule>
    <cfRule type="expression" dxfId="7879" priority="12452">
      <formula>#REF! = "obiectiv"</formula>
    </cfRule>
  </conditionalFormatting>
  <conditionalFormatting sqref="J1264">
    <cfRule type="expression" dxfId="7878" priority="12267">
      <formula>#REF! = "produs"</formula>
    </cfRule>
    <cfRule type="expression" dxfId="7877" priority="12268">
      <formula>#REF! = "obiectiv"</formula>
    </cfRule>
  </conditionalFormatting>
  <conditionalFormatting sqref="W1169:IU1170 W1172:IU1177">
    <cfRule type="expression" dxfId="7876" priority="12127">
      <formula>#REF! = "produs"</formula>
    </cfRule>
    <cfRule type="expression" dxfId="7875" priority="12128">
      <formula>#REF! = "obiectiv"</formula>
    </cfRule>
  </conditionalFormatting>
  <conditionalFormatting sqref="W1672:IU1673 W1675:IU1680">
    <cfRule type="expression" dxfId="7874" priority="11181">
      <formula>#REF! = "produs"</formula>
    </cfRule>
    <cfRule type="expression" dxfId="7873" priority="11182">
      <formula>#REF! = "obiectiv"</formula>
    </cfRule>
  </conditionalFormatting>
  <conditionalFormatting sqref="J1344">
    <cfRule type="expression" dxfId="7872" priority="12043">
      <formula>#REF! = "produs"</formula>
    </cfRule>
    <cfRule type="expression" dxfId="7871" priority="12044">
      <formula>#REF! = "obiectiv"</formula>
    </cfRule>
  </conditionalFormatting>
  <conditionalFormatting sqref="J1234">
    <cfRule type="expression" dxfId="7870" priority="12311">
      <formula>#REF! = "produs"</formula>
    </cfRule>
    <cfRule type="expression" dxfId="7869" priority="12312">
      <formula>#REF! = "obiectiv"</formula>
    </cfRule>
  </conditionalFormatting>
  <conditionalFormatting sqref="K1046:K1047 K1049:K1054">
    <cfRule type="expression" dxfId="7868" priority="12235">
      <formula>#REF! = "produs"</formula>
    </cfRule>
    <cfRule type="expression" dxfId="7867" priority="12236">
      <formula>#REF! = "obiectiv"</formula>
    </cfRule>
  </conditionalFormatting>
  <conditionalFormatting sqref="W851:IU852 W854:IU859">
    <cfRule type="expression" dxfId="7866" priority="12435">
      <formula>#REF! = "produs"</formula>
    </cfRule>
    <cfRule type="expression" dxfId="7865" priority="12436">
      <formula>#REF! = "obiectiv"</formula>
    </cfRule>
  </conditionalFormatting>
  <conditionalFormatting sqref="L1256:P1256">
    <cfRule type="expression" dxfId="7864" priority="12293">
      <formula>#REF! = "produs"</formula>
    </cfRule>
    <cfRule type="expression" dxfId="7863" priority="12294">
      <formula>#REF! = "obiectiv"</formula>
    </cfRule>
  </conditionalFormatting>
  <conditionalFormatting sqref="J1254">
    <cfRule type="expression" dxfId="7862" priority="12289">
      <formula>#REF! = "produs"</formula>
    </cfRule>
    <cfRule type="expression" dxfId="7861" priority="12290">
      <formula>#REF! = "obiectiv"</formula>
    </cfRule>
  </conditionalFormatting>
  <conditionalFormatting sqref="K1066:K1067 K1069:K1074">
    <cfRule type="expression" dxfId="7860" priority="12213">
      <formula>#REF! = "produs"</formula>
    </cfRule>
    <cfRule type="expression" dxfId="7859" priority="12214">
      <formula>#REF! = "obiectiv"</formula>
    </cfRule>
  </conditionalFormatting>
  <conditionalFormatting sqref="K1342:K1343 K1345:K1350">
    <cfRule type="expression" dxfId="7858" priority="12059">
      <formula>#REF! = "produs"</formula>
    </cfRule>
    <cfRule type="expression" dxfId="7857" priority="12060">
      <formula>#REF! = "obiectiv"</formula>
    </cfRule>
  </conditionalFormatting>
  <conditionalFormatting sqref="K1230:K1231 K1233:K1238">
    <cfRule type="expression" dxfId="7856" priority="12323">
      <formula>#REF! = "produs"</formula>
    </cfRule>
    <cfRule type="expression" dxfId="7855" priority="12324">
      <formula>#REF! = "obiectiv"</formula>
    </cfRule>
  </conditionalFormatting>
  <conditionalFormatting sqref="J1236">
    <cfRule type="expression" dxfId="7854" priority="12317">
      <formula>#REF! = "produs"</formula>
    </cfRule>
    <cfRule type="expression" dxfId="7853" priority="12318">
      <formula>#REF! = "obiectiv"</formula>
    </cfRule>
  </conditionalFormatting>
  <conditionalFormatting sqref="L1071:P1071">
    <cfRule type="expression" dxfId="7852" priority="12203">
      <formula>#REF! = "produs"</formula>
    </cfRule>
    <cfRule type="expression" dxfId="7851" priority="12204">
      <formula>#REF! = "obiectiv"</formula>
    </cfRule>
  </conditionalFormatting>
  <conditionalFormatting sqref="W1088:IU1088">
    <cfRule type="expression" dxfId="7850" priority="12155">
      <formula>#REF! = "produs"</formula>
    </cfRule>
    <cfRule type="expression" dxfId="7849" priority="12156">
      <formula>#REF! = "obiectiv"</formula>
    </cfRule>
  </conditionalFormatting>
  <conditionalFormatting sqref="J1232">
    <cfRule type="expression" dxfId="7848" priority="12307">
      <formula>#REF! = "produs"</formula>
    </cfRule>
    <cfRule type="expression" dxfId="7847" priority="12308">
      <formula>#REF! = "obiectiv"</formula>
    </cfRule>
  </conditionalFormatting>
  <conditionalFormatting sqref="W1046:IU1047 W1049:IU1064">
    <cfRule type="expression" dxfId="7846" priority="12237">
      <formula>#REF! = "produs"</formula>
    </cfRule>
    <cfRule type="expression" dxfId="7845" priority="12238">
      <formula>#REF! = "obiectiv"</formula>
    </cfRule>
  </conditionalFormatting>
  <conditionalFormatting sqref="K1250:K1251 K1253:K1258">
    <cfRule type="expression" dxfId="7844" priority="12301">
      <formula>#REF! = "produs"</formula>
    </cfRule>
    <cfRule type="expression" dxfId="7843" priority="12302">
      <formula>#REF! = "obiectiv"</formula>
    </cfRule>
  </conditionalFormatting>
  <conditionalFormatting sqref="J2032">
    <cfRule type="expression" dxfId="7842" priority="11933">
      <formula>#REF! = "produs"</formula>
    </cfRule>
    <cfRule type="expression" dxfId="7841" priority="11934">
      <formula>#REF! = "obiectiv"</formula>
    </cfRule>
  </conditionalFormatting>
  <conditionalFormatting sqref="J1256">
    <cfRule type="expression" dxfId="7840" priority="12295">
      <formula>#REF! = "produs"</formula>
    </cfRule>
    <cfRule type="expression" dxfId="7839" priority="12296">
      <formula>#REF! = "obiectiv"</formula>
    </cfRule>
  </conditionalFormatting>
  <conditionalFormatting sqref="L1081:P1081">
    <cfRule type="expression" dxfId="7838" priority="12181">
      <formula>#REF! = "produs"</formula>
    </cfRule>
    <cfRule type="expression" dxfId="7837" priority="12182">
      <formula>#REF! = "obiectiv"</formula>
    </cfRule>
  </conditionalFormatting>
  <conditionalFormatting sqref="W1098:IU1098 K1098:P1098">
    <cfRule type="expression" dxfId="7836" priority="12133">
      <formula>#REF! = "produs"</formula>
    </cfRule>
    <cfRule type="expression" dxfId="7835" priority="12134">
      <formula>#REF! = "obiectiv"</formula>
    </cfRule>
  </conditionalFormatting>
  <conditionalFormatting sqref="J1252">
    <cfRule type="expression" dxfId="7834" priority="12285">
      <formula>#REF! = "produs"</formula>
    </cfRule>
    <cfRule type="expression" dxfId="7833" priority="12286">
      <formula>#REF! = "obiectiv"</formula>
    </cfRule>
  </conditionalFormatting>
  <conditionalFormatting sqref="K1260:K1261 K1263:K1268">
    <cfRule type="expression" dxfId="7832" priority="12279">
      <formula>#REF! = "produs"</formula>
    </cfRule>
    <cfRule type="expression" dxfId="7831" priority="12280">
      <formula>#REF! = "obiectiv"</formula>
    </cfRule>
  </conditionalFormatting>
  <conditionalFormatting sqref="J2055">
    <cfRule type="expression" dxfId="7830" priority="11915">
      <formula>#REF! = "produs"</formula>
    </cfRule>
    <cfRule type="expression" dxfId="7829" priority="11916">
      <formula>#REF! = "obiectiv"</formula>
    </cfRule>
  </conditionalFormatting>
  <conditionalFormatting sqref="J1266">
    <cfRule type="expression" dxfId="7828" priority="12273">
      <formula>#REF! = "produs"</formula>
    </cfRule>
    <cfRule type="expression" dxfId="7827" priority="12274">
      <formula>#REF! = "obiectiv"</formula>
    </cfRule>
  </conditionalFormatting>
  <conditionalFormatting sqref="L1266:P1266">
    <cfRule type="expression" dxfId="7826" priority="12271">
      <formula>#REF! = "produs"</formula>
    </cfRule>
    <cfRule type="expression" dxfId="7825" priority="12272">
      <formula>#REF! = "obiectiv"</formula>
    </cfRule>
  </conditionalFormatting>
  <conditionalFormatting sqref="J1407">
    <cfRule type="expression" dxfId="7824" priority="12069">
      <formula>#REF! = "produs"</formula>
    </cfRule>
    <cfRule type="expression" dxfId="7823" priority="12070">
      <formula>#REF! = "obiectiv"</formula>
    </cfRule>
  </conditionalFormatting>
  <conditionalFormatting sqref="L1101:P1101">
    <cfRule type="expression" dxfId="7822" priority="12137">
      <formula>#REF! = "produs"</formula>
    </cfRule>
    <cfRule type="expression" dxfId="7821" priority="12138">
      <formula>#REF! = "obiectiv"</formula>
    </cfRule>
  </conditionalFormatting>
  <conditionalFormatting sqref="K1171 W1171:IU1171">
    <cfRule type="expression" dxfId="7820" priority="12111">
      <formula>#REF! = "produs"</formula>
    </cfRule>
    <cfRule type="expression" dxfId="7819" priority="12112">
      <formula>#REF! = "obiectiv"</formula>
    </cfRule>
  </conditionalFormatting>
  <conditionalFormatting sqref="J1262">
    <cfRule type="expression" dxfId="7818" priority="12263">
      <formula>#REF! = "produs"</formula>
    </cfRule>
    <cfRule type="expression" dxfId="7817" priority="12264">
      <formula>#REF! = "obiectiv"</formula>
    </cfRule>
  </conditionalFormatting>
  <conditionalFormatting sqref="K1076:K1077 K1079:K1084">
    <cfRule type="expression" dxfId="7816" priority="12191">
      <formula>#REF! = "produs"</formula>
    </cfRule>
    <cfRule type="expression" dxfId="7815" priority="12192">
      <formula>#REF! = "obiectiv"</formula>
    </cfRule>
  </conditionalFormatting>
  <conditionalFormatting sqref="L1084:U1084 L1083:P1083 L1079:P1080 L1076:U1076">
    <cfRule type="expression" dxfId="7814" priority="12187">
      <formula>#REF! = "produs"</formula>
    </cfRule>
    <cfRule type="expression" dxfId="7813" priority="12188">
      <formula>#REF! = "obiectiv"</formula>
    </cfRule>
  </conditionalFormatting>
  <conditionalFormatting sqref="K872 K874:K879">
    <cfRule type="expression" dxfId="7812" priority="12389">
      <formula>#REF! = "produs"</formula>
    </cfRule>
    <cfRule type="expression" dxfId="7811" priority="12390">
      <formula>#REF! = "obiectiv"</formula>
    </cfRule>
  </conditionalFormatting>
  <conditionalFormatting sqref="J821 J828:J829 J826 J824">
    <cfRule type="expression" dxfId="7810" priority="12497">
      <formula>#REF! = "produs"</formula>
    </cfRule>
    <cfRule type="expression" dxfId="7809" priority="12498">
      <formula>#REF! = "obiectiv"</formula>
    </cfRule>
  </conditionalFormatting>
  <conditionalFormatting sqref="L1348:P1348">
    <cfRule type="expression" dxfId="7808" priority="12051">
      <formula>#REF! = "produs"</formula>
    </cfRule>
    <cfRule type="expression" dxfId="7807" priority="12052">
      <formula>#REF! = "obiectiv"</formula>
    </cfRule>
  </conditionalFormatting>
  <conditionalFormatting sqref="J1080">
    <cfRule type="expression" dxfId="7806" priority="12179">
      <formula>#REF! = "produs"</formula>
    </cfRule>
    <cfRule type="expression" dxfId="7805" priority="12180">
      <formula>#REF! = "obiectiv"</formula>
    </cfRule>
  </conditionalFormatting>
  <conditionalFormatting sqref="W1742:IU1743 W1745:IU1760">
    <cfRule type="expression" dxfId="7804" priority="11203">
      <formula>#REF! = "produs"</formula>
    </cfRule>
    <cfRule type="expression" dxfId="7803" priority="11204">
      <formula>#REF! = "obiectiv"</formula>
    </cfRule>
  </conditionalFormatting>
  <conditionalFormatting sqref="J1078">
    <cfRule type="expression" dxfId="7802" priority="12175">
      <formula>#REF! = "produs"</formula>
    </cfRule>
    <cfRule type="expression" dxfId="7801" priority="12176">
      <formula>#REF! = "obiectiv"</formula>
    </cfRule>
  </conditionalFormatting>
  <conditionalFormatting sqref="W1086:IU1087 W1089:IU1094">
    <cfRule type="expression" dxfId="7800" priority="12171">
      <formula>#REF! = "produs"</formula>
    </cfRule>
    <cfRule type="expression" dxfId="7799" priority="12172">
      <formula>#REF! = "obiectiv"</formula>
    </cfRule>
  </conditionalFormatting>
  <conditionalFormatting sqref="J1403 J1410:J1413 J1408 J1406 J1415:J1421">
    <cfRule type="expression" dxfId="7798" priority="12079">
      <formula>#REF! = "produs"</formula>
    </cfRule>
    <cfRule type="expression" dxfId="7797" priority="12080">
      <formula>#REF! = "obiectiv"</formula>
    </cfRule>
  </conditionalFormatting>
  <conditionalFormatting sqref="K1459:P1459 W1459:IU1459">
    <cfRule type="expression" dxfId="7796" priority="11473">
      <formula>#REF! = "produs"</formula>
    </cfRule>
    <cfRule type="expression" dxfId="7795" priority="11474">
      <formula>#REF! = "obiectiv"</formula>
    </cfRule>
  </conditionalFormatting>
  <conditionalFormatting sqref="J1205">
    <cfRule type="expression" dxfId="7794" priority="11811">
      <formula>#REF! = "produs"</formula>
    </cfRule>
    <cfRule type="expression" dxfId="7793" priority="11812">
      <formula>#REF! = "obiectiv"</formula>
    </cfRule>
  </conditionalFormatting>
  <conditionalFormatting sqref="L1317:P1317">
    <cfRule type="expression" dxfId="7792" priority="11963">
      <formula>#REF! = "produs"</formula>
    </cfRule>
    <cfRule type="expression" dxfId="7791" priority="11964">
      <formula>#REF! = "obiectiv"</formula>
    </cfRule>
  </conditionalFormatting>
  <conditionalFormatting sqref="K1344:P1344 W1344:IU1344">
    <cfRule type="expression" dxfId="7790" priority="12045">
      <formula>#REF! = "produs"</formula>
    </cfRule>
    <cfRule type="expression" dxfId="7789" priority="12046">
      <formula>#REF! = "obiectiv"</formula>
    </cfRule>
  </conditionalFormatting>
  <conditionalFormatting sqref="K1313:P1313 W1313:IU1313">
    <cfRule type="expression" dxfId="7788" priority="11957">
      <formula>#REF! = "produs"</formula>
    </cfRule>
    <cfRule type="expression" dxfId="7787" priority="11958">
      <formula>#REF! = "obiectiv"</formula>
    </cfRule>
  </conditionalFormatting>
  <conditionalFormatting sqref="W1096:IU1097 W1099:IU1134">
    <cfRule type="expression" dxfId="7786" priority="12149">
      <formula>#REF! = "produs"</formula>
    </cfRule>
    <cfRule type="expression" dxfId="7785" priority="12150">
      <formula>#REF! = "obiectiv"</formula>
    </cfRule>
  </conditionalFormatting>
  <conditionalFormatting sqref="J1072">
    <cfRule type="expression" dxfId="7784" priority="12207">
      <formula>#REF! = "produs"</formula>
    </cfRule>
    <cfRule type="expression" dxfId="7783" priority="12208">
      <formula>#REF! = "obiectiv"</formula>
    </cfRule>
  </conditionalFormatting>
  <conditionalFormatting sqref="L1072:P1072">
    <cfRule type="expression" dxfId="7782" priority="12205">
      <formula>#REF! = "produs"</formula>
    </cfRule>
    <cfRule type="expression" dxfId="7781" priority="12206">
      <formula>#REF! = "obiectiv"</formula>
    </cfRule>
  </conditionalFormatting>
  <conditionalFormatting sqref="J1070">
    <cfRule type="expression" dxfId="7780" priority="12201">
      <formula>#REF! = "produs"</formula>
    </cfRule>
    <cfRule type="expression" dxfId="7779" priority="12202">
      <formula>#REF! = "obiectiv"</formula>
    </cfRule>
  </conditionalFormatting>
  <conditionalFormatting sqref="W861:IU862 W864:IU869">
    <cfRule type="expression" dxfId="7778" priority="12413">
      <formula>#REF! = "produs"</formula>
    </cfRule>
    <cfRule type="expression" dxfId="7777" priority="12414">
      <formula>#REF! = "obiectiv"</formula>
    </cfRule>
  </conditionalFormatting>
  <conditionalFormatting sqref="J1068">
    <cfRule type="expression" dxfId="7776" priority="12197">
      <formula>#REF! = "produs"</formula>
    </cfRule>
    <cfRule type="expression" dxfId="7775" priority="12198">
      <formula>#REF! = "obiectiv"</formula>
    </cfRule>
  </conditionalFormatting>
  <conditionalFormatting sqref="K1169:K1170 K1172:K1177">
    <cfRule type="expression" dxfId="7774" priority="12125">
      <formula>#REF! = "produs"</formula>
    </cfRule>
    <cfRule type="expression" dxfId="7773" priority="12126">
      <formula>#REF! = "obiectiv"</formula>
    </cfRule>
  </conditionalFormatting>
  <conditionalFormatting sqref="W1209:IU1210 W1212:IU1217">
    <cfRule type="expression" dxfId="7772" priority="11797">
      <formula>#REF! = "produs"</formula>
    </cfRule>
    <cfRule type="expression" dxfId="7771" priority="11798">
      <formula>#REF! = "obiectiv"</formula>
    </cfRule>
  </conditionalFormatting>
  <conditionalFormatting sqref="W1342:IU1343 W1345:IU1350">
    <cfRule type="expression" dxfId="7770" priority="12061">
      <formula>#REF! = "produs"</formula>
    </cfRule>
    <cfRule type="expression" dxfId="7769" priority="12062">
      <formula>#REF! = "obiectiv"</formula>
    </cfRule>
  </conditionalFormatting>
  <conditionalFormatting sqref="J1315">
    <cfRule type="expression" dxfId="7768" priority="11959">
      <formula>#REF! = "produs"</formula>
    </cfRule>
    <cfRule type="expression" dxfId="7767" priority="11960">
      <formula>#REF! = "obiectiv"</formula>
    </cfRule>
  </conditionalFormatting>
  <conditionalFormatting sqref="L1350:U1350 L1349:P1349 L1345:P1346 L1342:U1342 L1343:P1343">
    <cfRule type="expression" dxfId="7766" priority="12055">
      <formula>#REF! = "produs"</formula>
    </cfRule>
    <cfRule type="expression" dxfId="7765" priority="12056">
      <formula>#REF! = "obiectiv"</formula>
    </cfRule>
  </conditionalFormatting>
  <conditionalFormatting sqref="L1082:P1082">
    <cfRule type="expression" dxfId="7764" priority="12183">
      <formula>#REF! = "produs"</formula>
    </cfRule>
    <cfRule type="expression" dxfId="7763" priority="12184">
      <formula>#REF! = "obiectiv"</formula>
    </cfRule>
  </conditionalFormatting>
  <conditionalFormatting sqref="L1316:P1316">
    <cfRule type="expression" dxfId="7762" priority="11961">
      <formula>#REF! = "produs"</formula>
    </cfRule>
    <cfRule type="expression" dxfId="7761" priority="11962">
      <formula>#REF! = "obiectiv"</formula>
    </cfRule>
  </conditionalFormatting>
  <conditionalFormatting sqref="L1347:P1347">
    <cfRule type="expression" dxfId="7760" priority="12049">
      <formula>#REF! = "produs"</formula>
    </cfRule>
    <cfRule type="expression" dxfId="7759" priority="12050">
      <formula>#REF! = "obiectiv"</formula>
    </cfRule>
  </conditionalFormatting>
  <conditionalFormatting sqref="L1462:P1462">
    <cfRule type="expression" dxfId="7758" priority="11477">
      <formula>#REF! = "produs"</formula>
    </cfRule>
    <cfRule type="expression" dxfId="7757" priority="11478">
      <formula>#REF! = "obiectiv"</formula>
    </cfRule>
  </conditionalFormatting>
  <conditionalFormatting sqref="W1311:IU1312 W1314:IU1319">
    <cfRule type="expression" dxfId="7756" priority="11973">
      <formula>#REF! = "produs"</formula>
    </cfRule>
    <cfRule type="expression" dxfId="7755" priority="11974">
      <formula>#REF! = "obiectiv"</formula>
    </cfRule>
  </conditionalFormatting>
  <conditionalFormatting sqref="J1413 J1420:J1421 J1418 J1416">
    <cfRule type="expression" dxfId="7754" priority="12035">
      <formula>#REF! = "produs"</formula>
    </cfRule>
    <cfRule type="expression" dxfId="7753" priority="12036">
      <formula>#REF! = "obiectiv"</formula>
    </cfRule>
  </conditionalFormatting>
  <conditionalFormatting sqref="W1413:IU1414 W1416:IU1421">
    <cfRule type="expression" dxfId="7752" priority="12039">
      <formula>#REF! = "produs"</formula>
    </cfRule>
    <cfRule type="expression" dxfId="7751" priority="12040">
      <formula>#REF! = "obiectiv"</formula>
    </cfRule>
  </conditionalFormatting>
  <conditionalFormatting sqref="J851 J858:J859 J856 J854">
    <cfRule type="expression" dxfId="7750" priority="12431">
      <formula>#REF! = "produs"</formula>
    </cfRule>
    <cfRule type="expression" dxfId="7749" priority="12432">
      <formula>#REF! = "obiectiv"</formula>
    </cfRule>
  </conditionalFormatting>
  <conditionalFormatting sqref="L2038:U2038 L2037:P2037 L2030:U2030 L2031:P2031 L2033:P2034">
    <cfRule type="expression" dxfId="7748" priority="11945">
      <formula>#REF! = "produs"</formula>
    </cfRule>
    <cfRule type="expression" dxfId="7747" priority="11946">
      <formula>#REF! = "obiectiv"</formula>
    </cfRule>
  </conditionalFormatting>
  <conditionalFormatting sqref="W1199:IU1200 W1202:IU1207">
    <cfRule type="expression" dxfId="7746" priority="11819">
      <formula>#REF! = "produs"</formula>
    </cfRule>
    <cfRule type="expression" dxfId="7745" priority="11820">
      <formula>#REF! = "obiectiv"</formula>
    </cfRule>
  </conditionalFormatting>
  <conditionalFormatting sqref="K1405 W1405:IU1405">
    <cfRule type="expression" dxfId="7744" priority="12067">
      <formula>#REF! = "produs"</formula>
    </cfRule>
    <cfRule type="expression" dxfId="7743" priority="12068">
      <formula>#REF! = "obiectiv"</formula>
    </cfRule>
  </conditionalFormatting>
  <conditionalFormatting sqref="K1403:K1404 K1406:K1421">
    <cfRule type="expression" dxfId="7742" priority="12081">
      <formula>#REF! = "produs"</formula>
    </cfRule>
    <cfRule type="expression" dxfId="7741" priority="12082">
      <formula>#REF! = "obiectiv"</formula>
    </cfRule>
  </conditionalFormatting>
  <conditionalFormatting sqref="K1096:K1097 K1099:K1104 L1125:P1125 K1111:K1134">
    <cfRule type="expression" dxfId="7740" priority="12147">
      <formula>#REF! = "produs"</formula>
    </cfRule>
    <cfRule type="expression" dxfId="7739" priority="12148">
      <formula>#REF! = "obiectiv"</formula>
    </cfRule>
  </conditionalFormatting>
  <conditionalFormatting sqref="J861 J868:J869 J866 J864">
    <cfRule type="expression" dxfId="7738" priority="12409">
      <formula>#REF! = "produs"</formula>
    </cfRule>
    <cfRule type="expression" dxfId="7737" priority="12410">
      <formula>#REF! = "obiectiv"</formula>
    </cfRule>
  </conditionalFormatting>
  <conditionalFormatting sqref="Q2059:U2059 Q2051:U2051">
    <cfRule type="expression" dxfId="7736" priority="11923">
      <formula>#REF! = "produs"</formula>
    </cfRule>
    <cfRule type="expression" dxfId="7735" priority="11924">
      <formula>#REF! = "obiectiv"</formula>
    </cfRule>
  </conditionalFormatting>
  <conditionalFormatting sqref="J1102">
    <cfRule type="expression" dxfId="7734" priority="12141">
      <formula>#REF! = "produs"</formula>
    </cfRule>
    <cfRule type="expression" dxfId="7733" priority="12142">
      <formula>#REF! = "obiectiv"</formula>
    </cfRule>
  </conditionalFormatting>
  <conditionalFormatting sqref="L1102:P1102">
    <cfRule type="expression" dxfId="7732" priority="12139">
      <formula>#REF! = "produs"</formula>
    </cfRule>
    <cfRule type="expression" dxfId="7731" priority="12140">
      <formula>#REF! = "obiectiv"</formula>
    </cfRule>
  </conditionalFormatting>
  <conditionalFormatting sqref="J1203">
    <cfRule type="expression" dxfId="7730" priority="11805">
      <formula>#REF! = "produs"</formula>
    </cfRule>
    <cfRule type="expression" dxfId="7729" priority="11806">
      <formula>#REF! = "obiectiv"</formula>
    </cfRule>
  </conditionalFormatting>
  <conditionalFormatting sqref="J1098">
    <cfRule type="expression" dxfId="7728" priority="12131">
      <formula>#REF! = "produs"</formula>
    </cfRule>
    <cfRule type="expression" dxfId="7727" priority="12132">
      <formula>#REF! = "obiectiv"</formula>
    </cfRule>
  </conditionalFormatting>
  <conditionalFormatting sqref="L919:P919">
    <cfRule type="expression" dxfId="7726" priority="11765">
      <formula>#REF! = "produs"</formula>
    </cfRule>
    <cfRule type="expression" dxfId="7725" priority="11766">
      <formula>#REF! = "obiectiv"</formula>
    </cfRule>
  </conditionalFormatting>
  <conditionalFormatting sqref="W2030:IU2031 W2033:IU2038">
    <cfRule type="expression" dxfId="7724" priority="11951">
      <formula>#REF! = "produs"</formula>
    </cfRule>
    <cfRule type="expression" dxfId="7723" priority="11952">
      <formula>#REF! = "obiectiv"</formula>
    </cfRule>
  </conditionalFormatting>
  <conditionalFormatting sqref="W1382:IU1383 W1385:IU1390 W1401:IU1421">
    <cfRule type="expression" dxfId="7722" priority="11995">
      <formula>#REF! = "produs"</formula>
    </cfRule>
    <cfRule type="expression" dxfId="7721" priority="11996">
      <formula>#REF! = "obiectiv"</formula>
    </cfRule>
  </conditionalFormatting>
  <conditionalFormatting sqref="J871 J878:J879 J876 J874">
    <cfRule type="expression" dxfId="7720" priority="12387">
      <formula>#REF! = "produs"</formula>
    </cfRule>
    <cfRule type="expression" dxfId="7719" priority="12388">
      <formula>#REF! = "obiectiv"</formula>
    </cfRule>
  </conditionalFormatting>
  <conditionalFormatting sqref="J1175">
    <cfRule type="expression" dxfId="7718" priority="12119">
      <formula>#REF! = "produs"</formula>
    </cfRule>
    <cfRule type="expression" dxfId="7717" priority="12120">
      <formula>#REF! = "obiectiv"</formula>
    </cfRule>
  </conditionalFormatting>
  <conditionalFormatting sqref="L1463:P1463">
    <cfRule type="expression" dxfId="7716" priority="11479">
      <formula>#REF! = "produs"</formula>
    </cfRule>
    <cfRule type="expression" dxfId="7715" priority="11480">
      <formula>#REF! = "obiectiv"</formula>
    </cfRule>
  </conditionalFormatting>
  <conditionalFormatting sqref="J1171">
    <cfRule type="expression" dxfId="7714" priority="12109">
      <formula>#REF! = "produs"</formula>
    </cfRule>
    <cfRule type="expression" dxfId="7713" priority="12110">
      <formula>#REF! = "obiectiv"</formula>
    </cfRule>
  </conditionalFormatting>
  <conditionalFormatting sqref="K1413:K1414 K1416:K1421">
    <cfRule type="expression" dxfId="7712" priority="12037">
      <formula>#REF! = "produs"</formula>
    </cfRule>
    <cfRule type="expression" dxfId="7711" priority="12038">
      <formula>#REF! = "obiectiv"</formula>
    </cfRule>
  </conditionalFormatting>
  <conditionalFormatting sqref="J847">
    <cfRule type="expression" dxfId="7710" priority="12449">
      <formula>#REF! = "produs"</formula>
    </cfRule>
    <cfRule type="expression" dxfId="7709" priority="12450">
      <formula>#REF! = "obiectiv"</formula>
    </cfRule>
  </conditionalFormatting>
  <conditionalFormatting sqref="L1421:U1421 L1420:P1420 L1416:P1417 L1413:U1413 L1414:P1414">
    <cfRule type="expression" dxfId="7708" priority="12033">
      <formula>#REF! = "produs"</formula>
    </cfRule>
    <cfRule type="expression" dxfId="7707" priority="12034">
      <formula>#REF! = "obiectiv"</formula>
    </cfRule>
  </conditionalFormatting>
  <conditionalFormatting sqref="J1388">
    <cfRule type="expression" dxfId="7706" priority="11987">
      <formula>#REF! = "produs"</formula>
    </cfRule>
    <cfRule type="expression" dxfId="7705" priority="11988">
      <formula>#REF! = "obiectiv"</formula>
    </cfRule>
  </conditionalFormatting>
  <conditionalFormatting sqref="L1388:P1388">
    <cfRule type="expression" dxfId="7704" priority="11985">
      <formula>#REF! = "produs"</formula>
    </cfRule>
    <cfRule type="expression" dxfId="7703" priority="11986">
      <formula>#REF! = "obiectiv"</formula>
    </cfRule>
  </conditionalFormatting>
  <conditionalFormatting sqref="J1386">
    <cfRule type="expression" dxfId="7702" priority="11981">
      <formula>#REF! = "produs"</formula>
    </cfRule>
    <cfRule type="expression" dxfId="7701" priority="11982">
      <formula>#REF! = "obiectiv"</formula>
    </cfRule>
  </conditionalFormatting>
  <conditionalFormatting sqref="J853">
    <cfRule type="expression" dxfId="7700" priority="12417">
      <formula>#REF! = "produs"</formula>
    </cfRule>
    <cfRule type="expression" dxfId="7699" priority="12418">
      <formula>#REF! = "obiectiv"</formula>
    </cfRule>
  </conditionalFormatting>
  <conditionalFormatting sqref="J1201:J1209 J1211:J1217">
    <cfRule type="expression" dxfId="7698" priority="12343">
      <formula>#REF! = "produs"</formula>
    </cfRule>
    <cfRule type="expression" dxfId="7697" priority="12344">
      <formula>#REF! = "obiectiv"</formula>
    </cfRule>
  </conditionalFormatting>
  <conditionalFormatting sqref="K1311:K1312 K1314:K1319">
    <cfRule type="expression" dxfId="7696" priority="11971">
      <formula>#REF! = "produs"</formula>
    </cfRule>
    <cfRule type="expression" dxfId="7695" priority="11972">
      <formula>#REF! = "obiectiv"</formula>
    </cfRule>
  </conditionalFormatting>
  <conditionalFormatting sqref="J1384">
    <cfRule type="expression" dxfId="7694" priority="11977">
      <formula>#REF! = "produs"</formula>
    </cfRule>
    <cfRule type="expression" dxfId="7693" priority="11978">
      <formula>#REF! = "obiectiv"</formula>
    </cfRule>
  </conditionalFormatting>
  <conditionalFormatting sqref="J1317">
    <cfRule type="expression" dxfId="7692" priority="11965">
      <formula>#REF! = "produs"</formula>
    </cfRule>
    <cfRule type="expression" dxfId="7691" priority="11966">
      <formula>#REF! = "obiectiv"</formula>
    </cfRule>
  </conditionalFormatting>
  <conditionalFormatting sqref="J1313">
    <cfRule type="expression" dxfId="7690" priority="11955">
      <formula>#REF! = "produs"</formula>
    </cfRule>
    <cfRule type="expression" dxfId="7689" priority="11956">
      <formula>#REF! = "obiectiv"</formula>
    </cfRule>
  </conditionalFormatting>
  <conditionalFormatting sqref="Q1238:U1238 Q1230:U1230">
    <cfRule type="expression" dxfId="7688" priority="12319">
      <formula>#REF! = "produs"</formula>
    </cfRule>
    <cfRule type="expression" dxfId="7687" priority="12320">
      <formula>#REF! = "obiectiv"</formula>
    </cfRule>
  </conditionalFormatting>
  <conditionalFormatting sqref="J1128">
    <cfRule type="expression" dxfId="7686" priority="11845">
      <formula>#REF! = "produs"</formula>
    </cfRule>
    <cfRule type="expression" dxfId="7685" priority="11846">
      <formula>#REF! = "obiectiv"</formula>
    </cfRule>
  </conditionalFormatting>
  <conditionalFormatting sqref="J833">
    <cfRule type="expression" dxfId="7684" priority="12461">
      <formula>#REF! = "produs"</formula>
    </cfRule>
    <cfRule type="expression" dxfId="7683" priority="12462">
      <formula>#REF! = "obiectiv"</formula>
    </cfRule>
  </conditionalFormatting>
  <conditionalFormatting sqref="W841:IU842 W844:IU849">
    <cfRule type="expression" dxfId="7682" priority="12457">
      <formula>#REF! = "produs"</formula>
    </cfRule>
    <cfRule type="expression" dxfId="7681" priority="12458">
      <formula>#REF! = "obiectiv"</formula>
    </cfRule>
  </conditionalFormatting>
  <conditionalFormatting sqref="J855">
    <cfRule type="expression" dxfId="7680" priority="12421">
      <formula>#REF! = "produs"</formula>
    </cfRule>
    <cfRule type="expression" dxfId="7679" priority="12422">
      <formula>#REF! = "obiectiv"</formula>
    </cfRule>
  </conditionalFormatting>
  <conditionalFormatting sqref="J823:J831 J833:J841 J843:J851 J853:J861 J863:J871 J873:J879">
    <cfRule type="expression" dxfId="7678" priority="12761">
      <formula>#REF! = "produs"</formula>
    </cfRule>
    <cfRule type="expression" dxfId="7677" priority="12762">
      <formula>#REF! = "obiectiv"</formula>
    </cfRule>
  </conditionalFormatting>
  <conditionalFormatting sqref="K1209:K1210 K1212:K1217">
    <cfRule type="expression" dxfId="7676" priority="11795">
      <formula>#REF! = "produs"</formula>
    </cfRule>
    <cfRule type="expression" dxfId="7675" priority="11796">
      <formula>#REF! = "obiectiv"</formula>
    </cfRule>
  </conditionalFormatting>
  <conditionalFormatting sqref="L1319:U1319 L1318:P1318 L1314:P1315 L1311:U1311 L1312:P1312">
    <cfRule type="expression" dxfId="7674" priority="11967">
      <formula>#REF! = "produs"</formula>
    </cfRule>
    <cfRule type="expression" dxfId="7673" priority="11968">
      <formula>#REF! = "obiectiv"</formula>
    </cfRule>
  </conditionalFormatting>
  <conditionalFormatting sqref="J823">
    <cfRule type="expression" dxfId="7672" priority="12483">
      <formula>#REF! = "produs"</formula>
    </cfRule>
    <cfRule type="expression" dxfId="7671" priority="12484">
      <formula>#REF! = "obiectiv"</formula>
    </cfRule>
  </conditionalFormatting>
  <conditionalFormatting sqref="K833 W833:IU833">
    <cfRule type="expression" dxfId="7670" priority="12463">
      <formula>#REF! = "produs"</formula>
    </cfRule>
    <cfRule type="expression" dxfId="7669" priority="12464">
      <formula>#REF! = "obiectiv"</formula>
    </cfRule>
  </conditionalFormatting>
  <conditionalFormatting sqref="J867">
    <cfRule type="expression" dxfId="7668" priority="12405">
      <formula>#REF! = "produs"</formula>
    </cfRule>
    <cfRule type="expression" dxfId="7667" priority="12406">
      <formula>#REF! = "obiectiv"</formula>
    </cfRule>
  </conditionalFormatting>
  <conditionalFormatting sqref="L867:P867">
    <cfRule type="expression" dxfId="7666" priority="12403">
      <formula>#REF! = "produs"</formula>
    </cfRule>
    <cfRule type="expression" dxfId="7665" priority="12404">
      <formula>#REF! = "obiectiv"</formula>
    </cfRule>
  </conditionalFormatting>
  <conditionalFormatting sqref="L1596:P1596">
    <cfRule type="expression" dxfId="7664" priority="11259">
      <formula>#REF! = "produs"</formula>
    </cfRule>
    <cfRule type="expression" dxfId="7663" priority="11260">
      <formula>#REF! = "obiectiv"</formula>
    </cfRule>
  </conditionalFormatting>
  <conditionalFormatting sqref="J877">
    <cfRule type="expression" dxfId="7662" priority="12383">
      <formula>#REF! = "produs"</formula>
    </cfRule>
    <cfRule type="expression" dxfId="7661" priority="12384">
      <formula>#REF! = "obiectiv"</formula>
    </cfRule>
  </conditionalFormatting>
  <conditionalFormatting sqref="L829:U829 L828:P828 L821:U821 L822:P822 L824:P825">
    <cfRule type="expression" dxfId="7660" priority="12495">
      <formula>#REF! = "produs"</formula>
    </cfRule>
    <cfRule type="expression" dxfId="7659" priority="12496">
      <formula>#REF! = "obiectiv"</formula>
    </cfRule>
  </conditionalFormatting>
  <conditionalFormatting sqref="L826:P826">
    <cfRule type="expression" dxfId="7658" priority="12489">
      <formula>#REF! = "produs"</formula>
    </cfRule>
    <cfRule type="expression" dxfId="7657" priority="12490">
      <formula>#REF! = "obiectiv"</formula>
    </cfRule>
  </conditionalFormatting>
  <conditionalFormatting sqref="W823:IU823 K823:P823">
    <cfRule type="expression" dxfId="7656" priority="12485">
      <formula>#REF! = "produs"</formula>
    </cfRule>
    <cfRule type="expression" dxfId="7655" priority="12486">
      <formula>#REF! = "obiectiv"</formula>
    </cfRule>
  </conditionalFormatting>
  <conditionalFormatting sqref="L876:P876">
    <cfRule type="expression" dxfId="7654" priority="12379">
      <formula>#REF! = "produs"</formula>
    </cfRule>
    <cfRule type="expression" dxfId="7653" priority="12380">
      <formula>#REF! = "obiectiv"</formula>
    </cfRule>
  </conditionalFormatting>
  <conditionalFormatting sqref="L1114:U1114 L1113:P1113 Q1106:U1106">
    <cfRule type="expression" dxfId="7652" priority="11901">
      <formula>#REF! = "produs"</formula>
    </cfRule>
    <cfRule type="expression" dxfId="7651" priority="11902">
      <formula>#REF! = "obiectiv"</formula>
    </cfRule>
  </conditionalFormatting>
  <conditionalFormatting sqref="L839:U839 L838:P838 L834:P835 L831:U831">
    <cfRule type="expression" dxfId="7650" priority="12473">
      <formula>#REF! = "produs"</formula>
    </cfRule>
    <cfRule type="expression" dxfId="7649" priority="12474">
      <formula>#REF! = "obiectiv"</formula>
    </cfRule>
  </conditionalFormatting>
  <conditionalFormatting sqref="J837">
    <cfRule type="expression" dxfId="7648" priority="12471">
      <formula>#REF! = "produs"</formula>
    </cfRule>
    <cfRule type="expression" dxfId="7647" priority="12472">
      <formula>#REF! = "obiectiv"</formula>
    </cfRule>
  </conditionalFormatting>
  <conditionalFormatting sqref="K843 W843:IU843">
    <cfRule type="expression" dxfId="7646" priority="12441">
      <formula>#REF! = "produs"</formula>
    </cfRule>
    <cfRule type="expression" dxfId="7645" priority="12442">
      <formula>#REF! = "obiectiv"</formula>
    </cfRule>
  </conditionalFormatting>
  <conditionalFormatting sqref="L918:P918">
    <cfRule type="expression" dxfId="7644" priority="11763">
      <formula>#REF! = "produs"</formula>
    </cfRule>
    <cfRule type="expression" dxfId="7643" priority="11764">
      <formula>#REF! = "obiectiv"</formula>
    </cfRule>
  </conditionalFormatting>
  <conditionalFormatting sqref="K853 W853:IU853">
    <cfRule type="expression" dxfId="7642" priority="12419">
      <formula>#REF! = "produs"</formula>
    </cfRule>
    <cfRule type="expression" dxfId="7641" priority="12420">
      <formula>#REF! = "obiectiv"</formula>
    </cfRule>
  </conditionalFormatting>
  <conditionalFormatting sqref="K863 W863:IU863">
    <cfRule type="expression" dxfId="7640" priority="12397">
      <formula>#REF! = "produs"</formula>
    </cfRule>
    <cfRule type="expression" dxfId="7639" priority="12398">
      <formula>#REF! = "obiectiv"</formula>
    </cfRule>
  </conditionalFormatting>
  <conditionalFormatting sqref="L1074:U1074 L1073:P1073 L1069:P1070 L1066:U1066">
    <cfRule type="expression" dxfId="7638" priority="12209">
      <formula>#REF! = "produs"</formula>
    </cfRule>
    <cfRule type="expression" dxfId="7637" priority="12210">
      <formula>#REF! = "obiectiv"</formula>
    </cfRule>
  </conditionalFormatting>
  <conditionalFormatting sqref="W871:IU872 W874:IU879">
    <cfRule type="expression" dxfId="7636" priority="12391">
      <formula>#REF! = "produs"</formula>
    </cfRule>
    <cfRule type="expression" dxfId="7635" priority="12392">
      <formula>#REF! = "obiectiv"</formula>
    </cfRule>
  </conditionalFormatting>
  <conditionalFormatting sqref="L869:U869 L868:P868 L864:P865 L861:U861">
    <cfRule type="expression" dxfId="7634" priority="12407">
      <formula>#REF! = "produs"</formula>
    </cfRule>
    <cfRule type="expression" dxfId="7633" priority="12408">
      <formula>#REF! = "obiectiv"</formula>
    </cfRule>
  </conditionalFormatting>
  <conditionalFormatting sqref="L836:P836">
    <cfRule type="expression" dxfId="7632" priority="12467">
      <formula>#REF! = "produs"</formula>
    </cfRule>
    <cfRule type="expression" dxfId="7631" priority="12468">
      <formula>#REF! = "obiectiv"</formula>
    </cfRule>
  </conditionalFormatting>
  <conditionalFormatting sqref="J1211">
    <cfRule type="expression" dxfId="7630" priority="11779">
      <formula>#REF! = "produs"</formula>
    </cfRule>
    <cfRule type="expression" dxfId="7629" priority="11780">
      <formula>#REF! = "obiectiv"</formula>
    </cfRule>
  </conditionalFormatting>
  <conditionalFormatting sqref="J1201">
    <cfRule type="expression" dxfId="7628" priority="11801">
      <formula>#REF! = "produs"</formula>
    </cfRule>
    <cfRule type="expression" dxfId="7627" priority="11802">
      <formula>#REF! = "obiectiv"</formula>
    </cfRule>
  </conditionalFormatting>
  <conditionalFormatting sqref="J843">
    <cfRule type="expression" dxfId="7626" priority="12439">
      <formula>#REF! = "produs"</formula>
    </cfRule>
    <cfRule type="expression" dxfId="7625" priority="12440">
      <formula>#REF! = "obiectiv"</formula>
    </cfRule>
  </conditionalFormatting>
  <conditionalFormatting sqref="J1748">
    <cfRule type="expression" dxfId="7624" priority="11195">
      <formula>#REF! = "produs"</formula>
    </cfRule>
    <cfRule type="expression" dxfId="7623" priority="11196">
      <formula>#REF! = "obiectiv"</formula>
    </cfRule>
  </conditionalFormatting>
  <conditionalFormatting sqref="L859:U859 L858:P858 L851:U851">
    <cfRule type="expression" dxfId="7622" priority="12429">
      <formula>#REF! = "produs"</formula>
    </cfRule>
    <cfRule type="expression" dxfId="7621" priority="12430">
      <formula>#REF! = "obiectiv"</formula>
    </cfRule>
  </conditionalFormatting>
  <conditionalFormatting sqref="J857">
    <cfRule type="expression" dxfId="7620" priority="12427">
      <formula>#REF! = "produs"</formula>
    </cfRule>
    <cfRule type="expression" dxfId="7619" priority="12428">
      <formula>#REF! = "obiectiv"</formula>
    </cfRule>
  </conditionalFormatting>
  <conditionalFormatting sqref="J1213">
    <cfRule type="expression" dxfId="7618" priority="11783">
      <formula>#REF! = "produs"</formula>
    </cfRule>
    <cfRule type="expression" dxfId="7617" priority="11784">
      <formula>#REF! = "obiectiv"</formula>
    </cfRule>
  </conditionalFormatting>
  <conditionalFormatting sqref="J863">
    <cfRule type="expression" dxfId="7616" priority="12395">
      <formula>#REF! = "produs"</formula>
    </cfRule>
    <cfRule type="expression" dxfId="7615" priority="12396">
      <formula>#REF! = "obiectiv"</formula>
    </cfRule>
  </conditionalFormatting>
  <conditionalFormatting sqref="Q1094:U1094 Q1086:U1086">
    <cfRule type="expression" dxfId="7614" priority="12165">
      <formula>#REF! = "produs"</formula>
    </cfRule>
    <cfRule type="expression" dxfId="7613" priority="12166">
      <formula>#REF! = "obiectiv"</formula>
    </cfRule>
  </conditionalFormatting>
  <conditionalFormatting sqref="Q1207:U1207 Q1199:U1199">
    <cfRule type="expression" dxfId="7612" priority="11813">
      <formula>#REF! = "produs"</formula>
    </cfRule>
    <cfRule type="expression" dxfId="7611" priority="11814">
      <formula>#REF! = "obiectiv"</formula>
    </cfRule>
  </conditionalFormatting>
  <conditionalFormatting sqref="J917">
    <cfRule type="expression" dxfId="7610" priority="11761">
      <formula>#REF! = "produs"</formula>
    </cfRule>
    <cfRule type="expression" dxfId="7609" priority="11762">
      <formula>#REF! = "obiectiv"</formula>
    </cfRule>
  </conditionalFormatting>
  <conditionalFormatting sqref="W873:IU873 K873:P873">
    <cfRule type="expression" dxfId="7608" priority="12375">
      <formula>#REF! = "produs"</formula>
    </cfRule>
    <cfRule type="expression" dxfId="7607" priority="12376">
      <formula>#REF! = "obiectiv"</formula>
    </cfRule>
  </conditionalFormatting>
  <conditionalFormatting sqref="J915">
    <cfRule type="expression" dxfId="7606" priority="11757">
      <formula>#REF! = "produs"</formula>
    </cfRule>
    <cfRule type="expression" dxfId="7605" priority="11758">
      <formula>#REF! = "obiectiv"</formula>
    </cfRule>
  </conditionalFormatting>
  <conditionalFormatting sqref="Q1177:U1177 Q1169:U1169">
    <cfRule type="expression" dxfId="7604" priority="12121">
      <formula>#REF! = "produs"</formula>
    </cfRule>
    <cfRule type="expression" dxfId="7603" priority="12122">
      <formula>#REF! = "obiectiv"</formula>
    </cfRule>
  </conditionalFormatting>
  <conditionalFormatting sqref="L877:P877">
    <cfRule type="expression" dxfId="7602" priority="12381">
      <formula>#REF! = "produs"</formula>
    </cfRule>
    <cfRule type="expression" dxfId="7601" priority="12382">
      <formula>#REF! = "obiectiv"</formula>
    </cfRule>
  </conditionalFormatting>
  <conditionalFormatting sqref="K2147:P2147 W2147:IU2147">
    <cfRule type="expression" dxfId="7600" priority="11055">
      <formula>#REF! = "produs"</formula>
    </cfRule>
    <cfRule type="expression" dxfId="7599" priority="11056">
      <formula>#REF! = "obiectiv"</formula>
    </cfRule>
  </conditionalFormatting>
  <conditionalFormatting sqref="J827">
    <cfRule type="expression" dxfId="7598" priority="12493">
      <formula>#REF! = "produs"</formula>
    </cfRule>
    <cfRule type="expression" dxfId="7597" priority="12494">
      <formula>#REF! = "obiectiv"</formula>
    </cfRule>
  </conditionalFormatting>
  <conditionalFormatting sqref="L827:P827">
    <cfRule type="expression" dxfId="7596" priority="12491">
      <formula>#REF! = "produs"</formula>
    </cfRule>
    <cfRule type="expression" dxfId="7595" priority="12492">
      <formula>#REF! = "obiectiv"</formula>
    </cfRule>
  </conditionalFormatting>
  <conditionalFormatting sqref="W913:IU914 W916:IU921">
    <cfRule type="expression" dxfId="7594" priority="11775">
      <formula>#REF! = "produs"</formula>
    </cfRule>
    <cfRule type="expression" dxfId="7593" priority="11776">
      <formula>#REF! = "obiectiv"</formula>
    </cfRule>
  </conditionalFormatting>
  <conditionalFormatting sqref="J825">
    <cfRule type="expression" dxfId="7592" priority="12487">
      <formula>#REF! = "produs"</formula>
    </cfRule>
    <cfRule type="expression" dxfId="7591" priority="12488">
      <formula>#REF! = "obiectiv"</formula>
    </cfRule>
  </conditionalFormatting>
  <conditionalFormatting sqref="J1342 J1349:J1350 J1347 J1345">
    <cfRule type="expression" dxfId="7590" priority="12057">
      <formula>#REF! = "produs"</formula>
    </cfRule>
    <cfRule type="expression" dxfId="7589" priority="12058">
      <formula>#REF! = "obiectiv"</formula>
    </cfRule>
  </conditionalFormatting>
  <conditionalFormatting sqref="J1594">
    <cfRule type="expression" dxfId="7588" priority="11255">
      <formula>#REF! = "produs"</formula>
    </cfRule>
    <cfRule type="expression" dxfId="7587" priority="11256">
      <formula>#REF! = "obiectiv"</formula>
    </cfRule>
  </conditionalFormatting>
  <conditionalFormatting sqref="J875">
    <cfRule type="expression" dxfId="7586" priority="12377">
      <formula>#REF! = "produs"</formula>
    </cfRule>
    <cfRule type="expression" dxfId="7585" priority="12378">
      <formula>#REF! = "obiectiv"</formula>
    </cfRule>
  </conditionalFormatting>
  <conditionalFormatting sqref="K832 K834:K839">
    <cfRule type="expression" dxfId="7584" priority="12477">
      <formula>#REF! = "produs"</formula>
    </cfRule>
    <cfRule type="expression" dxfId="7583" priority="12478">
      <formula>#REF! = "obiectiv"</formula>
    </cfRule>
  </conditionalFormatting>
  <conditionalFormatting sqref="J873">
    <cfRule type="expression" dxfId="7582" priority="12373">
      <formula>#REF! = "produs"</formula>
    </cfRule>
    <cfRule type="expression" dxfId="7581" priority="12374">
      <formula>#REF! = "obiectiv"</formula>
    </cfRule>
  </conditionalFormatting>
  <conditionalFormatting sqref="W1403:IU1404 W1406:IU1421">
    <cfRule type="expression" dxfId="7580" priority="12083">
      <formula>#REF! = "produs"</formula>
    </cfRule>
    <cfRule type="expression" dxfId="7579" priority="12084">
      <formula>#REF! = "obiectiv"</formula>
    </cfRule>
  </conditionalFormatting>
  <conditionalFormatting sqref="J835">
    <cfRule type="expression" dxfId="7578" priority="12465">
      <formula>#REF! = "produs"</formula>
    </cfRule>
    <cfRule type="expression" dxfId="7577" priority="12466">
      <formula>#REF! = "obiectiv"</formula>
    </cfRule>
  </conditionalFormatting>
  <conditionalFormatting sqref="J1348">
    <cfRule type="expression" dxfId="7576" priority="12053">
      <formula>#REF! = "produs"</formula>
    </cfRule>
    <cfRule type="expression" dxfId="7575" priority="12054">
      <formula>#REF! = "obiectiv"</formula>
    </cfRule>
  </conditionalFormatting>
  <conditionalFormatting sqref="K1201 W1201:IU1201">
    <cfRule type="expression" dxfId="7574" priority="11803">
      <formula>#REF! = "produs"</formula>
    </cfRule>
    <cfRule type="expression" dxfId="7573" priority="11804">
      <formula>#REF! = "obiectiv"</formula>
    </cfRule>
  </conditionalFormatting>
  <conditionalFormatting sqref="J1209 J1216:J1217 J1214 J1212">
    <cfRule type="expression" dxfId="7572" priority="11793">
      <formula>#REF! = "produs"</formula>
    </cfRule>
    <cfRule type="expression" dxfId="7571" priority="11794">
      <formula>#REF! = "obiectiv"</formula>
    </cfRule>
  </conditionalFormatting>
  <conditionalFormatting sqref="L879:U879 L878:P878 L871:U871 L874:P875 L872:P872">
    <cfRule type="expression" dxfId="7570" priority="12385">
      <formula>#REF! = "produs"</formula>
    </cfRule>
    <cfRule type="expression" dxfId="7569" priority="12386">
      <formula>#REF! = "obiectiv"</formula>
    </cfRule>
  </conditionalFormatting>
  <conditionalFormatting sqref="L1103:P1103 L1096:U1096 L1097:P1097 L1104:U1104 Q1105:U1113 L1111:U1134 L1099:P1100">
    <cfRule type="expression" dxfId="7568" priority="12143">
      <formula>#REF! = "produs"</formula>
    </cfRule>
    <cfRule type="expression" dxfId="7567" priority="12144">
      <formula>#REF! = "obiectiv"</formula>
    </cfRule>
  </conditionalFormatting>
  <conditionalFormatting sqref="L1258:U1258 L1257:P1257 L1253:P1253 L1250:U1250 L1251:P1251">
    <cfRule type="expression" dxfId="7566" priority="12297">
      <formula>#REF! = "produs"</formula>
    </cfRule>
    <cfRule type="expression" dxfId="7565" priority="12298">
      <formula>#REF! = "obiectiv"</formula>
    </cfRule>
  </conditionalFormatting>
  <conditionalFormatting sqref="J913 J920:J921 J918 J916">
    <cfRule type="expression" dxfId="7564" priority="11771">
      <formula>#REF! = "produs"</formula>
    </cfRule>
    <cfRule type="expression" dxfId="7563" priority="11772">
      <formula>#REF! = "obiectiv"</formula>
    </cfRule>
  </conditionalFormatting>
  <conditionalFormatting sqref="W1066:IU1067 W1069:IU1074">
    <cfRule type="expression" dxfId="7562" priority="12215">
      <formula>#REF! = "produs"</formula>
    </cfRule>
    <cfRule type="expression" dxfId="7561" priority="12216">
      <formula>#REF! = "obiectiv"</formula>
    </cfRule>
  </conditionalFormatting>
  <conditionalFormatting sqref="K914 K916:K921">
    <cfRule type="expression" dxfId="7560" priority="11773">
      <formula>#REF! = "produs"</formula>
    </cfRule>
    <cfRule type="expression" dxfId="7559" priority="11774">
      <formula>#REF! = "obiectiv"</formula>
    </cfRule>
  </conditionalFormatting>
  <conditionalFormatting sqref="J2053">
    <cfRule type="expression" dxfId="7558" priority="11911">
      <formula>#REF! = "produs"</formula>
    </cfRule>
    <cfRule type="expression" dxfId="7557" priority="11912">
      <formula>#REF! = "obiectiv"</formula>
    </cfRule>
  </conditionalFormatting>
  <conditionalFormatting sqref="L921:U921 L920:P920 L916:P917 L913:U913 L914:P914">
    <cfRule type="expression" dxfId="7556" priority="11769">
      <formula>#REF! = "produs"</formula>
    </cfRule>
    <cfRule type="expression" dxfId="7555" priority="11770">
      <formula>#REF! = "obiectiv"</formula>
    </cfRule>
  </conditionalFormatting>
  <conditionalFormatting sqref="J2034">
    <cfRule type="expression" dxfId="7554" priority="11937">
      <formula>#REF! = "produs"</formula>
    </cfRule>
    <cfRule type="expression" dxfId="7553" priority="11938">
      <formula>#REF! = "obiectiv"</formula>
    </cfRule>
  </conditionalFormatting>
  <conditionalFormatting sqref="J1048">
    <cfRule type="expression" dxfId="7552" priority="12219">
      <formula>#REF! = "produs"</formula>
    </cfRule>
    <cfRule type="expression" dxfId="7551" priority="12220">
      <formula>#REF! = "obiectiv"</formula>
    </cfRule>
  </conditionalFormatting>
  <conditionalFormatting sqref="J1409">
    <cfRule type="expression" dxfId="7550" priority="12075">
      <formula>#REF! = "produs"</formula>
    </cfRule>
    <cfRule type="expression" dxfId="7549" priority="12076">
      <formula>#REF! = "obiectiv"</formula>
    </cfRule>
  </conditionalFormatting>
  <conditionalFormatting sqref="K1384:P1384 W1384:IU1384">
    <cfRule type="expression" dxfId="7548" priority="11979">
      <formula>#REF! = "produs"</formula>
    </cfRule>
    <cfRule type="expression" dxfId="7547" priority="11980">
      <formula>#REF! = "obiectiv"</formula>
    </cfRule>
  </conditionalFormatting>
  <conditionalFormatting sqref="J1405">
    <cfRule type="expression" dxfId="7546" priority="12065">
      <formula>#REF! = "produs"</formula>
    </cfRule>
    <cfRule type="expression" dxfId="7545" priority="12066">
      <formula>#REF! = "obiectiv"</formula>
    </cfRule>
  </conditionalFormatting>
  <conditionalFormatting sqref="K2032:P2032 W2032:IU2032">
    <cfRule type="expression" dxfId="7544" priority="11935">
      <formula>#REF! = "produs"</formula>
    </cfRule>
    <cfRule type="expression" dxfId="7543" priority="11936">
      <formula>#REF! = "obiectiv"</formula>
    </cfRule>
  </conditionalFormatting>
  <conditionalFormatting sqref="K2030:K2031 K2033:K2038">
    <cfRule type="expression" dxfId="7542" priority="11949">
      <formula>#REF! = "produs"</formula>
    </cfRule>
    <cfRule type="expression" dxfId="7541" priority="11950">
      <formula>#REF! = "obiectiv"</formula>
    </cfRule>
  </conditionalFormatting>
  <conditionalFormatting sqref="L1132:P1132">
    <cfRule type="expression" dxfId="7540" priority="11853">
      <formula>#REF! = "produs"</formula>
    </cfRule>
    <cfRule type="expression" dxfId="7539" priority="11854">
      <formula>#REF! = "obiectiv"</formula>
    </cfRule>
  </conditionalFormatting>
  <conditionalFormatting sqref="J919">
    <cfRule type="expression" dxfId="7538" priority="11767">
      <formula>#REF! = "produs"</formula>
    </cfRule>
    <cfRule type="expression" dxfId="7537" priority="11768">
      <formula>#REF! = "obiectiv"</formula>
    </cfRule>
  </conditionalFormatting>
  <conditionalFormatting sqref="K2053 W2053:IU2053">
    <cfRule type="expression" dxfId="7536" priority="11913">
      <formula>#REF! = "produs"</formula>
    </cfRule>
    <cfRule type="expression" dxfId="7535" priority="11914">
      <formula>#REF! = "obiectiv"</formula>
    </cfRule>
  </conditionalFormatting>
  <conditionalFormatting sqref="K2051:K2052 K2054:K2059">
    <cfRule type="expression" dxfId="7534" priority="11927">
      <formula>#REF! = "produs"</formula>
    </cfRule>
    <cfRule type="expression" dxfId="7533" priority="11928">
      <formula>#REF! = "obiectiv"</formula>
    </cfRule>
  </conditionalFormatting>
  <conditionalFormatting sqref="K1479:P1479 W1479:IU1479">
    <cfRule type="expression" dxfId="7532" priority="11429">
      <formula>#REF! = "produs"</formula>
    </cfRule>
    <cfRule type="expression" dxfId="7531" priority="11430">
      <formula>#REF! = "obiectiv"</formula>
    </cfRule>
  </conditionalFormatting>
  <conditionalFormatting sqref="J1459">
    <cfRule type="expression" dxfId="7530" priority="11471">
      <formula>#REF! = "produs"</formula>
    </cfRule>
    <cfRule type="expression" dxfId="7529" priority="11472">
      <formula>#REF! = "obiectiv"</formula>
    </cfRule>
  </conditionalFormatting>
  <conditionalFormatting sqref="J2030 J2037:J2038 J2035 J2033">
    <cfRule type="expression" dxfId="7528" priority="11947">
      <formula>#REF! = "produs"</formula>
    </cfRule>
    <cfRule type="expression" dxfId="7527" priority="11948">
      <formula>#REF! = "obiectiv"</formula>
    </cfRule>
  </conditionalFormatting>
  <conditionalFormatting sqref="J831 J838:J839 J836 J834">
    <cfRule type="expression" dxfId="7526" priority="12475">
      <formula>#REF! = "produs"</formula>
    </cfRule>
    <cfRule type="expression" dxfId="7525" priority="12476">
      <formula>#REF! = "obiectiv"</formula>
    </cfRule>
  </conditionalFormatting>
  <conditionalFormatting sqref="K1111:K1114">
    <cfRule type="expression" dxfId="7524" priority="11905">
      <formula>#REF! = "produs"</formula>
    </cfRule>
    <cfRule type="expression" dxfId="7523" priority="11906">
      <formula>#REF! = "obiectiv"</formula>
    </cfRule>
  </conditionalFormatting>
  <conditionalFormatting sqref="J841 J848:J849 J846 J844">
    <cfRule type="expression" dxfId="7522" priority="12453">
      <formula>#REF! = "produs"</formula>
    </cfRule>
    <cfRule type="expression" dxfId="7521" priority="12454">
      <formula>#REF! = "obiectiv"</formula>
    </cfRule>
  </conditionalFormatting>
  <conditionalFormatting sqref="W1128:IU1128 K1128:P1128">
    <cfRule type="expression" dxfId="7520" priority="11847">
      <formula>#REF! = "produs"</formula>
    </cfRule>
    <cfRule type="expression" dxfId="7519" priority="11848">
      <formula>#REF! = "obiectiv"</formula>
    </cfRule>
  </conditionalFormatting>
  <conditionalFormatting sqref="L2036:P2036">
    <cfRule type="expression" dxfId="7518" priority="11941">
      <formula>#REF! = "produs"</formula>
    </cfRule>
    <cfRule type="expression" dxfId="7517" priority="11942">
      <formula>#REF! = "obiectiv"</formula>
    </cfRule>
  </conditionalFormatting>
  <conditionalFormatting sqref="L2035:P2035">
    <cfRule type="expression" dxfId="7516" priority="11939">
      <formula>#REF! = "produs"</formula>
    </cfRule>
    <cfRule type="expression" dxfId="7515" priority="11940">
      <formula>#REF! = "obiectiv"</formula>
    </cfRule>
  </conditionalFormatting>
  <conditionalFormatting sqref="Q1217:U1217 Q1209:U1209">
    <cfRule type="expression" dxfId="7514" priority="11791">
      <formula>#REF! = "produs"</formula>
    </cfRule>
    <cfRule type="expression" dxfId="7513" priority="11792">
      <formula>#REF! = "obiectiv"</formula>
    </cfRule>
  </conditionalFormatting>
  <conditionalFormatting sqref="W2051:IU2052 W2054:IU2059">
    <cfRule type="expression" dxfId="7512" priority="11929">
      <formula>#REF! = "produs"</formula>
    </cfRule>
    <cfRule type="expression" dxfId="7511" priority="11930">
      <formula>#REF! = "obiectiv"</formula>
    </cfRule>
  </conditionalFormatting>
  <conditionalFormatting sqref="J2051 J2058:J2059 J2056 J2054">
    <cfRule type="expression" dxfId="7510" priority="11925">
      <formula>#REF! = "produs"</formula>
    </cfRule>
    <cfRule type="expression" dxfId="7509" priority="11926">
      <formula>#REF! = "obiectiv"</formula>
    </cfRule>
  </conditionalFormatting>
  <conditionalFormatting sqref="L1268:U1268 L1267:P1267 L1263:P1263 L1260:U1260 L1261:P1261">
    <cfRule type="expression" dxfId="7508" priority="12275">
      <formula>#REF! = "produs"</formula>
    </cfRule>
    <cfRule type="expression" dxfId="7507" priority="12276">
      <formula>#REF! = "obiectiv"</formula>
    </cfRule>
  </conditionalFormatting>
  <conditionalFormatting sqref="W1106:IU1107 W1109:IU1114">
    <cfRule type="expression" dxfId="7506" priority="11907">
      <formula>#REF! = "produs"</formula>
    </cfRule>
    <cfRule type="expression" dxfId="7505" priority="11908">
      <formula>#REF! = "obiectiv"</formula>
    </cfRule>
  </conditionalFormatting>
  <conditionalFormatting sqref="J1106 J1113:J1114 J1111 J1109">
    <cfRule type="expression" dxfId="7504" priority="11903">
      <formula>#REF! = "produs"</formula>
    </cfRule>
    <cfRule type="expression" dxfId="7503" priority="11904">
      <formula>#REF! = "obiectiv"</formula>
    </cfRule>
  </conditionalFormatting>
  <conditionalFormatting sqref="W821:IU822 W824:IU829">
    <cfRule type="expression" dxfId="7502" priority="12501">
      <formula>#REF! = "produs"</formula>
    </cfRule>
    <cfRule type="expression" dxfId="7501" priority="12502">
      <formula>#REF! = "obiectiv"</formula>
    </cfRule>
  </conditionalFormatting>
  <conditionalFormatting sqref="K822 K824:K829">
    <cfRule type="expression" dxfId="7500" priority="12499">
      <formula>#REF! = "produs"</formula>
    </cfRule>
    <cfRule type="expression" dxfId="7499" priority="12500">
      <formula>#REF! = "obiectiv"</formula>
    </cfRule>
  </conditionalFormatting>
  <conditionalFormatting sqref="K1048 W1048:IU1048">
    <cfRule type="expression" dxfId="7498" priority="12221">
      <formula>#REF! = "produs"</formula>
    </cfRule>
    <cfRule type="expression" dxfId="7497" priority="12222">
      <formula>#REF! = "obiectiv"</formula>
    </cfRule>
  </conditionalFormatting>
  <conditionalFormatting sqref="L1131:P1131">
    <cfRule type="expression" dxfId="7496" priority="11851">
      <formula>#REF! = "produs"</formula>
    </cfRule>
    <cfRule type="expression" dxfId="7495" priority="11852">
      <formula>#REF! = "obiectiv"</formula>
    </cfRule>
  </conditionalFormatting>
  <conditionalFormatting sqref="J1130">
    <cfRule type="expression" dxfId="7494" priority="11849">
      <formula>#REF! = "produs"</formula>
    </cfRule>
    <cfRule type="expression" dxfId="7493" priority="11850">
      <formula>#REF! = "obiectiv"</formula>
    </cfRule>
  </conditionalFormatting>
  <conditionalFormatting sqref="K1211 W1211:IU1211">
    <cfRule type="expression" dxfId="7492" priority="11781">
      <formula>#REF! = "produs"</formula>
    </cfRule>
    <cfRule type="expression" dxfId="7491" priority="11782">
      <formula>#REF! = "obiectiv"</formula>
    </cfRule>
  </conditionalFormatting>
  <conditionalFormatting sqref="J1066 J1073:J1074 J1071 J1069">
    <cfRule type="expression" dxfId="7490" priority="12211">
      <formula>#REF! = "produs"</formula>
    </cfRule>
    <cfRule type="expression" dxfId="7489" priority="12212">
      <formula>#REF! = "obiectiv"</formula>
    </cfRule>
  </conditionalFormatting>
  <conditionalFormatting sqref="J1368">
    <cfRule type="expression" dxfId="7488" priority="12009">
      <formula>#REF! = "produs"</formula>
    </cfRule>
    <cfRule type="expression" dxfId="7487" priority="12010">
      <formula>#REF! = "obiectiv"</formula>
    </cfRule>
  </conditionalFormatting>
  <conditionalFormatting sqref="K1199:K1200 K1202:K1207">
    <cfRule type="expression" dxfId="7486" priority="11817">
      <formula>#REF! = "produs"</formula>
    </cfRule>
    <cfRule type="expression" dxfId="7485" priority="11818">
      <formula>#REF! = "obiectiv"</formula>
    </cfRule>
  </conditionalFormatting>
  <conditionalFormatting sqref="J1199 J1206:J1207 J1204 J1202">
    <cfRule type="expression" dxfId="7484" priority="11815">
      <formula>#REF! = "produs"</formula>
    </cfRule>
    <cfRule type="expression" dxfId="7483" priority="11816">
      <formula>#REF! = "obiectiv"</formula>
    </cfRule>
  </conditionalFormatting>
  <conditionalFormatting sqref="L1051:P1051">
    <cfRule type="expression" dxfId="7482" priority="12225">
      <formula>#REF! = "produs"</formula>
    </cfRule>
    <cfRule type="expression" dxfId="7481" priority="12226">
      <formula>#REF! = "obiectiv"</formula>
    </cfRule>
  </conditionalFormatting>
  <conditionalFormatting sqref="J1461">
    <cfRule type="expression" dxfId="7480" priority="11475">
      <formula>#REF! = "produs"</formula>
    </cfRule>
    <cfRule type="expression" dxfId="7479" priority="11476">
      <formula>#REF! = "obiectiv"</formula>
    </cfRule>
  </conditionalFormatting>
  <conditionalFormatting sqref="J1215">
    <cfRule type="expression" dxfId="7478" priority="11789">
      <formula>#REF! = "produs"</formula>
    </cfRule>
    <cfRule type="expression" dxfId="7477" priority="11790">
      <formula>#REF! = "obiectiv"</formula>
    </cfRule>
  </conditionalFormatting>
  <conditionalFormatting sqref="J1415">
    <cfRule type="expression" dxfId="7476" priority="12021">
      <formula>#REF! = "produs"</formula>
    </cfRule>
    <cfRule type="expression" dxfId="7475" priority="12022">
      <formula>#REF! = "obiectiv"</formula>
    </cfRule>
  </conditionalFormatting>
  <conditionalFormatting sqref="J1052">
    <cfRule type="expression" dxfId="7474" priority="12229">
      <formula>#REF! = "produs"</formula>
    </cfRule>
    <cfRule type="expression" dxfId="7473" priority="12230">
      <formula>#REF! = "obiectiv"</formula>
    </cfRule>
  </conditionalFormatting>
  <conditionalFormatting sqref="J1364">
    <cfRule type="expression" dxfId="7472" priority="11999">
      <formula>#REF! = "produs"</formula>
    </cfRule>
    <cfRule type="expression" dxfId="7471" priority="12000">
      <formula>#REF! = "obiectiv"</formula>
    </cfRule>
  </conditionalFormatting>
  <conditionalFormatting sqref="K1742:K1743 K1745:K1760">
    <cfRule type="expression" dxfId="7470" priority="11201">
      <formula>#REF! = "produs"</formula>
    </cfRule>
    <cfRule type="expression" dxfId="7469" priority="11202">
      <formula>#REF! = "obiectiv"</formula>
    </cfRule>
  </conditionalFormatting>
  <conditionalFormatting sqref="L1368:P1368">
    <cfRule type="expression" dxfId="7468" priority="12007">
      <formula>#REF! = "produs"</formula>
    </cfRule>
    <cfRule type="expression" dxfId="7467" priority="12008">
      <formula>#REF! = "obiectiv"</formula>
    </cfRule>
  </conditionalFormatting>
  <conditionalFormatting sqref="K1467:K1468 K1470:K1475">
    <cfRule type="expression" dxfId="7466" priority="11465">
      <formula>#REF! = "produs"</formula>
    </cfRule>
    <cfRule type="expression" dxfId="7465" priority="11466">
      <formula>#REF! = "obiectiv"</formula>
    </cfRule>
  </conditionalFormatting>
  <conditionalFormatting sqref="L1747:P1747 N1748:N1749">
    <cfRule type="expression" dxfId="7464" priority="11191">
      <formula>#REF! = "produs"</formula>
    </cfRule>
    <cfRule type="expression" dxfId="7463" priority="11192">
      <formula>#REF! = "obiectiv"</formula>
    </cfRule>
  </conditionalFormatting>
  <conditionalFormatting sqref="J1132">
    <cfRule type="expression" dxfId="7462" priority="11855">
      <formula>#REF! = "produs"</formula>
    </cfRule>
    <cfRule type="expression" dxfId="7461" priority="11856">
      <formula>#REF! = "obiectiv"</formula>
    </cfRule>
  </conditionalFormatting>
  <conditionalFormatting sqref="L1054:U1054 L1053:P1053 L1049:P1050 L1046:U1046 Q1055:U1064">
    <cfRule type="expression" dxfId="7460" priority="12231">
      <formula>#REF! = "produs"</formula>
    </cfRule>
    <cfRule type="expression" dxfId="7459" priority="12232">
      <formula>#REF! = "obiectiv"</formula>
    </cfRule>
  </conditionalFormatting>
  <conditionalFormatting sqref="L1389:P1389 L1385:P1386 L1382:U1382 L1383:P1383 L1412:U1421 Q1402:U1411 L1390:U1390 L1401:U1401">
    <cfRule type="expression" dxfId="7458" priority="11989">
      <formula>#REF! = "produs"</formula>
    </cfRule>
    <cfRule type="expression" dxfId="7457" priority="11990">
      <formula>#REF! = "obiectiv"</formula>
    </cfRule>
  </conditionalFormatting>
  <conditionalFormatting sqref="J1050">
    <cfRule type="expression" dxfId="7456" priority="12223">
      <formula>#REF! = "produs"</formula>
    </cfRule>
    <cfRule type="expression" dxfId="7455" priority="12224">
      <formula>#REF! = "obiectiv"</formula>
    </cfRule>
  </conditionalFormatting>
  <conditionalFormatting sqref="L1748:P1748">
    <cfRule type="expression" dxfId="7454" priority="11193">
      <formula>#REF! = "produs"</formula>
    </cfRule>
    <cfRule type="expression" dxfId="7453" priority="11194">
      <formula>#REF! = "obiectiv"</formula>
    </cfRule>
  </conditionalFormatting>
  <conditionalFormatting sqref="J1746">
    <cfRule type="expression" dxfId="7452" priority="11189">
      <formula>#REF! = "produs"</formula>
    </cfRule>
    <cfRule type="expression" dxfId="7451" priority="11190">
      <formula>#REF! = "obiectiv"</formula>
    </cfRule>
  </conditionalFormatting>
  <conditionalFormatting sqref="J1108">
    <cfRule type="expression" dxfId="7450" priority="11889">
      <formula>#REF! = "produs"</formula>
    </cfRule>
    <cfRule type="expression" dxfId="7449" priority="11890">
      <formula>#REF! = "obiectiv"</formula>
    </cfRule>
  </conditionalFormatting>
  <conditionalFormatting sqref="J1463">
    <cfRule type="expression" dxfId="7448" priority="11481">
      <formula>#REF! = "produs"</formula>
    </cfRule>
    <cfRule type="expression" dxfId="7447" priority="11482">
      <formula>#REF! = "obiectiv"</formula>
    </cfRule>
  </conditionalFormatting>
  <conditionalFormatting sqref="J1452">
    <cfRule type="expression" dxfId="7446" priority="11503">
      <formula>#REF! = "produs"</formula>
    </cfRule>
    <cfRule type="expression" dxfId="7445" priority="11504">
      <formula>#REF! = "obiectiv"</formula>
    </cfRule>
  </conditionalFormatting>
  <conditionalFormatting sqref="K1364:P1364 W1364:IU1364">
    <cfRule type="expression" dxfId="7444" priority="12001">
      <formula>#REF! = "produs"</formula>
    </cfRule>
    <cfRule type="expression" dxfId="7443" priority="12002">
      <formula>#REF! = "obiectiv"</formula>
    </cfRule>
  </conditionalFormatting>
  <conditionalFormatting sqref="J1118">
    <cfRule type="expression" dxfId="7442" priority="11867">
      <formula>#REF! = "produs"</formula>
    </cfRule>
    <cfRule type="expression" dxfId="7441" priority="11868">
      <formula>#REF! = "obiectiv"</formula>
    </cfRule>
  </conditionalFormatting>
  <conditionalFormatting sqref="J1592">
    <cfRule type="expression" dxfId="7440" priority="11251">
      <formula>#REF! = "produs"</formula>
    </cfRule>
    <cfRule type="expression" dxfId="7439" priority="11252">
      <formula>#REF! = "obiectiv"</formula>
    </cfRule>
  </conditionalFormatting>
  <conditionalFormatting sqref="L1697:P1697">
    <cfRule type="expression" dxfId="7438" priority="11103">
      <formula>#REF! = "produs"</formula>
    </cfRule>
    <cfRule type="expression" dxfId="7437" priority="11104">
      <formula>#REF! = "obiectiv"</formula>
    </cfRule>
  </conditionalFormatting>
  <conditionalFormatting sqref="W1436:IU1437 W1439:IU1444">
    <cfRule type="expression" dxfId="7436" priority="11533">
      <formula>#REF! = "produs"</formula>
    </cfRule>
    <cfRule type="expression" dxfId="7435" priority="11534">
      <formula>#REF! = "obiectiv"</formula>
    </cfRule>
  </conditionalFormatting>
  <conditionalFormatting sqref="L1052:P1052">
    <cfRule type="expression" dxfId="7434" priority="12227">
      <formula>#REF! = "produs"</formula>
    </cfRule>
    <cfRule type="expression" dxfId="7433" priority="12228">
      <formula>#REF! = "obiectiv"</formula>
    </cfRule>
  </conditionalFormatting>
  <conditionalFormatting sqref="L1749:P1749 L1745:P1746 L1742:U1742 L1743:P1743 L1750:U1760">
    <cfRule type="expression" dxfId="7432" priority="11197">
      <formula>#REF! = "produs"</formula>
    </cfRule>
    <cfRule type="expression" dxfId="7431" priority="11198">
      <formula>#REF! = "obiectiv"</formula>
    </cfRule>
  </conditionalFormatting>
  <conditionalFormatting sqref="J1442">
    <cfRule type="expression" dxfId="7430" priority="11525">
      <formula>#REF! = "produs"</formula>
    </cfRule>
    <cfRule type="expression" dxfId="7429" priority="11526">
      <formula>#REF! = "obiectiv"</formula>
    </cfRule>
  </conditionalFormatting>
  <conditionalFormatting sqref="J1734">
    <cfRule type="expression" dxfId="7428" priority="11207">
      <formula>#REF! = "produs"</formula>
    </cfRule>
    <cfRule type="expression" dxfId="7427" priority="11208">
      <formula>#REF! = "obiectiv"</formula>
    </cfRule>
  </conditionalFormatting>
  <conditionalFormatting sqref="L1367:P1367">
    <cfRule type="expression" dxfId="7426" priority="12005">
      <formula>#REF! = "produs"</formula>
    </cfRule>
    <cfRule type="expression" dxfId="7425" priority="12006">
      <formula>#REF! = "obiectiv"</formula>
    </cfRule>
  </conditionalFormatting>
  <conditionalFormatting sqref="J1366">
    <cfRule type="expression" dxfId="7424" priority="12003">
      <formula>#REF! = "produs"</formula>
    </cfRule>
    <cfRule type="expression" dxfId="7423" priority="12004">
      <formula>#REF! = "obiectiv"</formula>
    </cfRule>
  </conditionalFormatting>
  <conditionalFormatting sqref="J1481">
    <cfRule type="expression" dxfId="7422" priority="11431">
      <formula>#REF! = "produs"</formula>
    </cfRule>
    <cfRule type="expression" dxfId="7421" priority="11432">
      <formula>#REF! = "obiectiv"</formula>
    </cfRule>
  </conditionalFormatting>
  <conditionalFormatting sqref="L1444:U1444 L1443:P1443 L1437:P1437 L1436:U1436 L1439:P1440">
    <cfRule type="expression" dxfId="7420" priority="11527">
      <formula>#REF! = "produs"</formula>
    </cfRule>
    <cfRule type="expression" dxfId="7419" priority="11528">
      <formula>#REF! = "obiectiv"</formula>
    </cfRule>
  </conditionalFormatting>
  <conditionalFormatting sqref="K1382:K1383 K1385:K1390 K1401:K1421">
    <cfRule type="expression" dxfId="7418" priority="11993">
      <formula>#REF! = "produs"</formula>
    </cfRule>
    <cfRule type="expression" dxfId="7417" priority="11994">
      <formula>#REF! = "obiectiv"</formula>
    </cfRule>
  </conditionalFormatting>
  <conditionalFormatting sqref="K1744:P1744 W1744:IU1744">
    <cfRule type="expression" dxfId="7416" priority="11187">
      <formula>#REF! = "produs"</formula>
    </cfRule>
    <cfRule type="expression" dxfId="7415" priority="11188">
      <formula>#REF! = "obiectiv"</formula>
    </cfRule>
  </conditionalFormatting>
  <conditionalFormatting sqref="W1446:IU1447 W1449:IU1454">
    <cfRule type="expression" dxfId="7414" priority="11511">
      <formula>#REF! = "produs"</formula>
    </cfRule>
    <cfRule type="expression" dxfId="7413" priority="11512">
      <formula>#REF! = "obiectiv"</formula>
    </cfRule>
  </conditionalFormatting>
  <conditionalFormatting sqref="L1454:U1454 L1453:P1453 L1449:P1449 L1446:U1446 L1447:P1447 L1450:O1450">
    <cfRule type="expression" dxfId="7412" priority="11505">
      <formula>#REF! = "produs"</formula>
    </cfRule>
    <cfRule type="expression" dxfId="7411" priority="11506">
      <formula>#REF! = "obiectiv"</formula>
    </cfRule>
  </conditionalFormatting>
  <conditionalFormatting sqref="J1450">
    <cfRule type="expression" dxfId="7410" priority="11497">
      <formula>#REF! = "produs"</formula>
    </cfRule>
    <cfRule type="expression" dxfId="7409" priority="11498">
      <formula>#REF! = "obiectiv"</formula>
    </cfRule>
  </conditionalFormatting>
  <conditionalFormatting sqref="W1467:IU1468 W1470:IU1475">
    <cfRule type="expression" dxfId="7408" priority="11467">
      <formula>#REF! = "produs"</formula>
    </cfRule>
    <cfRule type="expression" dxfId="7407" priority="11468">
      <formula>#REF! = "obiectiv"</formula>
    </cfRule>
  </conditionalFormatting>
  <conditionalFormatting sqref="J1503">
    <cfRule type="expression" dxfId="7406" priority="11387">
      <formula>#REF! = "produs"</formula>
    </cfRule>
    <cfRule type="expression" dxfId="7405" priority="11388">
      <formula>#REF! = "obiectiv"</formula>
    </cfRule>
  </conditionalFormatting>
  <conditionalFormatting sqref="J1440">
    <cfRule type="expression" dxfId="7404" priority="11519">
      <formula>#REF! = "produs"</formula>
    </cfRule>
    <cfRule type="expression" dxfId="7403" priority="11520">
      <formula>#REF! = "obiectiv"</formula>
    </cfRule>
  </conditionalFormatting>
  <conditionalFormatting sqref="J1582">
    <cfRule type="expression" dxfId="7402" priority="11273">
      <formula>#REF! = "produs"</formula>
    </cfRule>
    <cfRule type="expression" dxfId="7401" priority="11274">
      <formula>#REF! = "obiectiv"</formula>
    </cfRule>
  </conditionalFormatting>
  <conditionalFormatting sqref="J1744">
    <cfRule type="expression" dxfId="7400" priority="11185">
      <formula>#REF! = "produs"</formula>
    </cfRule>
    <cfRule type="expression" dxfId="7399" priority="11186">
      <formula>#REF! = "obiectiv"</formula>
    </cfRule>
  </conditionalFormatting>
  <conditionalFormatting sqref="J1718">
    <cfRule type="expression" dxfId="7398" priority="11239">
      <formula>#REF! = "produs"</formula>
    </cfRule>
    <cfRule type="expression" dxfId="7397" priority="11240">
      <formula>#REF! = "obiectiv"</formula>
    </cfRule>
  </conditionalFormatting>
  <conditionalFormatting sqref="J1362 J1369:J1370 J1367 J1365">
    <cfRule type="expression" dxfId="7396" priority="12013">
      <formula>#REF! = "produs"</formula>
    </cfRule>
    <cfRule type="expression" dxfId="7395" priority="12014">
      <formula>#REF! = "obiectiv"</formula>
    </cfRule>
  </conditionalFormatting>
  <conditionalFormatting sqref="J1382 J1389:J1390 J1387 J1385 J1405:J1413 J1415:J1421 J1402:J1403">
    <cfRule type="expression" dxfId="7394" priority="11991">
      <formula>#REF! = "produs"</formula>
    </cfRule>
    <cfRule type="expression" dxfId="7393" priority="11992">
      <formula>#REF! = "obiectiv"</formula>
    </cfRule>
  </conditionalFormatting>
  <conditionalFormatting sqref="J1467 J1474:J1475 J1472 J1470">
    <cfRule type="expression" dxfId="7392" priority="11463">
      <formula>#REF! = "produs"</formula>
    </cfRule>
    <cfRule type="expression" dxfId="7391" priority="11464">
      <formula>#REF! = "obiectiv"</formula>
    </cfRule>
  </conditionalFormatting>
  <conditionalFormatting sqref="L1475:U1475 L1474:P1474 L1467:U1467 L1468:P1468 L1470:P1471">
    <cfRule type="expression" dxfId="7390" priority="11461">
      <formula>#REF! = "produs"</formula>
    </cfRule>
    <cfRule type="expression" dxfId="7389" priority="11462">
      <formula>#REF! = "obiectiv"</formula>
    </cfRule>
  </conditionalFormatting>
  <conditionalFormatting sqref="L1507:U1507 L1506:P1506 L1499:U1499 L1500:P1500 L1502:P1503">
    <cfRule type="expression" dxfId="7388" priority="11395">
      <formula>#REF! = "produs"</formula>
    </cfRule>
    <cfRule type="expression" dxfId="7387" priority="11396">
      <formula>#REF! = "obiectiv"</formula>
    </cfRule>
  </conditionalFormatting>
  <conditionalFormatting sqref="L1473:P1473">
    <cfRule type="expression" dxfId="7386" priority="11457">
      <formula>#REF! = "produs"</formula>
    </cfRule>
    <cfRule type="expression" dxfId="7385" priority="11458">
      <formula>#REF! = "obiectiv"</formula>
    </cfRule>
  </conditionalFormatting>
  <conditionalFormatting sqref="L1720:U1720 L1719:P1719 L1715:P1716 L1712:U1712 L1713:P1713">
    <cfRule type="expression" dxfId="7384" priority="11241">
      <formula>#REF! = "produs"</formula>
    </cfRule>
    <cfRule type="expression" dxfId="7383" priority="11242">
      <formula>#REF! = "obiectiv"</formula>
    </cfRule>
  </conditionalFormatting>
  <conditionalFormatting sqref="J2149">
    <cfRule type="expression" dxfId="7382" priority="11057">
      <formula>#REF! = "produs"</formula>
    </cfRule>
    <cfRule type="expression" dxfId="7381" priority="11058">
      <formula>#REF! = "obiectiv"</formula>
    </cfRule>
  </conditionalFormatting>
  <conditionalFormatting sqref="J2036">
    <cfRule type="expression" dxfId="7380" priority="11943">
      <formula>#REF! = "produs"</formula>
    </cfRule>
    <cfRule type="expression" dxfId="7379" priority="11944">
      <formula>#REF! = "obiectiv"</formula>
    </cfRule>
  </conditionalFormatting>
  <conditionalFormatting sqref="J1417">
    <cfRule type="expression" dxfId="7378" priority="12025">
      <formula>#REF! = "produs"</formula>
    </cfRule>
    <cfRule type="expression" dxfId="7377" priority="12026">
      <formula>#REF! = "obiectiv"</formula>
    </cfRule>
  </conditionalFormatting>
  <conditionalFormatting sqref="J1534">
    <cfRule type="expression" dxfId="7376" priority="11343">
      <formula>#REF! = "produs"</formula>
    </cfRule>
    <cfRule type="expression" dxfId="7375" priority="11344">
      <formula>#REF! = "obiectiv"</formula>
    </cfRule>
  </conditionalFormatting>
  <conditionalFormatting sqref="L1536:P1536">
    <cfRule type="expression" dxfId="7374" priority="11347">
      <formula>#REF! = "produs"</formula>
    </cfRule>
    <cfRule type="expression" dxfId="7373" priority="11348">
      <formula>#REF! = "obiectiv"</formula>
    </cfRule>
  </conditionalFormatting>
  <conditionalFormatting sqref="K1501:P1501 W1501:IU1501">
    <cfRule type="expression" dxfId="7372" priority="11385">
      <formula>#REF! = "produs"</formula>
    </cfRule>
    <cfRule type="expression" dxfId="7371" priority="11386">
      <formula>#REF! = "obiectiv"</formula>
    </cfRule>
  </conditionalFormatting>
  <conditionalFormatting sqref="W1499:IU1500 W1502:IU1507">
    <cfRule type="expression" dxfId="7370" priority="11401">
      <formula>#REF! = "produs"</formula>
    </cfRule>
    <cfRule type="expression" dxfId="7369" priority="11402">
      <formula>#REF! = "obiectiv"</formula>
    </cfRule>
  </conditionalFormatting>
  <conditionalFormatting sqref="J2057">
    <cfRule type="expression" dxfId="7368" priority="11921">
      <formula>#REF! = "produs"</formula>
    </cfRule>
    <cfRule type="expression" dxfId="7367" priority="11922">
      <formula>#REF! = "obiectiv"</formula>
    </cfRule>
  </conditionalFormatting>
  <conditionalFormatting sqref="L1483:P1483">
    <cfRule type="expression" dxfId="7366" priority="11435">
      <formula>#REF! = "produs"</formula>
    </cfRule>
    <cfRule type="expression" dxfId="7365" priority="11436">
      <formula>#REF! = "obiectiv"</formula>
    </cfRule>
  </conditionalFormatting>
  <conditionalFormatting sqref="J1584">
    <cfRule type="expression" dxfId="7364" priority="11277">
      <formula>#REF! = "produs"</formula>
    </cfRule>
    <cfRule type="expression" dxfId="7363" priority="11278">
      <formula>#REF! = "obiectiv"</formula>
    </cfRule>
  </conditionalFormatting>
  <conditionalFormatting sqref="L1418:P1418">
    <cfRule type="expression" dxfId="7362" priority="12027">
      <formula>#REF! = "produs"</formula>
    </cfRule>
    <cfRule type="expression" dxfId="7361" priority="12028">
      <formula>#REF! = "obiectiv"</formula>
    </cfRule>
  </conditionalFormatting>
  <conditionalFormatting sqref="L2150:P2150">
    <cfRule type="expression" dxfId="7360" priority="11059">
      <formula>#REF! = "produs"</formula>
    </cfRule>
    <cfRule type="expression" dxfId="7359" priority="11060">
      <formula>#REF! = "obiectiv"</formula>
    </cfRule>
  </conditionalFormatting>
  <conditionalFormatting sqref="W1519:IU1520 W1522:IU1527">
    <cfRule type="expression" dxfId="7358" priority="11379">
      <formula>#REF! = "produs"</formula>
    </cfRule>
    <cfRule type="expression" dxfId="7357" priority="11380">
      <formula>#REF! = "obiectiv"</formula>
    </cfRule>
  </conditionalFormatting>
  <conditionalFormatting sqref="W1530:IU1531 W1533:IU1538">
    <cfRule type="expression" dxfId="7356" priority="11357">
      <formula>#REF! = "produs"</formula>
    </cfRule>
    <cfRule type="expression" dxfId="7355" priority="11358">
      <formula>#REF! = "obiectiv"</formula>
    </cfRule>
  </conditionalFormatting>
  <conditionalFormatting sqref="J1112">
    <cfRule type="expression" dxfId="7354" priority="11899">
      <formula>#REF! = "produs"</formula>
    </cfRule>
    <cfRule type="expression" dxfId="7353" priority="11900">
      <formula>#REF! = "obiectiv"</formula>
    </cfRule>
  </conditionalFormatting>
  <conditionalFormatting sqref="L1465:U1465 L1464:P1464 L1460:P1460 L1457:U1457 L1458:P1458">
    <cfRule type="expression" dxfId="7352" priority="11483">
      <formula>#REF! = "produs"</formula>
    </cfRule>
    <cfRule type="expression" dxfId="7351" priority="11484">
      <formula>#REF! = "obiectiv"</formula>
    </cfRule>
  </conditionalFormatting>
  <conditionalFormatting sqref="J1479">
    <cfRule type="expression" dxfId="7350" priority="11427">
      <formula>#REF! = "produs"</formula>
    </cfRule>
    <cfRule type="expression" dxfId="7349" priority="11428">
      <formula>#REF! = "obiectiv"</formula>
    </cfRule>
  </conditionalFormatting>
  <conditionalFormatting sqref="K1532:P1532 W1532:IU1532">
    <cfRule type="expression" dxfId="7348" priority="11341">
      <formula>#REF! = "produs"</formula>
    </cfRule>
    <cfRule type="expression" dxfId="7347" priority="11342">
      <formula>#REF! = "obiectiv"</formula>
    </cfRule>
  </conditionalFormatting>
  <conditionalFormatting sqref="J2180">
    <cfRule type="expression" dxfId="7346" priority="10969">
      <formula>#REF! = "produs"</formula>
    </cfRule>
    <cfRule type="expression" dxfId="7345" priority="10970">
      <formula>#REF! = "obiectiv"</formula>
    </cfRule>
  </conditionalFormatting>
  <conditionalFormatting sqref="J1122">
    <cfRule type="expression" dxfId="7344" priority="11877">
      <formula>#REF! = "produs"</formula>
    </cfRule>
    <cfRule type="expression" dxfId="7343" priority="11878">
      <formula>#REF! = "obiectiv"</formula>
    </cfRule>
  </conditionalFormatting>
  <conditionalFormatting sqref="L1419:P1419">
    <cfRule type="expression" dxfId="7342" priority="12029">
      <formula>#REF! = "produs"</formula>
    </cfRule>
    <cfRule type="expression" dxfId="7341" priority="12030">
      <formula>#REF! = "obiectiv"</formula>
    </cfRule>
  </conditionalFormatting>
  <conditionalFormatting sqref="L1598:U1598 L1597:P1597 L1590:U1590 L1591:P1591 L1593:P1594">
    <cfRule type="expression" dxfId="7340" priority="11263">
      <formula>#REF! = "produs"</formula>
    </cfRule>
    <cfRule type="expression" dxfId="7339" priority="11264">
      <formula>#REF! = "obiectiv"</formula>
    </cfRule>
  </conditionalFormatting>
  <conditionalFormatting sqref="K1415:P1415 W1415:IU1415">
    <cfRule type="expression" dxfId="7338" priority="12023">
      <formula>#REF! = "produs"</formula>
    </cfRule>
    <cfRule type="expression" dxfId="7337" priority="12024">
      <formula>#REF! = "obiectiv"</formula>
    </cfRule>
  </conditionalFormatting>
  <conditionalFormatting sqref="W1362:IU1363 W1365:IU1370">
    <cfRule type="expression" dxfId="7336" priority="12017">
      <formula>#REF! = "produs"</formula>
    </cfRule>
    <cfRule type="expression" dxfId="7335" priority="12018">
      <formula>#REF! = "obiectiv"</formula>
    </cfRule>
  </conditionalFormatting>
  <conditionalFormatting sqref="K1362:K1363 K1365:K1370">
    <cfRule type="expression" dxfId="7334" priority="12015">
      <formula>#REF! = "produs"</formula>
    </cfRule>
    <cfRule type="expression" dxfId="7333" priority="12016">
      <formula>#REF! = "obiectiv"</formula>
    </cfRule>
  </conditionalFormatting>
  <conditionalFormatting sqref="L1370:U1370 L1369:P1369 L1362:U1362 L1363:P1363 L1365:P1366">
    <cfRule type="expression" dxfId="7332" priority="12011">
      <formula>#REF! = "produs"</formula>
    </cfRule>
    <cfRule type="expression" dxfId="7331" priority="12012">
      <formula>#REF! = "obiectiv"</formula>
    </cfRule>
  </conditionalFormatting>
  <conditionalFormatting sqref="L1485:U1485 L1484:P1484 L1480:P1480 L1477:U1477 L1478:P1478">
    <cfRule type="expression" dxfId="7330" priority="11439">
      <formula>#REF! = "produs"</formula>
    </cfRule>
    <cfRule type="expression" dxfId="7329" priority="11440">
      <formula>#REF! = "obiectiv"</formula>
    </cfRule>
  </conditionalFormatting>
  <conditionalFormatting sqref="J1483">
    <cfRule type="expression" dxfId="7328" priority="11437">
      <formula>#REF! = "produs"</formula>
    </cfRule>
    <cfRule type="expression" dxfId="7327" priority="11438">
      <formula>#REF! = "obiectiv"</formula>
    </cfRule>
  </conditionalFormatting>
  <conditionalFormatting sqref="L1482:P1482">
    <cfRule type="expression" dxfId="7326" priority="11433">
      <formula>#REF! = "produs"</formula>
    </cfRule>
    <cfRule type="expression" dxfId="7325" priority="11434">
      <formula>#REF! = "obiectiv"</formula>
    </cfRule>
  </conditionalFormatting>
  <conditionalFormatting sqref="J1505">
    <cfRule type="expression" dxfId="7324" priority="11393">
      <formula>#REF! = "produs"</formula>
    </cfRule>
    <cfRule type="expression" dxfId="7323" priority="11394">
      <formula>#REF! = "obiectiv"</formula>
    </cfRule>
  </conditionalFormatting>
  <conditionalFormatting sqref="J1116 J1123:J1124 J1121 J1119">
    <cfRule type="expression" dxfId="7322" priority="11881">
      <formula>#REF! = "produs"</formula>
    </cfRule>
    <cfRule type="expression" dxfId="7321" priority="11882">
      <formula>#REF! = "obiectiv"</formula>
    </cfRule>
  </conditionalFormatting>
  <conditionalFormatting sqref="L1700:U1700 L1699:P1699 L1692:U1692 L1693:P1693 L1695:P1696">
    <cfRule type="expression" dxfId="7320" priority="11109">
      <formula>#REF! = "produs"</formula>
    </cfRule>
    <cfRule type="expression" dxfId="7319" priority="11110">
      <formula>#REF! = "obiectiv"</formula>
    </cfRule>
  </conditionalFormatting>
  <conditionalFormatting sqref="W1712:IU1713 W1715:IU1720">
    <cfRule type="expression" dxfId="7318" priority="11247">
      <formula>#REF! = "produs"</formula>
    </cfRule>
    <cfRule type="expression" dxfId="7317" priority="11248">
      <formula>#REF! = "obiectiv"</formula>
    </cfRule>
  </conditionalFormatting>
  <conditionalFormatting sqref="K1582:P1582 W1582:IU1582">
    <cfRule type="expression" dxfId="7316" priority="11275">
      <formula>#REF! = "produs"</formula>
    </cfRule>
    <cfRule type="expression" dxfId="7315" priority="11276">
      <formula>#REF! = "obiectiv"</formula>
    </cfRule>
  </conditionalFormatting>
  <conditionalFormatting sqref="J1126 J1133:J1134 J1131 J1129">
    <cfRule type="expression" dxfId="7314" priority="11859">
      <formula>#REF! = "produs"</formula>
    </cfRule>
    <cfRule type="expression" dxfId="7313" priority="11860">
      <formula>#REF! = "obiectiv"</formula>
    </cfRule>
  </conditionalFormatting>
  <conditionalFormatting sqref="K1499:K1500 K1502:K1507">
    <cfRule type="expression" dxfId="7312" priority="11399">
      <formula>#REF! = "produs"</formula>
    </cfRule>
    <cfRule type="expression" dxfId="7311" priority="11400">
      <formula>#REF! = "obiectiv"</formula>
    </cfRule>
  </conditionalFormatting>
  <conditionalFormatting sqref="K1118:P1118 W1118:IU1118">
    <cfRule type="expression" dxfId="7310" priority="11869">
      <formula>#REF! = "produs"</formula>
    </cfRule>
    <cfRule type="expression" dxfId="7309" priority="11870">
      <formula>#REF! = "obiectiv"</formula>
    </cfRule>
  </conditionalFormatting>
  <conditionalFormatting sqref="W1590:IU1591 W1593:IU1598">
    <cfRule type="expression" dxfId="7308" priority="11269">
      <formula>#REF! = "produs"</formula>
    </cfRule>
    <cfRule type="expression" dxfId="7307" priority="11270">
      <formula>#REF! = "obiectiv"</formula>
    </cfRule>
  </conditionalFormatting>
  <conditionalFormatting sqref="J1110">
    <cfRule type="expression" dxfId="7306" priority="11893">
      <formula>#REF! = "produs"</formula>
    </cfRule>
    <cfRule type="expression" dxfId="7305" priority="11894">
      <formula>#REF! = "obiectiv"</formula>
    </cfRule>
  </conditionalFormatting>
  <conditionalFormatting sqref="J1596">
    <cfRule type="expression" dxfId="7304" priority="11261">
      <formula>#REF! = "produs"</formula>
    </cfRule>
    <cfRule type="expression" dxfId="7303" priority="11262">
      <formula>#REF! = "obiectiv"</formula>
    </cfRule>
  </conditionalFormatting>
  <conditionalFormatting sqref="J1501">
    <cfRule type="expression" dxfId="7302" priority="11383">
      <formula>#REF! = "produs"</formula>
    </cfRule>
    <cfRule type="expression" dxfId="7301" priority="11384">
      <formula>#REF! = "obiectiv"</formula>
    </cfRule>
  </conditionalFormatting>
  <conditionalFormatting sqref="K1592:P1592 W1592:IU1592">
    <cfRule type="expression" dxfId="7300" priority="11253">
      <formula>#REF! = "produs"</formula>
    </cfRule>
    <cfRule type="expression" dxfId="7299" priority="11254">
      <formula>#REF! = "obiectiv"</formula>
    </cfRule>
  </conditionalFormatting>
  <conditionalFormatting sqref="K1519:K1520 K1522:K1527">
    <cfRule type="expression" dxfId="7298" priority="11377">
      <formula>#REF! = "produs"</formula>
    </cfRule>
    <cfRule type="expression" dxfId="7297" priority="11378">
      <formula>#REF! = "obiectiv"</formula>
    </cfRule>
  </conditionalFormatting>
  <conditionalFormatting sqref="J1438">
    <cfRule type="expression" dxfId="7296" priority="11515">
      <formula>#REF! = "produs"</formula>
    </cfRule>
    <cfRule type="expression" dxfId="7295" priority="11516">
      <formula>#REF! = "obiectiv"</formula>
    </cfRule>
  </conditionalFormatting>
  <conditionalFormatting sqref="L1527:U1527 L1526:P1526 L1519:U1519 L1520:P1520 L1522:P1523">
    <cfRule type="expression" dxfId="7294" priority="11373">
      <formula>#REF! = "produs"</formula>
    </cfRule>
    <cfRule type="expression" dxfId="7293" priority="11374">
      <formula>#REF! = "obiectiv"</formula>
    </cfRule>
  </conditionalFormatting>
  <conditionalFormatting sqref="J1525">
    <cfRule type="expression" dxfId="7292" priority="11371">
      <formula>#REF! = "produs"</formula>
    </cfRule>
    <cfRule type="expression" dxfId="7291" priority="11372">
      <formula>#REF! = "obiectiv"</formula>
    </cfRule>
  </conditionalFormatting>
  <conditionalFormatting sqref="J1120">
    <cfRule type="expression" dxfId="7290" priority="11871">
      <formula>#REF! = "produs"</formula>
    </cfRule>
    <cfRule type="expression" dxfId="7289" priority="11872">
      <formula>#REF! = "obiectiv"</formula>
    </cfRule>
  </conditionalFormatting>
  <conditionalFormatting sqref="J1471">
    <cfRule type="expression" dxfId="7288" priority="11453">
      <formula>#REF! = "produs"</formula>
    </cfRule>
    <cfRule type="expression" dxfId="7287" priority="11454">
      <formula>#REF! = "obiectiv"</formula>
    </cfRule>
  </conditionalFormatting>
  <conditionalFormatting sqref="Q1680:U1680 Q1672:U1672">
    <cfRule type="expression" dxfId="7286" priority="11175">
      <formula>#REF! = "produs"</formula>
    </cfRule>
    <cfRule type="expression" dxfId="7285" priority="11176">
      <formula>#REF! = "obiectiv"</formula>
    </cfRule>
  </conditionalFormatting>
  <conditionalFormatting sqref="L1505:P1505">
    <cfRule type="expression" dxfId="7284" priority="11391">
      <formula>#REF! = "produs"</formula>
    </cfRule>
    <cfRule type="expression" dxfId="7283" priority="11392">
      <formula>#REF! = "obiectiv"</formula>
    </cfRule>
  </conditionalFormatting>
  <conditionalFormatting sqref="J1448">
    <cfRule type="expression" dxfId="7282" priority="11493">
      <formula>#REF! = "produs"</formula>
    </cfRule>
    <cfRule type="expression" dxfId="7281" priority="11494">
      <formula>#REF! = "obiectiv"</formula>
    </cfRule>
  </conditionalFormatting>
  <conditionalFormatting sqref="L2160:P2160">
    <cfRule type="expression" dxfId="7280" priority="11015">
      <formula>#REF! = "produs"</formula>
    </cfRule>
    <cfRule type="expression" dxfId="7279" priority="11016">
      <formula>#REF! = "obiectiv"</formula>
    </cfRule>
  </conditionalFormatting>
  <conditionalFormatting sqref="J1736">
    <cfRule type="expression" dxfId="7278" priority="11211">
      <formula>#REF! = "produs"</formula>
    </cfRule>
    <cfRule type="expression" dxfId="7277" priority="11212">
      <formula>#REF! = "obiectiv"</formula>
    </cfRule>
  </conditionalFormatting>
  <conditionalFormatting sqref="K1734:P1734 W1734:IU1734">
    <cfRule type="expression" dxfId="7276" priority="11209">
      <formula>#REF! = "produs"</formula>
    </cfRule>
    <cfRule type="expression" dxfId="7275" priority="11210">
      <formula>#REF! = "obiectiv"</formula>
    </cfRule>
  </conditionalFormatting>
  <conditionalFormatting sqref="L1112:P1112">
    <cfRule type="expression" dxfId="7274" priority="11897">
      <formula>#REF! = "produs"</formula>
    </cfRule>
    <cfRule type="expression" dxfId="7273" priority="11898">
      <formula>#REF! = "obiectiv"</formula>
    </cfRule>
  </conditionalFormatting>
  <conditionalFormatting sqref="L1111:P1111">
    <cfRule type="expression" dxfId="7272" priority="11895">
      <formula>#REF! = "produs"</formula>
    </cfRule>
    <cfRule type="expression" dxfId="7271" priority="11896">
      <formula>#REF! = "obiectiv"</formula>
    </cfRule>
  </conditionalFormatting>
  <conditionalFormatting sqref="W1108:IU1108">
    <cfRule type="expression" dxfId="7270" priority="11891">
      <formula>#REF! = "produs"</formula>
    </cfRule>
    <cfRule type="expression" dxfId="7269" priority="11892">
      <formula>#REF! = "obiectiv"</formula>
    </cfRule>
  </conditionalFormatting>
  <conditionalFormatting sqref="W1116:IU1117 W1119:IU1124">
    <cfRule type="expression" dxfId="7268" priority="11885">
      <formula>#REF! = "produs"</formula>
    </cfRule>
    <cfRule type="expression" dxfId="7267" priority="11886">
      <formula>#REF! = "obiectiv"</formula>
    </cfRule>
  </conditionalFormatting>
  <conditionalFormatting sqref="K1116:K1117 K1119:K1124">
    <cfRule type="expression" dxfId="7266" priority="11883">
      <formula>#REF! = "produs"</formula>
    </cfRule>
    <cfRule type="expression" dxfId="7265" priority="11884">
      <formula>#REF! = "obiectiv"</formula>
    </cfRule>
  </conditionalFormatting>
  <conditionalFormatting sqref="L1124:U1124 L1123:P1123 L1119:P1120 L1116:U1116 L1117:P1117">
    <cfRule type="expression" dxfId="7264" priority="11879">
      <formula>#REF! = "produs"</formula>
    </cfRule>
    <cfRule type="expression" dxfId="7263" priority="11880">
      <formula>#REF! = "obiectiv"</formula>
    </cfRule>
  </conditionalFormatting>
  <conditionalFormatting sqref="J1436 J1443:J1444 J1441 J1439">
    <cfRule type="expression" dxfId="7262" priority="11529">
      <formula>#REF! = "produs"</formula>
    </cfRule>
    <cfRule type="expression" dxfId="7261" priority="11530">
      <formula>#REF! = "obiectiv"</formula>
    </cfRule>
  </conditionalFormatting>
  <conditionalFormatting sqref="L1122:P1122">
    <cfRule type="expression" dxfId="7260" priority="11875">
      <formula>#REF! = "produs"</formula>
    </cfRule>
    <cfRule type="expression" dxfId="7259" priority="11876">
      <formula>#REF! = "obiectiv"</formula>
    </cfRule>
  </conditionalFormatting>
  <conditionalFormatting sqref="L1121:P1121">
    <cfRule type="expression" dxfId="7258" priority="11873">
      <formula>#REF! = "produs"</formula>
    </cfRule>
    <cfRule type="expression" dxfId="7257" priority="11874">
      <formula>#REF! = "obiectiv"</formula>
    </cfRule>
  </conditionalFormatting>
  <conditionalFormatting sqref="K1436:K1437 K1439:K1444">
    <cfRule type="expression" dxfId="7256" priority="11531">
      <formula>#REF! = "produs"</formula>
    </cfRule>
    <cfRule type="expression" dxfId="7255" priority="11532">
      <formula>#REF! = "obiectiv"</formula>
    </cfRule>
  </conditionalFormatting>
  <conditionalFormatting sqref="L1698:P1698">
    <cfRule type="expression" dxfId="7254" priority="11105">
      <formula>#REF! = "produs"</formula>
    </cfRule>
    <cfRule type="expression" dxfId="7253" priority="11106">
      <formula>#REF! = "obiectiv"</formula>
    </cfRule>
  </conditionalFormatting>
  <conditionalFormatting sqref="W1126:IU1127 W1129:IU1134">
    <cfRule type="expression" dxfId="7252" priority="11863">
      <formula>#REF! = "produs"</formula>
    </cfRule>
    <cfRule type="expression" dxfId="7251" priority="11864">
      <formula>#REF! = "obiectiv"</formula>
    </cfRule>
  </conditionalFormatting>
  <conditionalFormatting sqref="K1126:K1127 K1129:K1134">
    <cfRule type="expression" dxfId="7250" priority="11861">
      <formula>#REF! = "produs"</formula>
    </cfRule>
    <cfRule type="expression" dxfId="7249" priority="11862">
      <formula>#REF! = "obiectiv"</formula>
    </cfRule>
  </conditionalFormatting>
  <conditionalFormatting sqref="Q1064:U1064 Q1056:U1056">
    <cfRule type="expression" dxfId="7248" priority="11593">
      <formula>#REF! = "produs"</formula>
    </cfRule>
    <cfRule type="expression" dxfId="7247" priority="11594">
      <formula>#REF! = "obiectiv"</formula>
    </cfRule>
  </conditionalFormatting>
  <conditionalFormatting sqref="L1134:U1134 L1133:P1133 L1126:U1126 L1127:P1127 L1129:P1130">
    <cfRule type="expression" dxfId="7246" priority="11857">
      <formula>#REF! = "produs"</formula>
    </cfRule>
    <cfRule type="expression" dxfId="7245" priority="11858">
      <formula>#REF! = "obiectiv"</formula>
    </cfRule>
  </conditionalFormatting>
  <conditionalFormatting sqref="K1446:K1447 K1449:K1454">
    <cfRule type="expression" dxfId="7244" priority="11509">
      <formula>#REF! = "produs"</formula>
    </cfRule>
    <cfRule type="expression" dxfId="7243" priority="11510">
      <formula>#REF! = "obiectiv"</formula>
    </cfRule>
  </conditionalFormatting>
  <conditionalFormatting sqref="J1469">
    <cfRule type="expression" dxfId="7242" priority="11449">
      <formula>#REF! = "produs"</formula>
    </cfRule>
    <cfRule type="expression" dxfId="7241" priority="11450">
      <formula>#REF! = "obiectiv"</formula>
    </cfRule>
  </conditionalFormatting>
  <conditionalFormatting sqref="L2181:P2181">
    <cfRule type="expression" dxfId="7240" priority="10971">
      <formula>#REF! = "produs"</formula>
    </cfRule>
    <cfRule type="expression" dxfId="7239" priority="10972">
      <formula>#REF! = "obiectiv"</formula>
    </cfRule>
  </conditionalFormatting>
  <conditionalFormatting sqref="W1674:IU1674">
    <cfRule type="expression" dxfId="7238" priority="11165">
      <formula>#REF! = "produs"</formula>
    </cfRule>
    <cfRule type="expression" dxfId="7237" priority="11166">
      <formula>#REF! = "obiectiv"</formula>
    </cfRule>
  </conditionalFormatting>
  <conditionalFormatting sqref="K1457:K1458 K1460:K1465">
    <cfRule type="expression" dxfId="7236" priority="11487">
      <formula>#REF! = "produs"</formula>
    </cfRule>
    <cfRule type="expression" dxfId="7235" priority="11488">
      <formula>#REF! = "obiectiv"</formula>
    </cfRule>
  </conditionalFormatting>
  <conditionalFormatting sqref="L2151:P2151">
    <cfRule type="expression" dxfId="7234" priority="11061">
      <formula>#REF! = "produs"</formula>
    </cfRule>
    <cfRule type="expression" dxfId="7233" priority="11062">
      <formula>#REF! = "obiectiv"</formula>
    </cfRule>
  </conditionalFormatting>
  <conditionalFormatting sqref="W1058:IU1058">
    <cfRule type="expression" dxfId="7232" priority="11583">
      <formula>#REF! = "produs"</formula>
    </cfRule>
    <cfRule type="expression" dxfId="7231" priority="11584">
      <formula>#REF! = "obiectiv"</formula>
    </cfRule>
  </conditionalFormatting>
  <conditionalFormatting sqref="W1580:IU1581 W1583:IU1588">
    <cfRule type="expression" dxfId="7230" priority="11291">
      <formula>#REF! = "produs"</formula>
    </cfRule>
    <cfRule type="expression" dxfId="7229" priority="11292">
      <formula>#REF! = "obiectiv"</formula>
    </cfRule>
  </conditionalFormatting>
  <conditionalFormatting sqref="J1742 J1749:J1752 J1747 J1745 J1754:J1760">
    <cfRule type="expression" dxfId="7228" priority="11199">
      <formula>#REF! = "produs"</formula>
    </cfRule>
    <cfRule type="expression" dxfId="7227" priority="11200">
      <formula>#REF! = "obiectiv"</formula>
    </cfRule>
  </conditionalFormatting>
  <conditionalFormatting sqref="J1523">
    <cfRule type="expression" dxfId="7226" priority="11365">
      <formula>#REF! = "produs"</formula>
    </cfRule>
    <cfRule type="expression" dxfId="7225" priority="11366">
      <formula>#REF! = "obiectiv"</formula>
    </cfRule>
  </conditionalFormatting>
  <conditionalFormatting sqref="J1536">
    <cfRule type="expression" dxfId="7224" priority="11349">
      <formula>#REF! = "produs"</formula>
    </cfRule>
    <cfRule type="expression" dxfId="7223" priority="11350">
      <formula>#REF! = "obiectiv"</formula>
    </cfRule>
  </conditionalFormatting>
  <conditionalFormatting sqref="L1442:P1442">
    <cfRule type="expression" dxfId="7222" priority="11523">
      <formula>#REF! = "produs"</formula>
    </cfRule>
    <cfRule type="expression" dxfId="7221" priority="11524">
      <formula>#REF! = "obiectiv"</formula>
    </cfRule>
  </conditionalFormatting>
  <conditionalFormatting sqref="L1441:P1441">
    <cfRule type="expression" dxfId="7220" priority="11521">
      <formula>#REF! = "produs"</formula>
    </cfRule>
    <cfRule type="expression" dxfId="7219" priority="11522">
      <formula>#REF! = "obiectiv"</formula>
    </cfRule>
  </conditionalFormatting>
  <conditionalFormatting sqref="K1438:P1438 W1438:IU1438">
    <cfRule type="expression" dxfId="7218" priority="11517">
      <formula>#REF! = "produs"</formula>
    </cfRule>
    <cfRule type="expression" dxfId="7217" priority="11518">
      <formula>#REF! = "obiectiv"</formula>
    </cfRule>
  </conditionalFormatting>
  <conditionalFormatting sqref="W1056:IU1057 W1059:IU1064">
    <cfRule type="expression" dxfId="7216" priority="11599">
      <formula>#REF! = "produs"</formula>
    </cfRule>
    <cfRule type="expression" dxfId="7215" priority="11600">
      <formula>#REF! = "obiectiv"</formula>
    </cfRule>
  </conditionalFormatting>
  <conditionalFormatting sqref="J1521">
    <cfRule type="expression" dxfId="7214" priority="11361">
      <formula>#REF! = "produs"</formula>
    </cfRule>
    <cfRule type="expression" dxfId="7213" priority="11362">
      <formula>#REF! = "obiectiv"</formula>
    </cfRule>
  </conditionalFormatting>
  <conditionalFormatting sqref="L2161:P2161">
    <cfRule type="expression" dxfId="7212" priority="11017">
      <formula>#REF! = "produs"</formula>
    </cfRule>
    <cfRule type="expression" dxfId="7211" priority="11018">
      <formula>#REF! = "obiectiv"</formula>
    </cfRule>
  </conditionalFormatting>
  <conditionalFormatting sqref="L1452:P1452">
    <cfRule type="expression" dxfId="7210" priority="11501">
      <formula>#REF! = "produs"</formula>
    </cfRule>
    <cfRule type="expression" dxfId="7209" priority="11502">
      <formula>#REF! = "obiectiv"</formula>
    </cfRule>
  </conditionalFormatting>
  <conditionalFormatting sqref="L1451:P1451">
    <cfRule type="expression" dxfId="7208" priority="11499">
      <formula>#REF! = "produs"</formula>
    </cfRule>
    <cfRule type="expression" dxfId="7207" priority="11500">
      <formula>#REF! = "obiectiv"</formula>
    </cfRule>
  </conditionalFormatting>
  <conditionalFormatting sqref="K1448:P1448 W1448:IU1448">
    <cfRule type="expression" dxfId="7206" priority="11495">
      <formula>#REF! = "produs"</formula>
    </cfRule>
    <cfRule type="expression" dxfId="7205" priority="11496">
      <formula>#REF! = "obiectiv"</formula>
    </cfRule>
  </conditionalFormatting>
  <conditionalFormatting sqref="W1457:IU1458 W1460:IU1465">
    <cfRule type="expression" dxfId="7204" priority="11489">
      <formula>#REF! = "produs"</formula>
    </cfRule>
    <cfRule type="expression" dxfId="7203" priority="11490">
      <formula>#REF! = "obiectiv"</formula>
    </cfRule>
  </conditionalFormatting>
  <conditionalFormatting sqref="L2172:P2172">
    <cfRule type="expression" dxfId="7202" priority="10995">
      <formula>#REF! = "produs"</formula>
    </cfRule>
    <cfRule type="expression" dxfId="7201" priority="10996">
      <formula>#REF! = "obiectiv"</formula>
    </cfRule>
  </conditionalFormatting>
  <conditionalFormatting sqref="L1585:P1585">
    <cfRule type="expression" dxfId="7200" priority="11279">
      <formula>#REF! = "produs"</formula>
    </cfRule>
    <cfRule type="expression" dxfId="7199" priority="11280">
      <formula>#REF! = "obiectiv"</formula>
    </cfRule>
  </conditionalFormatting>
  <conditionalFormatting sqref="K1580:K1581 K1583:K1588">
    <cfRule type="expression" dxfId="7198" priority="11289">
      <formula>#REF! = "produs"</formula>
    </cfRule>
    <cfRule type="expression" dxfId="7197" priority="11290">
      <formula>#REF! = "obiectiv"</formula>
    </cfRule>
  </conditionalFormatting>
  <conditionalFormatting sqref="L2174:U2174 L2173:P2173 L2169:P2170 L2166:U2166 L2167:P2167">
    <cfRule type="expression" dxfId="7196" priority="10999">
      <formula>#REF! = "produs"</formula>
    </cfRule>
    <cfRule type="expression" dxfId="7195" priority="11000">
      <formula>#REF! = "obiectiv"</formula>
    </cfRule>
  </conditionalFormatting>
  <conditionalFormatting sqref="K2145:K2146 K2148:K2153">
    <cfRule type="expression" dxfId="7194" priority="11069">
      <formula>#REF! = "produs"</formula>
    </cfRule>
    <cfRule type="expression" dxfId="7193" priority="11070">
      <formula>#REF! = "obiectiv"</formula>
    </cfRule>
  </conditionalFormatting>
  <conditionalFormatting sqref="J1446 J1453:J1454 J1451 J1449">
    <cfRule type="expression" dxfId="7192" priority="11507">
      <formula>#REF! = "produs"</formula>
    </cfRule>
    <cfRule type="expression" dxfId="7191" priority="11508">
      <formula>#REF! = "obiectiv"</formula>
    </cfRule>
  </conditionalFormatting>
  <conditionalFormatting sqref="W1682:IU1683 W1685:IU1690">
    <cfRule type="expression" dxfId="7190" priority="11159">
      <formula>#REF! = "produs"</formula>
    </cfRule>
    <cfRule type="expression" dxfId="7189" priority="11160">
      <formula>#REF! = "obiectiv"</formula>
    </cfRule>
  </conditionalFormatting>
  <conditionalFormatting sqref="J1532">
    <cfRule type="expression" dxfId="7188" priority="11339">
      <formula>#REF! = "produs"</formula>
    </cfRule>
    <cfRule type="expression" dxfId="7187" priority="11340">
      <formula>#REF! = "obiectiv"</formula>
    </cfRule>
  </conditionalFormatting>
  <conditionalFormatting sqref="J1580 J1587:J1588 J1585 J1583">
    <cfRule type="expression" dxfId="7186" priority="11287">
      <formula>#REF! = "produs"</formula>
    </cfRule>
    <cfRule type="expression" dxfId="7185" priority="11288">
      <formula>#REF! = "obiectiv"</formula>
    </cfRule>
  </conditionalFormatting>
  <conditionalFormatting sqref="J1457 J1464:J1465 J1462 J1460">
    <cfRule type="expression" dxfId="7184" priority="11485">
      <formula>#REF! = "produs"</formula>
    </cfRule>
    <cfRule type="expression" dxfId="7183" priority="11486">
      <formula>#REF! = "obiectiv"</formula>
    </cfRule>
  </conditionalFormatting>
  <conditionalFormatting sqref="L2182:P2182">
    <cfRule type="expression" dxfId="7182" priority="10973">
      <formula>#REF! = "produs"</formula>
    </cfRule>
    <cfRule type="expression" dxfId="7181" priority="10974">
      <formula>#REF! = "obiectiv"</formula>
    </cfRule>
  </conditionalFormatting>
  <conditionalFormatting sqref="J1590 J1597:J1598 J1595 J1593">
    <cfRule type="expression" dxfId="7180" priority="11265">
      <formula>#REF! = "produs"</formula>
    </cfRule>
    <cfRule type="expression" dxfId="7179" priority="11266">
      <formula>#REF! = "obiectiv"</formula>
    </cfRule>
  </conditionalFormatting>
  <conditionalFormatting sqref="L2171:P2171">
    <cfRule type="expression" dxfId="7178" priority="10993">
      <formula>#REF! = "produs"</formula>
    </cfRule>
    <cfRule type="expression" dxfId="7177" priority="10994">
      <formula>#REF! = "obiectiv"</formula>
    </cfRule>
  </conditionalFormatting>
  <conditionalFormatting sqref="K1530:K1531 K1533:K1538">
    <cfRule type="expression" dxfId="7176" priority="11355">
      <formula>#REF! = "produs"</formula>
    </cfRule>
    <cfRule type="expression" dxfId="7175" priority="11356">
      <formula>#REF! = "obiectiv"</formula>
    </cfRule>
  </conditionalFormatting>
  <conditionalFormatting sqref="L1538:U1538 L1537:P1537 L1533:P1534 L1530:U1530 L1531:P1531">
    <cfRule type="expression" dxfId="7174" priority="11351">
      <formula>#REF! = "produs"</formula>
    </cfRule>
    <cfRule type="expression" dxfId="7173" priority="11352">
      <formula>#REF! = "obiectiv"</formula>
    </cfRule>
  </conditionalFormatting>
  <conditionalFormatting sqref="W2176:IU2177 W2179:IU2184">
    <cfRule type="expression" dxfId="7172" priority="10983">
      <formula>#REF! = "produs"</formula>
    </cfRule>
    <cfRule type="expression" dxfId="7171" priority="10984">
      <formula>#REF! = "obiectiv"</formula>
    </cfRule>
  </conditionalFormatting>
  <conditionalFormatting sqref="L1535:P1535">
    <cfRule type="expression" dxfId="7170" priority="11345">
      <formula>#REF! = "produs"</formula>
    </cfRule>
    <cfRule type="expression" dxfId="7169" priority="11346">
      <formula>#REF! = "obiectiv"</formula>
    </cfRule>
  </conditionalFormatting>
  <conditionalFormatting sqref="J1712 J1719:J1720 J1717 J1715">
    <cfRule type="expression" dxfId="7168" priority="11243">
      <formula>#REF! = "produs"</formula>
    </cfRule>
    <cfRule type="expression" dxfId="7167" priority="11244">
      <formula>#REF! = "obiectiv"</formula>
    </cfRule>
  </conditionalFormatting>
  <conditionalFormatting sqref="L2163:U2163 L2162:P2162 L2158:P2159 L2155:U2155 L2156:P2156">
    <cfRule type="expression" dxfId="7166" priority="11021">
      <formula>#REF! = "produs"</formula>
    </cfRule>
    <cfRule type="expression" dxfId="7165" priority="11022">
      <formula>#REF! = "obiectiv"</formula>
    </cfRule>
  </conditionalFormatting>
  <conditionalFormatting sqref="K2178:P2178 W2178:IU2178">
    <cfRule type="expression" dxfId="7164" priority="10967">
      <formula>#REF! = "produs"</formula>
    </cfRule>
    <cfRule type="expression" dxfId="7163" priority="10968">
      <formula>#REF! = "obiectiv"</formula>
    </cfRule>
  </conditionalFormatting>
  <conditionalFormatting sqref="L2153:U2153 L2152:P2152 L2148:P2149 L2145:U2145 L2146:P2146">
    <cfRule type="expression" dxfId="7162" priority="11065">
      <formula>#REF! = "produs"</formula>
    </cfRule>
    <cfRule type="expression" dxfId="7161" priority="11066">
      <formula>#REF! = "obiectiv"</formula>
    </cfRule>
  </conditionalFormatting>
  <conditionalFormatting sqref="J2161">
    <cfRule type="expression" dxfId="7160" priority="11019">
      <formula>#REF! = "produs"</formula>
    </cfRule>
    <cfRule type="expression" dxfId="7159" priority="11020">
      <formula>#REF! = "obiectiv"</formula>
    </cfRule>
  </conditionalFormatting>
  <conditionalFormatting sqref="J1692 J1699:J1700 J1697 J1695">
    <cfRule type="expression" dxfId="7158" priority="11111">
      <formula>#REF! = "produs"</formula>
    </cfRule>
    <cfRule type="expression" dxfId="7157" priority="11112">
      <formula>#REF! = "obiectiv"</formula>
    </cfRule>
  </conditionalFormatting>
  <conditionalFormatting sqref="J1477 J1484:J1485 J1482 J1480">
    <cfRule type="expression" dxfId="7156" priority="11441">
      <formula>#REF! = "produs"</formula>
    </cfRule>
    <cfRule type="expression" dxfId="7155" priority="11442">
      <formula>#REF! = "obiectiv"</formula>
    </cfRule>
  </conditionalFormatting>
  <conditionalFormatting sqref="W1684:IU1684">
    <cfRule type="expression" dxfId="7154" priority="11143">
      <formula>#REF! = "produs"</formula>
    </cfRule>
    <cfRule type="expression" dxfId="7153" priority="11144">
      <formula>#REF! = "obiectiv"</formula>
    </cfRule>
  </conditionalFormatting>
  <conditionalFormatting sqref="L1525:P1525">
    <cfRule type="expression" dxfId="7152" priority="11369">
      <formula>#REF! = "produs"</formula>
    </cfRule>
    <cfRule type="expression" dxfId="7151" priority="11370">
      <formula>#REF! = "obiectiv"</formula>
    </cfRule>
  </conditionalFormatting>
  <conditionalFormatting sqref="L1524:P1524">
    <cfRule type="expression" dxfId="7150" priority="11367">
      <formula>#REF! = "produs"</formula>
    </cfRule>
    <cfRule type="expression" dxfId="7149" priority="11368">
      <formula>#REF! = "obiectiv"</formula>
    </cfRule>
  </conditionalFormatting>
  <conditionalFormatting sqref="K1521:P1521 W1521:IU1521">
    <cfRule type="expression" dxfId="7148" priority="11363">
      <formula>#REF! = "produs"</formula>
    </cfRule>
    <cfRule type="expression" dxfId="7147" priority="11364">
      <formula>#REF! = "obiectiv"</formula>
    </cfRule>
  </conditionalFormatting>
  <conditionalFormatting sqref="W1692:IU1693 W1695:IU1700">
    <cfRule type="expression" dxfId="7146" priority="11115">
      <formula>#REF! = "produs"</formula>
    </cfRule>
    <cfRule type="expression" dxfId="7145" priority="11116">
      <formula>#REF! = "obiectiv"</formula>
    </cfRule>
  </conditionalFormatting>
  <conditionalFormatting sqref="K2166:K2167 K2169:K2174">
    <cfRule type="expression" dxfId="7144" priority="11003">
      <formula>#REF! = "produs"</formula>
    </cfRule>
    <cfRule type="expression" dxfId="7143" priority="11004">
      <formula>#REF! = "obiectiv"</formula>
    </cfRule>
  </conditionalFormatting>
  <conditionalFormatting sqref="J2166 J2173:J2174 J2171 J2169">
    <cfRule type="expression" dxfId="7142" priority="11001">
      <formula>#REF! = "produs"</formula>
    </cfRule>
    <cfRule type="expression" dxfId="7141" priority="11002">
      <formula>#REF! = "obiectiv"</formula>
    </cfRule>
  </conditionalFormatting>
  <conditionalFormatting sqref="L1504:P1504">
    <cfRule type="expression" dxfId="7140" priority="11389">
      <formula>#REF! = "produs"</formula>
    </cfRule>
    <cfRule type="expression" dxfId="7139" priority="11390">
      <formula>#REF! = "obiectiv"</formula>
    </cfRule>
  </conditionalFormatting>
  <conditionalFormatting sqref="J1714">
    <cfRule type="expression" dxfId="7138" priority="11229">
      <formula>#REF! = "produs"</formula>
    </cfRule>
    <cfRule type="expression" dxfId="7137" priority="11230">
      <formula>#REF! = "obiectiv"</formula>
    </cfRule>
  </conditionalFormatting>
  <conditionalFormatting sqref="J2026">
    <cfRule type="expression" dxfId="7136" priority="10865">
      <formula>#REF! = "produs"</formula>
    </cfRule>
    <cfRule type="expression" dxfId="7135" priority="10866">
      <formula>#REF! = "obiectiv"</formula>
    </cfRule>
  </conditionalFormatting>
  <conditionalFormatting sqref="J1473">
    <cfRule type="expression" dxfId="7134" priority="11459">
      <formula>#REF! = "produs"</formula>
    </cfRule>
    <cfRule type="expression" dxfId="7133" priority="11460">
      <formula>#REF! = "obiectiv"</formula>
    </cfRule>
  </conditionalFormatting>
  <conditionalFormatting sqref="J2105">
    <cfRule type="expression" dxfId="7132" priority="10723">
      <formula>#REF! = "produs"</formula>
    </cfRule>
    <cfRule type="expression" dxfId="7131" priority="10724">
      <formula>#REF! = "obiectiv"</formula>
    </cfRule>
  </conditionalFormatting>
  <conditionalFormatting sqref="J1696">
    <cfRule type="expression" dxfId="7130" priority="11101">
      <formula>#REF! = "produs"</formula>
    </cfRule>
    <cfRule type="expression" dxfId="7129" priority="11102">
      <formula>#REF! = "obiectiv"</formula>
    </cfRule>
  </conditionalFormatting>
  <conditionalFormatting sqref="W2145:IU2146 W2148:IU2153">
    <cfRule type="expression" dxfId="7128" priority="11071">
      <formula>#REF! = "produs"</formula>
    </cfRule>
    <cfRule type="expression" dxfId="7127" priority="11072">
      <formula>#REF! = "obiectiv"</formula>
    </cfRule>
  </conditionalFormatting>
  <conditionalFormatting sqref="J1519 J1526:J1527 J1524 J1522">
    <cfRule type="expression" dxfId="7126" priority="11375">
      <formula>#REF! = "produs"</formula>
    </cfRule>
    <cfRule type="expression" dxfId="7125" priority="11376">
      <formula>#REF! = "obiectiv"</formula>
    </cfRule>
  </conditionalFormatting>
  <conditionalFormatting sqref="K1694:P1694 W1694:IU1694">
    <cfRule type="expression" dxfId="7124" priority="11099">
      <formula>#REF! = "produs"</formula>
    </cfRule>
    <cfRule type="expression" dxfId="7123" priority="11100">
      <formula>#REF! = "obiectiv"</formula>
    </cfRule>
  </conditionalFormatting>
  <conditionalFormatting sqref="W2155:IU2156 W2158:IU2163">
    <cfRule type="expression" dxfId="7122" priority="11027">
      <formula>#REF! = "produs"</formula>
    </cfRule>
    <cfRule type="expression" dxfId="7121" priority="11028">
      <formula>#REF! = "obiectiv"</formula>
    </cfRule>
  </conditionalFormatting>
  <conditionalFormatting sqref="L1472:P1472">
    <cfRule type="expression" dxfId="7120" priority="11455">
      <formula>#REF! = "produs"</formula>
    </cfRule>
    <cfRule type="expression" dxfId="7119" priority="11456">
      <formula>#REF! = "obiectiv"</formula>
    </cfRule>
  </conditionalFormatting>
  <conditionalFormatting sqref="L2184:U2184 L2183:P2183 L2179:P2180 L2176:U2176 L2177:P2177">
    <cfRule type="expression" dxfId="7118" priority="10977">
      <formula>#REF! = "produs"</formula>
    </cfRule>
    <cfRule type="expression" dxfId="7117" priority="10978">
      <formula>#REF! = "obiectiv"</formula>
    </cfRule>
  </conditionalFormatting>
  <conditionalFormatting sqref="J2159">
    <cfRule type="expression" dxfId="7116" priority="11013">
      <formula>#REF! = "produs"</formula>
    </cfRule>
    <cfRule type="expression" dxfId="7115" priority="11014">
      <formula>#REF! = "obiectiv"</formula>
    </cfRule>
  </conditionalFormatting>
  <conditionalFormatting sqref="W2166:IU2167 W2169:IU2174">
    <cfRule type="expression" dxfId="7114" priority="11005">
      <formula>#REF! = "produs"</formula>
    </cfRule>
    <cfRule type="expression" dxfId="7113" priority="11006">
      <formula>#REF! = "obiectiv"</formula>
    </cfRule>
  </conditionalFormatting>
  <conditionalFormatting sqref="J2151">
    <cfRule type="expression" dxfId="7112" priority="11063">
      <formula>#REF! = "produs"</formula>
    </cfRule>
    <cfRule type="expression" dxfId="7111" priority="11064">
      <formula>#REF! = "obiectiv"</formula>
    </cfRule>
  </conditionalFormatting>
  <conditionalFormatting sqref="L1595:P1595">
    <cfRule type="expression" dxfId="7110" priority="11257">
      <formula>#REF! = "produs"</formula>
    </cfRule>
    <cfRule type="expression" dxfId="7109" priority="11258">
      <formula>#REF! = "obiectiv"</formula>
    </cfRule>
  </conditionalFormatting>
  <conditionalFormatting sqref="J1698">
    <cfRule type="expression" dxfId="7108" priority="11107">
      <formula>#REF! = "produs"</formula>
    </cfRule>
    <cfRule type="expression" dxfId="7107" priority="11108">
      <formula>#REF! = "obiectiv"</formula>
    </cfRule>
  </conditionalFormatting>
  <conditionalFormatting sqref="J1499 J1506:J1507 J1504 J1502">
    <cfRule type="expression" dxfId="7106" priority="11397">
      <formula>#REF! = "produs"</formula>
    </cfRule>
    <cfRule type="expression" dxfId="7105" priority="11398">
      <formula>#REF! = "obiectiv"</formula>
    </cfRule>
  </conditionalFormatting>
  <conditionalFormatting sqref="J2145 J2152:J2153 J2150 J2148">
    <cfRule type="expression" dxfId="7104" priority="11067">
      <formula>#REF! = "produs"</formula>
    </cfRule>
    <cfRule type="expression" dxfId="7103" priority="11068">
      <formula>#REF! = "obiectiv"</formula>
    </cfRule>
  </conditionalFormatting>
  <conditionalFormatting sqref="J2182">
    <cfRule type="expression" dxfId="7102" priority="10975">
      <formula>#REF! = "produs"</formula>
    </cfRule>
    <cfRule type="expression" dxfId="7101" priority="10976">
      <formula>#REF! = "obiectiv"</formula>
    </cfRule>
  </conditionalFormatting>
  <conditionalFormatting sqref="J1694">
    <cfRule type="expression" dxfId="7100" priority="11097">
      <formula>#REF! = "produs"</formula>
    </cfRule>
    <cfRule type="expression" dxfId="7099" priority="11098">
      <formula>#REF! = "obiectiv"</formula>
    </cfRule>
  </conditionalFormatting>
  <conditionalFormatting sqref="K1692:K1693 K1695:K1700">
    <cfRule type="expression" dxfId="7098" priority="11113">
      <formula>#REF! = "produs"</formula>
    </cfRule>
    <cfRule type="expression" dxfId="7097" priority="11114">
      <formula>#REF! = "obiectiv"</formula>
    </cfRule>
  </conditionalFormatting>
  <conditionalFormatting sqref="J1530 J1537:J1538 J1535 J1533">
    <cfRule type="expression" dxfId="7096" priority="11353">
      <formula>#REF! = "produs"</formula>
    </cfRule>
    <cfRule type="expression" dxfId="7095" priority="11354">
      <formula>#REF! = "obiectiv"</formula>
    </cfRule>
  </conditionalFormatting>
  <conditionalFormatting sqref="K1469:P1469 W1469:IU1469">
    <cfRule type="expression" dxfId="7094" priority="11451">
      <formula>#REF! = "produs"</formula>
    </cfRule>
    <cfRule type="expression" dxfId="7093" priority="11452">
      <formula>#REF! = "obiectiv"</formula>
    </cfRule>
  </conditionalFormatting>
  <conditionalFormatting sqref="J1704">
    <cfRule type="expression" dxfId="7092" priority="11075">
      <formula>#REF! = "produs"</formula>
    </cfRule>
    <cfRule type="expression" dxfId="7091" priority="11076">
      <formula>#REF! = "obiectiv"</formula>
    </cfRule>
  </conditionalFormatting>
  <conditionalFormatting sqref="J1738">
    <cfRule type="expression" dxfId="7090" priority="11217">
      <formula>#REF! = "produs"</formula>
    </cfRule>
    <cfRule type="expression" dxfId="7089" priority="11218">
      <formula>#REF! = "obiectiv"</formula>
    </cfRule>
  </conditionalFormatting>
  <conditionalFormatting sqref="W1477:IU1478 W1480:IU1485">
    <cfRule type="expression" dxfId="7088" priority="11445">
      <formula>#REF! = "produs"</formula>
    </cfRule>
    <cfRule type="expression" dxfId="7087" priority="11446">
      <formula>#REF! = "obiectiv"</formula>
    </cfRule>
  </conditionalFormatting>
  <conditionalFormatting sqref="K1477:K1478 K1480:K1485">
    <cfRule type="expression" dxfId="7086" priority="11443">
      <formula>#REF! = "produs"</formula>
    </cfRule>
    <cfRule type="expression" dxfId="7085" priority="11444">
      <formula>#REF! = "obiectiv"</formula>
    </cfRule>
  </conditionalFormatting>
  <conditionalFormatting sqref="J1586">
    <cfRule type="expression" dxfId="7084" priority="11283">
      <formula>#REF! = "produs"</formula>
    </cfRule>
    <cfRule type="expression" dxfId="7083" priority="11284">
      <formula>#REF! = "obiectiv"</formula>
    </cfRule>
  </conditionalFormatting>
  <conditionalFormatting sqref="K2157:P2157 W2157:IU2157">
    <cfRule type="expression" dxfId="7082" priority="11011">
      <formula>#REF! = "produs"</formula>
    </cfRule>
    <cfRule type="expression" dxfId="7081" priority="11012">
      <formula>#REF! = "obiectiv"</formula>
    </cfRule>
  </conditionalFormatting>
  <conditionalFormatting sqref="K1712:K1713 K1715:K1720">
    <cfRule type="expression" dxfId="7080" priority="11245">
      <formula>#REF! = "produs"</formula>
    </cfRule>
    <cfRule type="expression" dxfId="7079" priority="11246">
      <formula>#REF! = "obiectiv"</formula>
    </cfRule>
  </conditionalFormatting>
  <conditionalFormatting sqref="J2147">
    <cfRule type="expression" dxfId="7078" priority="11053">
      <formula>#REF! = "produs"</formula>
    </cfRule>
    <cfRule type="expression" dxfId="7077" priority="11054">
      <formula>#REF! = "obiectiv"</formula>
    </cfRule>
  </conditionalFormatting>
  <conditionalFormatting sqref="L1709:P1709 L1705:P1706 L1702:U1702 L1703:P1703">
    <cfRule type="expression" dxfId="7076" priority="11087">
      <formula>#REF! = "produs"</formula>
    </cfRule>
    <cfRule type="expression" dxfId="7075" priority="11088">
      <formula>#REF! = "obiectiv"</formula>
    </cfRule>
  </conditionalFormatting>
  <conditionalFormatting sqref="K2155:K2156 K2158:K2163">
    <cfRule type="expression" dxfId="7074" priority="11025">
      <formula>#REF! = "produs"</formula>
    </cfRule>
    <cfRule type="expression" dxfId="7073" priority="11026">
      <formula>#REF! = "obiectiv"</formula>
    </cfRule>
  </conditionalFormatting>
  <conditionalFormatting sqref="J2155 J2162:J2163 J2160 J2158">
    <cfRule type="expression" dxfId="7072" priority="11023">
      <formula>#REF! = "produs"</formula>
    </cfRule>
    <cfRule type="expression" dxfId="7071" priority="11024">
      <formula>#REF! = "obiectiv"</formula>
    </cfRule>
  </conditionalFormatting>
  <conditionalFormatting sqref="J2172">
    <cfRule type="expression" dxfId="7070" priority="10997">
      <formula>#REF! = "produs"</formula>
    </cfRule>
    <cfRule type="expression" dxfId="7069" priority="10998">
      <formula>#REF! = "obiectiv"</formula>
    </cfRule>
  </conditionalFormatting>
  <conditionalFormatting sqref="J2157">
    <cfRule type="expression" dxfId="7068" priority="11009">
      <formula>#REF! = "produs"</formula>
    </cfRule>
    <cfRule type="expression" dxfId="7067" priority="11010">
      <formula>#REF! = "obiectiv"</formula>
    </cfRule>
  </conditionalFormatting>
  <conditionalFormatting sqref="J2170">
    <cfRule type="expression" dxfId="7066" priority="10991">
      <formula>#REF! = "produs"</formula>
    </cfRule>
    <cfRule type="expression" dxfId="7065" priority="10992">
      <formula>#REF! = "obiectiv"</formula>
    </cfRule>
  </conditionalFormatting>
  <conditionalFormatting sqref="K2168:P2168 W2168:IU2168">
    <cfRule type="expression" dxfId="7064" priority="10989">
      <formula>#REF! = "produs"</formula>
    </cfRule>
    <cfRule type="expression" dxfId="7063" priority="10990">
      <formula>#REF! = "obiectiv"</formula>
    </cfRule>
  </conditionalFormatting>
  <conditionalFormatting sqref="K2176:K2177 K2179:K2184">
    <cfRule type="expression" dxfId="7062" priority="10981">
      <formula>#REF! = "produs"</formula>
    </cfRule>
    <cfRule type="expression" dxfId="7061" priority="10982">
      <formula>#REF! = "obiectiv"</formula>
    </cfRule>
  </conditionalFormatting>
  <conditionalFormatting sqref="J2176 J2183:J2184 J2181 J2179">
    <cfRule type="expression" dxfId="7060" priority="10979">
      <formula>#REF! = "produs"</formula>
    </cfRule>
    <cfRule type="expression" dxfId="7059" priority="10980">
      <formula>#REF! = "obiectiv"</formula>
    </cfRule>
  </conditionalFormatting>
  <conditionalFormatting sqref="J2168">
    <cfRule type="expression" dxfId="7058" priority="10987">
      <formula>#REF! = "produs"</formula>
    </cfRule>
    <cfRule type="expression" dxfId="7057" priority="10988">
      <formula>#REF! = "obiectiv"</formula>
    </cfRule>
  </conditionalFormatting>
  <conditionalFormatting sqref="J2103 J2110:J2111 J2108 J2106">
    <cfRule type="expression" dxfId="7056" priority="10737">
      <formula>#REF! = "produs"</formula>
    </cfRule>
    <cfRule type="expression" dxfId="7055" priority="10738">
      <formula>#REF! = "obiectiv"</formula>
    </cfRule>
  </conditionalFormatting>
  <conditionalFormatting sqref="J2178">
    <cfRule type="expression" dxfId="7054" priority="10965">
      <formula>#REF! = "produs"</formula>
    </cfRule>
    <cfRule type="expression" dxfId="7053" priority="10966">
      <formula>#REF! = "obiectiv"</formula>
    </cfRule>
  </conditionalFormatting>
  <conditionalFormatting sqref="L1586:P1586">
    <cfRule type="expression" dxfId="7052" priority="11281">
      <formula>#REF! = "produs"</formula>
    </cfRule>
    <cfRule type="expression" dxfId="7051" priority="11282">
      <formula>#REF! = "obiectiv"</formula>
    </cfRule>
  </conditionalFormatting>
  <conditionalFormatting sqref="J1732 J1739:J1740 J1737 J1735">
    <cfRule type="expression" dxfId="7050" priority="11221">
      <formula>#REF! = "produs"</formula>
    </cfRule>
    <cfRule type="expression" dxfId="7049" priority="11222">
      <formula>#REF! = "obiectiv"</formula>
    </cfRule>
  </conditionalFormatting>
  <conditionalFormatting sqref="J1716">
    <cfRule type="expression" dxfId="7048" priority="11233">
      <formula>#REF! = "produs"</formula>
    </cfRule>
    <cfRule type="expression" dxfId="7047" priority="11234">
      <formula>#REF! = "obiectiv"</formula>
    </cfRule>
  </conditionalFormatting>
  <conditionalFormatting sqref="K1590:K1591 K1593:K1598">
    <cfRule type="expression" dxfId="7046" priority="11267">
      <formula>#REF! = "produs"</formula>
    </cfRule>
    <cfRule type="expression" dxfId="7045" priority="11268">
      <formula>#REF! = "obiectiv"</formula>
    </cfRule>
  </conditionalFormatting>
  <conditionalFormatting sqref="J2188">
    <cfRule type="expression" dxfId="7044" priority="10943">
      <formula>#REF! = "produs"</formula>
    </cfRule>
    <cfRule type="expression" dxfId="7043" priority="10944">
      <formula>#REF! = "obiectiv"</formula>
    </cfRule>
  </conditionalFormatting>
  <conditionalFormatting sqref="L2129:P2129">
    <cfRule type="expression" dxfId="7042" priority="10687">
      <formula>#REF! = "produs"</formula>
    </cfRule>
    <cfRule type="expression" dxfId="7041" priority="10688">
      <formula>#REF! = "obiectiv"</formula>
    </cfRule>
  </conditionalFormatting>
  <conditionalFormatting sqref="L2128:P2128">
    <cfRule type="expression" dxfId="7040" priority="10685">
      <formula>#REF! = "produs"</formula>
    </cfRule>
    <cfRule type="expression" dxfId="7039" priority="10686">
      <formula>#REF! = "obiectiv"</formula>
    </cfRule>
  </conditionalFormatting>
  <conditionalFormatting sqref="L1588:U1588 L1587:P1587 L1580:U1580 L1581:P1581 L1583:P1584">
    <cfRule type="expression" dxfId="7038" priority="11285">
      <formula>#REF! = "produs"</formula>
    </cfRule>
    <cfRule type="expression" dxfId="7037" priority="11286">
      <formula>#REF! = "obiectiv"</formula>
    </cfRule>
  </conditionalFormatting>
  <conditionalFormatting sqref="J2198">
    <cfRule type="expression" dxfId="7036" priority="10921">
      <formula>#REF! = "produs"</formula>
    </cfRule>
    <cfRule type="expression" dxfId="7035" priority="10922">
      <formula>#REF! = "obiectiv"</formula>
    </cfRule>
  </conditionalFormatting>
  <conditionalFormatting sqref="J2192">
    <cfRule type="expression" dxfId="7034" priority="10953">
      <formula>#REF! = "produs"</formula>
    </cfRule>
    <cfRule type="expression" dxfId="7033" priority="10954">
      <formula>#REF! = "obiectiv"</formula>
    </cfRule>
  </conditionalFormatting>
  <conditionalFormatting sqref="L1737:P1737">
    <cfRule type="expression" dxfId="7032" priority="11213">
      <formula>#REF! = "produs"</formula>
    </cfRule>
    <cfRule type="expression" dxfId="7031" priority="11214">
      <formula>#REF! = "obiectiv"</formula>
    </cfRule>
  </conditionalFormatting>
  <conditionalFormatting sqref="J2202">
    <cfRule type="expression" dxfId="7030" priority="10931">
      <formula>#REF! = "produs"</formula>
    </cfRule>
    <cfRule type="expression" dxfId="7029" priority="10932">
      <formula>#REF! = "obiectiv"</formula>
    </cfRule>
  </conditionalFormatting>
  <conditionalFormatting sqref="L1717:P1717">
    <cfRule type="expression" dxfId="7028" priority="11235">
      <formula>#REF! = "produs"</formula>
    </cfRule>
    <cfRule type="expression" dxfId="7027" priority="11236">
      <formula>#REF! = "obiectiv"</formula>
    </cfRule>
  </conditionalFormatting>
  <conditionalFormatting sqref="K1714:P1714 W1714:IU1714">
    <cfRule type="expression" dxfId="7026" priority="11231">
      <formula>#REF! = "produs"</formula>
    </cfRule>
    <cfRule type="expression" dxfId="7025" priority="11232">
      <formula>#REF! = "obiectiv"</formula>
    </cfRule>
  </conditionalFormatting>
  <conditionalFormatting sqref="J2208">
    <cfRule type="expression" dxfId="7024" priority="10899">
      <formula>#REF! = "produs"</formula>
    </cfRule>
    <cfRule type="expression" dxfId="7023" priority="10900">
      <formula>#REF! = "obiectiv"</formula>
    </cfRule>
  </conditionalFormatting>
  <conditionalFormatting sqref="J2212">
    <cfRule type="expression" dxfId="7022" priority="10909">
      <formula>#REF! = "produs"</formula>
    </cfRule>
    <cfRule type="expression" dxfId="7021" priority="10910">
      <formula>#REF! = "obiectiv"</formula>
    </cfRule>
  </conditionalFormatting>
  <conditionalFormatting sqref="W1732:IU1733 W1735:IU1740">
    <cfRule type="expression" dxfId="7020" priority="11225">
      <formula>#REF! = "produs"</formula>
    </cfRule>
    <cfRule type="expression" dxfId="7019" priority="11226">
      <formula>#REF! = "obiectiv"</formula>
    </cfRule>
  </conditionalFormatting>
  <conditionalFormatting sqref="K1732:K1733 K1735:K1740">
    <cfRule type="expression" dxfId="7018" priority="11223">
      <formula>#REF! = "produs"</formula>
    </cfRule>
    <cfRule type="expression" dxfId="7017" priority="11224">
      <formula>#REF! = "obiectiv"</formula>
    </cfRule>
  </conditionalFormatting>
  <conditionalFormatting sqref="L1740:U1740 L1739:P1739 L1732:U1732 L1733:P1733 L1735:P1736">
    <cfRule type="expression" dxfId="7016" priority="11219">
      <formula>#REF! = "produs"</formula>
    </cfRule>
    <cfRule type="expression" dxfId="7015" priority="11220">
      <formula>#REF! = "obiectiv"</formula>
    </cfRule>
  </conditionalFormatting>
  <conditionalFormatting sqref="J1708">
    <cfRule type="expression" dxfId="7014" priority="11085">
      <formula>#REF! = "produs"</formula>
    </cfRule>
    <cfRule type="expression" dxfId="7013" priority="11086">
      <formula>#REF! = "obiectiv"</formula>
    </cfRule>
  </conditionalFormatting>
  <conditionalFormatting sqref="L1738:P1738">
    <cfRule type="expression" dxfId="7012" priority="11215">
      <formula>#REF! = "produs"</formula>
    </cfRule>
    <cfRule type="expression" dxfId="7011" priority="11216">
      <formula>#REF! = "obiectiv"</formula>
    </cfRule>
  </conditionalFormatting>
  <conditionalFormatting sqref="K1702:K1703 K1705:K1720 K1731:K1760">
    <cfRule type="expression" dxfId="7010" priority="11091">
      <formula>#REF! = "produs"</formula>
    </cfRule>
    <cfRule type="expression" dxfId="7009" priority="11092">
      <formula>#REF! = "obiectiv"</formula>
    </cfRule>
  </conditionalFormatting>
  <conditionalFormatting sqref="J2012">
    <cfRule type="expression" dxfId="7008" priority="10877">
      <formula>#REF! = "produs"</formula>
    </cfRule>
    <cfRule type="expression" dxfId="7007" priority="10878">
      <formula>#REF! = "obiectiv"</formula>
    </cfRule>
  </conditionalFormatting>
  <conditionalFormatting sqref="J2022">
    <cfRule type="expression" dxfId="7006" priority="10855">
      <formula>#REF! = "produs"</formula>
    </cfRule>
    <cfRule type="expression" dxfId="7005" priority="10856">
      <formula>#REF! = "obiectiv"</formula>
    </cfRule>
  </conditionalFormatting>
  <conditionalFormatting sqref="J1702 J1709:J1712 J1707 J1705 J1714:J1720 J1734:J1742 J1744:J1752 J1754:J1760 J1731:J1732">
    <cfRule type="expression" dxfId="7004" priority="11089">
      <formula>#REF! = "produs"</formula>
    </cfRule>
    <cfRule type="expression" dxfId="7003" priority="11090">
      <formula>#REF! = "obiectiv"</formula>
    </cfRule>
  </conditionalFormatting>
  <conditionalFormatting sqref="L2204:U2204 L2203:P2203 L2199:P2200 L2196:U2196 L2197:P2197">
    <cfRule type="expression" dxfId="7002" priority="10933">
      <formula>#REF! = "produs"</formula>
    </cfRule>
    <cfRule type="expression" dxfId="7001" priority="10934">
      <formula>#REF! = "obiectiv"</formula>
    </cfRule>
  </conditionalFormatting>
  <conditionalFormatting sqref="W1702:IU1703 W1705:IU1720 W1731:IU1760">
    <cfRule type="expression" dxfId="7000" priority="11093">
      <formula>#REF! = "produs"</formula>
    </cfRule>
    <cfRule type="expression" dxfId="6999" priority="11094">
      <formula>#REF! = "obiectiv"</formula>
    </cfRule>
  </conditionalFormatting>
  <conditionalFormatting sqref="J1706">
    <cfRule type="expression" dxfId="6998" priority="11079">
      <formula>#REF! = "produs"</formula>
    </cfRule>
    <cfRule type="expression" dxfId="6997" priority="11080">
      <formula>#REF! = "obiectiv"</formula>
    </cfRule>
  </conditionalFormatting>
  <conditionalFormatting sqref="J2075">
    <cfRule type="expression" dxfId="6996" priority="10789">
      <formula>#REF! = "produs"</formula>
    </cfRule>
    <cfRule type="expression" dxfId="6995" priority="10790">
      <formula>#REF! = "obiectiv"</formula>
    </cfRule>
  </conditionalFormatting>
  <conditionalFormatting sqref="L2131:U2131 L2130:P2130 L2124:P2124 L2123:U2123 L2126:P2127">
    <cfRule type="expression" dxfId="6994" priority="10691">
      <formula>#REF! = "produs"</formula>
    </cfRule>
    <cfRule type="expression" dxfId="6993" priority="10692">
      <formula>#REF! = "obiectiv"</formula>
    </cfRule>
  </conditionalFormatting>
  <conditionalFormatting sqref="J2085">
    <cfRule type="expression" dxfId="6992" priority="10767">
      <formula>#REF! = "produs"</formula>
    </cfRule>
    <cfRule type="expression" dxfId="6991" priority="10768">
      <formula>#REF! = "obiectiv"</formula>
    </cfRule>
  </conditionalFormatting>
  <conditionalFormatting sqref="J2190">
    <cfRule type="expression" dxfId="6990" priority="10947">
      <formula>#REF! = "produs"</formula>
    </cfRule>
    <cfRule type="expression" dxfId="6989" priority="10948">
      <formula>#REF! = "obiectiv"</formula>
    </cfRule>
  </conditionalFormatting>
  <conditionalFormatting sqref="L1708:P1708">
    <cfRule type="expression" dxfId="6988" priority="11083">
      <formula>#REF! = "produs"</formula>
    </cfRule>
    <cfRule type="expression" dxfId="6987" priority="11084">
      <formula>#REF! = "obiectiv"</formula>
    </cfRule>
  </conditionalFormatting>
  <conditionalFormatting sqref="L1707:P1707">
    <cfRule type="expression" dxfId="6986" priority="11081">
      <formula>#REF! = "produs"</formula>
    </cfRule>
    <cfRule type="expression" dxfId="6985" priority="11082">
      <formula>#REF! = "obiectiv"</formula>
    </cfRule>
  </conditionalFormatting>
  <conditionalFormatting sqref="K1704:P1704 W1704:IU1704">
    <cfRule type="expression" dxfId="6984" priority="11077">
      <formula>#REF! = "produs"</formula>
    </cfRule>
    <cfRule type="expression" dxfId="6983" priority="11078">
      <formula>#REF! = "obiectiv"</formula>
    </cfRule>
  </conditionalFormatting>
  <conditionalFormatting sqref="J2095">
    <cfRule type="expression" dxfId="6982" priority="10745">
      <formula>#REF! = "produs"</formula>
    </cfRule>
    <cfRule type="expression" dxfId="6981" priority="10746">
      <formula>#REF! = "obiectiv"</formula>
    </cfRule>
  </conditionalFormatting>
  <conditionalFormatting sqref="K2123:K2124 K2126:K2131">
    <cfRule type="expression" dxfId="6980" priority="10695">
      <formula>#REF! = "produs"</formula>
    </cfRule>
    <cfRule type="expression" dxfId="6979" priority="10696">
      <formula>#REF! = "obiectiv"</formula>
    </cfRule>
  </conditionalFormatting>
  <conditionalFormatting sqref="J2129">
    <cfRule type="expression" dxfId="6978" priority="10689">
      <formula>#REF! = "produs"</formula>
    </cfRule>
    <cfRule type="expression" dxfId="6977" priority="10690">
      <formula>#REF! = "obiectiv"</formula>
    </cfRule>
  </conditionalFormatting>
  <conditionalFormatting sqref="K2196:K2197 K2199:K2204">
    <cfRule type="expression" dxfId="6976" priority="10937">
      <formula>#REF! = "produs"</formula>
    </cfRule>
    <cfRule type="expression" dxfId="6975" priority="10938">
      <formula>#REF! = "obiectiv"</formula>
    </cfRule>
  </conditionalFormatting>
  <conditionalFormatting sqref="J2200">
    <cfRule type="expression" dxfId="6974" priority="10925">
      <formula>#REF! = "produs"</formula>
    </cfRule>
    <cfRule type="expression" dxfId="6973" priority="10926">
      <formula>#REF! = "obiectiv"</formula>
    </cfRule>
  </conditionalFormatting>
  <conditionalFormatting sqref="J2115">
    <cfRule type="expression" dxfId="6972" priority="10701">
      <formula>#REF! = "produs"</formula>
    </cfRule>
    <cfRule type="expression" dxfId="6971" priority="10702">
      <formula>#REF! = "obiectiv"</formula>
    </cfRule>
  </conditionalFormatting>
  <conditionalFormatting sqref="J2186 J2193:J2194 J2191 J2189">
    <cfRule type="expression" dxfId="6970" priority="10957">
      <formula>#REF! = "produs"</formula>
    </cfRule>
    <cfRule type="expression" dxfId="6969" priority="10958">
      <formula>#REF! = "obiectiv"</formula>
    </cfRule>
  </conditionalFormatting>
  <conditionalFormatting sqref="J2125">
    <cfRule type="expression" dxfId="6968" priority="10679">
      <formula>#REF! = "produs"</formula>
    </cfRule>
    <cfRule type="expression" dxfId="6967" priority="10680">
      <formula>#REF! = "obiectiv"</formula>
    </cfRule>
  </conditionalFormatting>
  <conditionalFormatting sqref="J2196 J2203:J2204 J2201 J2199">
    <cfRule type="expression" dxfId="6966" priority="10935">
      <formula>#REF! = "produs"</formula>
    </cfRule>
    <cfRule type="expression" dxfId="6965" priority="10936">
      <formula>#REF! = "obiectiv"</formula>
    </cfRule>
  </conditionalFormatting>
  <conditionalFormatting sqref="J2016">
    <cfRule type="expression" dxfId="6964" priority="10887">
      <formula>#REF! = "produs"</formula>
    </cfRule>
    <cfRule type="expression" dxfId="6963" priority="10888">
      <formula>#REF! = "obiectiv"</formula>
    </cfRule>
  </conditionalFormatting>
  <conditionalFormatting sqref="W2196:IU2197 W2199:IU2204">
    <cfRule type="expression" dxfId="6962" priority="10939">
      <formula>#REF! = "produs"</formula>
    </cfRule>
    <cfRule type="expression" dxfId="6961" priority="10940">
      <formula>#REF! = "obiectiv"</formula>
    </cfRule>
  </conditionalFormatting>
  <conditionalFormatting sqref="L2202:P2202">
    <cfRule type="expression" dxfId="6960" priority="10929">
      <formula>#REF! = "produs"</formula>
    </cfRule>
    <cfRule type="expression" dxfId="6959" priority="10930">
      <formula>#REF! = "obiectiv"</formula>
    </cfRule>
  </conditionalFormatting>
  <conditionalFormatting sqref="L2201:P2201">
    <cfRule type="expression" dxfId="6958" priority="10927">
      <formula>#REF! = "produs"</formula>
    </cfRule>
    <cfRule type="expression" dxfId="6957" priority="10928">
      <formula>#REF! = "obiectiv"</formula>
    </cfRule>
  </conditionalFormatting>
  <conditionalFormatting sqref="W2186:IU2187 W2189:IU2194">
    <cfRule type="expression" dxfId="6956" priority="10961">
      <formula>#REF! = "produs"</formula>
    </cfRule>
    <cfRule type="expression" dxfId="6955" priority="10962">
      <formula>#REF! = "obiectiv"</formula>
    </cfRule>
  </conditionalFormatting>
  <conditionalFormatting sqref="K2186:K2187 K2189:K2194">
    <cfRule type="expression" dxfId="6954" priority="10959">
      <formula>#REF! = "produs"</formula>
    </cfRule>
    <cfRule type="expression" dxfId="6953" priority="10960">
      <formula>#REF! = "obiectiv"</formula>
    </cfRule>
  </conditionalFormatting>
  <conditionalFormatting sqref="J2206 J2213:J2214 J2211 J2209">
    <cfRule type="expression" dxfId="6952" priority="10913">
      <formula>#REF! = "produs"</formula>
    </cfRule>
    <cfRule type="expression" dxfId="6951" priority="10914">
      <formula>#REF! = "obiectiv"</formula>
    </cfRule>
  </conditionalFormatting>
  <conditionalFormatting sqref="L2194:U2194 L2193:P2193 L2189:P2190 L2186:U2186 L2187:P2187">
    <cfRule type="expression" dxfId="6950" priority="10955">
      <formula>#REF! = "produs"</formula>
    </cfRule>
    <cfRule type="expression" dxfId="6949" priority="10956">
      <formula>#REF! = "obiectiv"</formula>
    </cfRule>
  </conditionalFormatting>
  <conditionalFormatting sqref="L2192:P2192">
    <cfRule type="expression" dxfId="6948" priority="10951">
      <formula>#REF! = "produs"</formula>
    </cfRule>
    <cfRule type="expression" dxfId="6947" priority="10952">
      <formula>#REF! = "obiectiv"</formula>
    </cfRule>
  </conditionalFormatting>
  <conditionalFormatting sqref="L2191:P2191">
    <cfRule type="expression" dxfId="6946" priority="10949">
      <formula>#REF! = "produs"</formula>
    </cfRule>
    <cfRule type="expression" dxfId="6945" priority="10950">
      <formula>#REF! = "obiectiv"</formula>
    </cfRule>
  </conditionalFormatting>
  <conditionalFormatting sqref="K2188:P2188 W2188:IU2188">
    <cfRule type="expression" dxfId="6944" priority="10945">
      <formula>#REF! = "produs"</formula>
    </cfRule>
    <cfRule type="expression" dxfId="6943" priority="10946">
      <formula>#REF! = "obiectiv"</formula>
    </cfRule>
  </conditionalFormatting>
  <conditionalFormatting sqref="J2010 J2017:J2018 J2015 J2013">
    <cfRule type="expression" dxfId="6942" priority="10891">
      <formula>#REF! = "produs"</formula>
    </cfRule>
    <cfRule type="expression" dxfId="6941" priority="10892">
      <formula>#REF! = "obiectiv"</formula>
    </cfRule>
  </conditionalFormatting>
  <conditionalFormatting sqref="J2210">
    <cfRule type="expression" dxfId="6940" priority="10903">
      <formula>#REF! = "produs"</formula>
    </cfRule>
    <cfRule type="expression" dxfId="6939" priority="10904">
      <formula>#REF! = "obiectiv"</formula>
    </cfRule>
  </conditionalFormatting>
  <conditionalFormatting sqref="K2198:P2198 W2198:IU2198">
    <cfRule type="expression" dxfId="6938" priority="10923">
      <formula>#REF! = "produs"</formula>
    </cfRule>
    <cfRule type="expression" dxfId="6937" priority="10924">
      <formula>#REF! = "obiectiv"</formula>
    </cfRule>
  </conditionalFormatting>
  <conditionalFormatting sqref="W2206:IU2207 W2209:IU2214">
    <cfRule type="expression" dxfId="6936" priority="10917">
      <formula>#REF! = "produs"</formula>
    </cfRule>
    <cfRule type="expression" dxfId="6935" priority="10918">
      <formula>#REF! = "obiectiv"</formula>
    </cfRule>
  </conditionalFormatting>
  <conditionalFormatting sqref="K2206:K2207 K2209:K2214">
    <cfRule type="expression" dxfId="6934" priority="10915">
      <formula>#REF! = "produs"</formula>
    </cfRule>
    <cfRule type="expression" dxfId="6933" priority="10916">
      <formula>#REF! = "obiectiv"</formula>
    </cfRule>
  </conditionalFormatting>
  <conditionalFormatting sqref="J2020 J2027:J2028 J2025 J2023">
    <cfRule type="expression" dxfId="6932" priority="10869">
      <formula>#REF! = "produs"</formula>
    </cfRule>
    <cfRule type="expression" dxfId="6931" priority="10870">
      <formula>#REF! = "obiectiv"</formula>
    </cfRule>
  </conditionalFormatting>
  <conditionalFormatting sqref="L2214:U2214 L2213:P2213 L2209:P2210 L2206:U2206 L2207:P2207">
    <cfRule type="expression" dxfId="6930" priority="10911">
      <formula>#REF! = "produs"</formula>
    </cfRule>
    <cfRule type="expression" dxfId="6929" priority="10912">
      <formula>#REF! = "obiectiv"</formula>
    </cfRule>
  </conditionalFormatting>
  <conditionalFormatting sqref="L2212:P2212">
    <cfRule type="expression" dxfId="6928" priority="10907">
      <formula>#REF! = "produs"</formula>
    </cfRule>
    <cfRule type="expression" dxfId="6927" priority="10908">
      <formula>#REF! = "obiectiv"</formula>
    </cfRule>
  </conditionalFormatting>
  <conditionalFormatting sqref="L2211:P2211">
    <cfRule type="expression" dxfId="6926" priority="10905">
      <formula>#REF! = "produs"</formula>
    </cfRule>
    <cfRule type="expression" dxfId="6925" priority="10906">
      <formula>#REF! = "obiectiv"</formula>
    </cfRule>
  </conditionalFormatting>
  <conditionalFormatting sqref="J2014">
    <cfRule type="expression" dxfId="6924" priority="10881">
      <formula>#REF! = "produs"</formula>
    </cfRule>
    <cfRule type="expression" dxfId="6923" priority="10882">
      <formula>#REF! = "obiectiv"</formula>
    </cfRule>
  </conditionalFormatting>
  <conditionalFormatting sqref="K2208:P2208 W2208:IU2208">
    <cfRule type="expression" dxfId="6922" priority="10901">
      <formula>#REF! = "produs"</formula>
    </cfRule>
    <cfRule type="expression" dxfId="6921" priority="10902">
      <formula>#REF! = "obiectiv"</formula>
    </cfRule>
  </conditionalFormatting>
  <conditionalFormatting sqref="W2010:IU2011 W2013:IU2018">
    <cfRule type="expression" dxfId="6920" priority="10895">
      <formula>#REF! = "produs"</formula>
    </cfRule>
    <cfRule type="expression" dxfId="6919" priority="10896">
      <formula>#REF! = "obiectiv"</formula>
    </cfRule>
  </conditionalFormatting>
  <conditionalFormatting sqref="K2010:K2011 K2013:K2018">
    <cfRule type="expression" dxfId="6918" priority="10893">
      <formula>#REF! = "produs"</formula>
    </cfRule>
    <cfRule type="expression" dxfId="6917" priority="10894">
      <formula>#REF! = "obiectiv"</formula>
    </cfRule>
  </conditionalFormatting>
  <conditionalFormatting sqref="L2018:U2018 L2017:P2017 L2010:U2010 L2011:P2011 L2013:P2014">
    <cfRule type="expression" dxfId="6916" priority="10889">
      <formula>#REF! = "produs"</formula>
    </cfRule>
    <cfRule type="expression" dxfId="6915" priority="10890">
      <formula>#REF! = "obiectiv"</formula>
    </cfRule>
  </conditionalFormatting>
  <conditionalFormatting sqref="J2079">
    <cfRule type="expression" dxfId="6914" priority="10799">
      <formula>#REF! = "produs"</formula>
    </cfRule>
    <cfRule type="expression" dxfId="6913" priority="10800">
      <formula>#REF! = "obiectiv"</formula>
    </cfRule>
  </conditionalFormatting>
  <conditionalFormatting sqref="L2016:P2016">
    <cfRule type="expression" dxfId="6912" priority="10885">
      <formula>#REF! = "produs"</formula>
    </cfRule>
    <cfRule type="expression" dxfId="6911" priority="10886">
      <formula>#REF! = "obiectiv"</formula>
    </cfRule>
  </conditionalFormatting>
  <conditionalFormatting sqref="L2015:P2015">
    <cfRule type="expression" dxfId="6910" priority="10883">
      <formula>#REF! = "produs"</formula>
    </cfRule>
    <cfRule type="expression" dxfId="6909" priority="10884">
      <formula>#REF! = "obiectiv"</formula>
    </cfRule>
  </conditionalFormatting>
  <conditionalFormatting sqref="J2024">
    <cfRule type="expression" dxfId="6908" priority="10859">
      <formula>#REF! = "produs"</formula>
    </cfRule>
    <cfRule type="expression" dxfId="6907" priority="10860">
      <formula>#REF! = "obiectiv"</formula>
    </cfRule>
  </conditionalFormatting>
  <conditionalFormatting sqref="K2012:P2012 W2012:IU2012">
    <cfRule type="expression" dxfId="6906" priority="10879">
      <formula>#REF! = "produs"</formula>
    </cfRule>
    <cfRule type="expression" dxfId="6905" priority="10880">
      <formula>#REF! = "obiectiv"</formula>
    </cfRule>
  </conditionalFormatting>
  <conditionalFormatting sqref="W2020:IU2021 W2023:IU2028">
    <cfRule type="expression" dxfId="6904" priority="10873">
      <formula>#REF! = "produs"</formula>
    </cfRule>
    <cfRule type="expression" dxfId="6903" priority="10874">
      <formula>#REF! = "obiectiv"</formula>
    </cfRule>
  </conditionalFormatting>
  <conditionalFormatting sqref="K2020:K2021 K2023:K2028">
    <cfRule type="expression" dxfId="6902" priority="10871">
      <formula>#REF! = "produs"</formula>
    </cfRule>
    <cfRule type="expression" dxfId="6901" priority="10872">
      <formula>#REF! = "obiectiv"</formula>
    </cfRule>
  </conditionalFormatting>
  <conditionalFormatting sqref="L2028:U2028 L2027:P2027 L2023:P2024 L2020:U2020 L2021:P2021">
    <cfRule type="expression" dxfId="6900" priority="10867">
      <formula>#REF! = "produs"</formula>
    </cfRule>
    <cfRule type="expression" dxfId="6899" priority="10868">
      <formula>#REF! = "obiectiv"</formula>
    </cfRule>
  </conditionalFormatting>
  <conditionalFormatting sqref="J2089">
    <cfRule type="expression" dxfId="6898" priority="10777">
      <formula>#REF! = "produs"</formula>
    </cfRule>
    <cfRule type="expression" dxfId="6897" priority="10778">
      <formula>#REF! = "obiectiv"</formula>
    </cfRule>
  </conditionalFormatting>
  <conditionalFormatting sqref="L2026:P2026">
    <cfRule type="expression" dxfId="6896" priority="10863">
      <formula>#REF! = "produs"</formula>
    </cfRule>
    <cfRule type="expression" dxfId="6895" priority="10864">
      <formula>#REF! = "obiectiv"</formula>
    </cfRule>
  </conditionalFormatting>
  <conditionalFormatting sqref="L2025:P2025">
    <cfRule type="expression" dxfId="6894" priority="10861">
      <formula>#REF! = "produs"</formula>
    </cfRule>
    <cfRule type="expression" dxfId="6893" priority="10862">
      <formula>#REF! = "obiectiv"</formula>
    </cfRule>
  </conditionalFormatting>
  <conditionalFormatting sqref="K2022:P2022 W2022:IU2022">
    <cfRule type="expression" dxfId="6892" priority="10857">
      <formula>#REF! = "produs"</formula>
    </cfRule>
    <cfRule type="expression" dxfId="6891" priority="10858">
      <formula>#REF! = "obiectiv"</formula>
    </cfRule>
  </conditionalFormatting>
  <conditionalFormatting sqref="J2073 J2080:J2081 J2078 J2076">
    <cfRule type="expression" dxfId="6890" priority="10803">
      <formula>#REF! = "produs"</formula>
    </cfRule>
    <cfRule type="expression" dxfId="6889" priority="10804">
      <formula>#REF! = "obiectiv"</formula>
    </cfRule>
  </conditionalFormatting>
  <conditionalFormatting sqref="J2099">
    <cfRule type="expression" dxfId="6888" priority="10755">
      <formula>#REF! = "produs"</formula>
    </cfRule>
    <cfRule type="expression" dxfId="6887" priority="10756">
      <formula>#REF! = "obiectiv"</formula>
    </cfRule>
  </conditionalFormatting>
  <conditionalFormatting sqref="J2083 J2090:J2091 J2088 J2086">
    <cfRule type="expression" dxfId="6886" priority="10781">
      <formula>#REF! = "produs"</formula>
    </cfRule>
    <cfRule type="expression" dxfId="6885" priority="10782">
      <formula>#REF! = "obiectiv"</formula>
    </cfRule>
  </conditionalFormatting>
  <conditionalFormatting sqref="J2109">
    <cfRule type="expression" dxfId="6884" priority="10733">
      <formula>#REF! = "produs"</formula>
    </cfRule>
    <cfRule type="expression" dxfId="6883" priority="10734">
      <formula>#REF! = "obiectiv"</formula>
    </cfRule>
  </conditionalFormatting>
  <conditionalFormatting sqref="W2073:IU2074 W2076:IU2081">
    <cfRule type="expression" dxfId="6882" priority="10807">
      <formula>#REF! = "produs"</formula>
    </cfRule>
    <cfRule type="expression" dxfId="6881" priority="10808">
      <formula>#REF! = "obiectiv"</formula>
    </cfRule>
  </conditionalFormatting>
  <conditionalFormatting sqref="K2073:K2074 K2076:K2081">
    <cfRule type="expression" dxfId="6880" priority="10805">
      <formula>#REF! = "produs"</formula>
    </cfRule>
    <cfRule type="expression" dxfId="6879" priority="10806">
      <formula>#REF! = "obiectiv"</formula>
    </cfRule>
  </conditionalFormatting>
  <conditionalFormatting sqref="L2081:U2081 L2080:P2080 L2076:P2077 L2073:U2073 L2074:P2074">
    <cfRule type="expression" dxfId="6878" priority="10801">
      <formula>#REF! = "produs"</formula>
    </cfRule>
    <cfRule type="expression" dxfId="6877" priority="10802">
      <formula>#REF! = "obiectiv"</formula>
    </cfRule>
  </conditionalFormatting>
  <conditionalFormatting sqref="J2119">
    <cfRule type="expression" dxfId="6876" priority="10711">
      <formula>#REF! = "produs"</formula>
    </cfRule>
    <cfRule type="expression" dxfId="6875" priority="10712">
      <formula>#REF! = "obiectiv"</formula>
    </cfRule>
  </conditionalFormatting>
  <conditionalFormatting sqref="L2079:P2079">
    <cfRule type="expression" dxfId="6874" priority="10797">
      <formula>#REF! = "produs"</formula>
    </cfRule>
    <cfRule type="expression" dxfId="6873" priority="10798">
      <formula>#REF! = "obiectiv"</formula>
    </cfRule>
  </conditionalFormatting>
  <conditionalFormatting sqref="L2078:P2078">
    <cfRule type="expression" dxfId="6872" priority="10795">
      <formula>#REF! = "produs"</formula>
    </cfRule>
    <cfRule type="expression" dxfId="6871" priority="10796">
      <formula>#REF! = "obiectiv"</formula>
    </cfRule>
  </conditionalFormatting>
  <conditionalFormatting sqref="J2077">
    <cfRule type="expression" dxfId="6870" priority="10793">
      <formula>#REF! = "produs"</formula>
    </cfRule>
    <cfRule type="expression" dxfId="6869" priority="10794">
      <formula>#REF! = "obiectiv"</formula>
    </cfRule>
  </conditionalFormatting>
  <conditionalFormatting sqref="K2075:P2075 W2075:IU2075">
    <cfRule type="expression" dxfId="6868" priority="10791">
      <formula>#REF! = "produs"</formula>
    </cfRule>
    <cfRule type="expression" dxfId="6867" priority="10792">
      <formula>#REF! = "obiectiv"</formula>
    </cfRule>
  </conditionalFormatting>
  <conditionalFormatting sqref="W2083:IU2084 W2086:IU2091">
    <cfRule type="expression" dxfId="6866" priority="10785">
      <formula>#REF! = "produs"</formula>
    </cfRule>
    <cfRule type="expression" dxfId="6865" priority="10786">
      <formula>#REF! = "obiectiv"</formula>
    </cfRule>
  </conditionalFormatting>
  <conditionalFormatting sqref="K2083:K2084 K2086:K2091">
    <cfRule type="expression" dxfId="6864" priority="10783">
      <formula>#REF! = "produs"</formula>
    </cfRule>
    <cfRule type="expression" dxfId="6863" priority="10784">
      <formula>#REF! = "obiectiv"</formula>
    </cfRule>
  </conditionalFormatting>
  <conditionalFormatting sqref="J2093 J2100:J2101 J2098 J2096">
    <cfRule type="expression" dxfId="6862" priority="10759">
      <formula>#REF! = "produs"</formula>
    </cfRule>
    <cfRule type="expression" dxfId="6861" priority="10760">
      <formula>#REF! = "obiectiv"</formula>
    </cfRule>
  </conditionalFormatting>
  <conditionalFormatting sqref="L2091:U2091 L2090:P2090 L2084:P2084 L2086:P2087 L2083:U2083">
    <cfRule type="expression" dxfId="6860" priority="10779">
      <formula>#REF! = "produs"</formula>
    </cfRule>
    <cfRule type="expression" dxfId="6859" priority="10780">
      <formula>#REF! = "obiectiv"</formula>
    </cfRule>
  </conditionalFormatting>
  <conditionalFormatting sqref="L2089:P2089">
    <cfRule type="expression" dxfId="6858" priority="10775">
      <formula>#REF! = "produs"</formula>
    </cfRule>
    <cfRule type="expression" dxfId="6857" priority="10776">
      <formula>#REF! = "obiectiv"</formula>
    </cfRule>
  </conditionalFormatting>
  <conditionalFormatting sqref="L2088:P2088">
    <cfRule type="expression" dxfId="6856" priority="10773">
      <formula>#REF! = "produs"</formula>
    </cfRule>
    <cfRule type="expression" dxfId="6855" priority="10774">
      <formula>#REF! = "obiectiv"</formula>
    </cfRule>
  </conditionalFormatting>
  <conditionalFormatting sqref="J2087">
    <cfRule type="expression" dxfId="6854" priority="10771">
      <formula>#REF! = "produs"</formula>
    </cfRule>
    <cfRule type="expression" dxfId="6853" priority="10772">
      <formula>#REF! = "obiectiv"</formula>
    </cfRule>
  </conditionalFormatting>
  <conditionalFormatting sqref="K2085:P2085 W2085:IU2085">
    <cfRule type="expression" dxfId="6852" priority="10769">
      <formula>#REF! = "produs"</formula>
    </cfRule>
    <cfRule type="expression" dxfId="6851" priority="10770">
      <formula>#REF! = "obiectiv"</formula>
    </cfRule>
  </conditionalFormatting>
  <conditionalFormatting sqref="W2093:IU2094 W2096:IU2101">
    <cfRule type="expression" dxfId="6850" priority="10763">
      <formula>#REF! = "produs"</formula>
    </cfRule>
    <cfRule type="expression" dxfId="6849" priority="10764">
      <formula>#REF! = "obiectiv"</formula>
    </cfRule>
  </conditionalFormatting>
  <conditionalFormatting sqref="K2093:K2094 K2096:K2101">
    <cfRule type="expression" dxfId="6848" priority="10761">
      <formula>#REF! = "produs"</formula>
    </cfRule>
    <cfRule type="expression" dxfId="6847" priority="10762">
      <formula>#REF! = "obiectiv"</formula>
    </cfRule>
  </conditionalFormatting>
  <conditionalFormatting sqref="L2101:U2101 L2100:P2100 L2093:U2093 L2094:P2094 L2096:P2097">
    <cfRule type="expression" dxfId="6846" priority="10757">
      <formula>#REF! = "produs"</formula>
    </cfRule>
    <cfRule type="expression" dxfId="6845" priority="10758">
      <formula>#REF! = "obiectiv"</formula>
    </cfRule>
  </conditionalFormatting>
  <conditionalFormatting sqref="L2099:P2099">
    <cfRule type="expression" dxfId="6844" priority="10753">
      <formula>#REF! = "produs"</formula>
    </cfRule>
    <cfRule type="expression" dxfId="6843" priority="10754">
      <formula>#REF! = "obiectiv"</formula>
    </cfRule>
  </conditionalFormatting>
  <conditionalFormatting sqref="L2098:P2098">
    <cfRule type="expression" dxfId="6842" priority="10751">
      <formula>#REF! = "produs"</formula>
    </cfRule>
    <cfRule type="expression" dxfId="6841" priority="10752">
      <formula>#REF! = "obiectiv"</formula>
    </cfRule>
  </conditionalFormatting>
  <conditionalFormatting sqref="J2097">
    <cfRule type="expression" dxfId="6840" priority="10749">
      <formula>#REF! = "produs"</formula>
    </cfRule>
    <cfRule type="expression" dxfId="6839" priority="10750">
      <formula>#REF! = "obiectiv"</formula>
    </cfRule>
  </conditionalFormatting>
  <conditionalFormatting sqref="K2095:P2095 W2095:IU2095">
    <cfRule type="expression" dxfId="6838" priority="10747">
      <formula>#REF! = "produs"</formula>
    </cfRule>
    <cfRule type="expression" dxfId="6837" priority="10748">
      <formula>#REF! = "obiectiv"</formula>
    </cfRule>
  </conditionalFormatting>
  <conditionalFormatting sqref="W2103:IU2104 W2106:IU2111">
    <cfRule type="expression" dxfId="6836" priority="10741">
      <formula>#REF! = "produs"</formula>
    </cfRule>
    <cfRule type="expression" dxfId="6835" priority="10742">
      <formula>#REF! = "obiectiv"</formula>
    </cfRule>
  </conditionalFormatting>
  <conditionalFormatting sqref="K2103:K2104 K2106:K2111">
    <cfRule type="expression" dxfId="6834" priority="10739">
      <formula>#REF! = "produs"</formula>
    </cfRule>
    <cfRule type="expression" dxfId="6833" priority="10740">
      <formula>#REF! = "obiectiv"</formula>
    </cfRule>
  </conditionalFormatting>
  <conditionalFormatting sqref="J2113 J2120:J2121 J2118 J2116">
    <cfRule type="expression" dxfId="6832" priority="10715">
      <formula>#REF! = "produs"</formula>
    </cfRule>
    <cfRule type="expression" dxfId="6831" priority="10716">
      <formula>#REF! = "obiectiv"</formula>
    </cfRule>
  </conditionalFormatting>
  <conditionalFormatting sqref="L2111:U2111 L2110:P2110 L2106:P2107 L2103:U2103 L2104:P2104">
    <cfRule type="expression" dxfId="6830" priority="10735">
      <formula>#REF! = "produs"</formula>
    </cfRule>
    <cfRule type="expression" dxfId="6829" priority="10736">
      <formula>#REF! = "obiectiv"</formula>
    </cfRule>
  </conditionalFormatting>
  <conditionalFormatting sqref="L2109:P2109">
    <cfRule type="expression" dxfId="6828" priority="10731">
      <formula>#REF! = "produs"</formula>
    </cfRule>
    <cfRule type="expression" dxfId="6827" priority="10732">
      <formula>#REF! = "obiectiv"</formula>
    </cfRule>
  </conditionalFormatting>
  <conditionalFormatting sqref="L2108:P2108">
    <cfRule type="expression" dxfId="6826" priority="10729">
      <formula>#REF! = "produs"</formula>
    </cfRule>
    <cfRule type="expression" dxfId="6825" priority="10730">
      <formula>#REF! = "obiectiv"</formula>
    </cfRule>
  </conditionalFormatting>
  <conditionalFormatting sqref="J2107">
    <cfRule type="expression" dxfId="6824" priority="10727">
      <formula>#REF! = "produs"</formula>
    </cfRule>
    <cfRule type="expression" dxfId="6823" priority="10728">
      <formula>#REF! = "obiectiv"</formula>
    </cfRule>
  </conditionalFormatting>
  <conditionalFormatting sqref="K2105:P2105 W2105:IU2105">
    <cfRule type="expression" dxfId="6822" priority="10725">
      <formula>#REF! = "produs"</formula>
    </cfRule>
    <cfRule type="expression" dxfId="6821" priority="10726">
      <formula>#REF! = "obiectiv"</formula>
    </cfRule>
  </conditionalFormatting>
  <conditionalFormatting sqref="W2113:IU2114 W2116:IU2121">
    <cfRule type="expression" dxfId="6820" priority="10719">
      <formula>#REF! = "produs"</formula>
    </cfRule>
    <cfRule type="expression" dxfId="6819" priority="10720">
      <formula>#REF! = "obiectiv"</formula>
    </cfRule>
  </conditionalFormatting>
  <conditionalFormatting sqref="K2113:K2114 K2116:K2121">
    <cfRule type="expression" dxfId="6818" priority="10717">
      <formula>#REF! = "produs"</formula>
    </cfRule>
    <cfRule type="expression" dxfId="6817" priority="10718">
      <formula>#REF! = "obiectiv"</formula>
    </cfRule>
  </conditionalFormatting>
  <conditionalFormatting sqref="J2123 J2130:J2131 J2128 J2126">
    <cfRule type="expression" dxfId="6816" priority="10693">
      <formula>#REF! = "produs"</formula>
    </cfRule>
    <cfRule type="expression" dxfId="6815" priority="10694">
      <formula>#REF! = "obiectiv"</formula>
    </cfRule>
  </conditionalFormatting>
  <conditionalFormatting sqref="L2121:U2121 L2120:P2120 L2113:U2113 L2114:P2114 L2116:P2117">
    <cfRule type="expression" dxfId="6814" priority="10713">
      <formula>#REF! = "produs"</formula>
    </cfRule>
    <cfRule type="expression" dxfId="6813" priority="10714">
      <formula>#REF! = "obiectiv"</formula>
    </cfRule>
  </conditionalFormatting>
  <conditionalFormatting sqref="L2119:P2119">
    <cfRule type="expression" dxfId="6812" priority="10709">
      <formula>#REF! = "produs"</formula>
    </cfRule>
    <cfRule type="expression" dxfId="6811" priority="10710">
      <formula>#REF! = "obiectiv"</formula>
    </cfRule>
  </conditionalFormatting>
  <conditionalFormatting sqref="L2118:P2118">
    <cfRule type="expression" dxfId="6810" priority="10707">
      <formula>#REF! = "produs"</formula>
    </cfRule>
    <cfRule type="expression" dxfId="6809" priority="10708">
      <formula>#REF! = "obiectiv"</formula>
    </cfRule>
  </conditionalFormatting>
  <conditionalFormatting sqref="J2117">
    <cfRule type="expression" dxfId="6808" priority="10705">
      <formula>#REF! = "produs"</formula>
    </cfRule>
    <cfRule type="expression" dxfId="6807" priority="10706">
      <formula>#REF! = "obiectiv"</formula>
    </cfRule>
  </conditionalFormatting>
  <conditionalFormatting sqref="K2115:P2115 W2115:IU2115">
    <cfRule type="expression" dxfId="6806" priority="10703">
      <formula>#REF! = "produs"</formula>
    </cfRule>
    <cfRule type="expression" dxfId="6805" priority="10704">
      <formula>#REF! = "obiectiv"</formula>
    </cfRule>
  </conditionalFormatting>
  <conditionalFormatting sqref="W2123:IU2124 W2126:IU2131">
    <cfRule type="expression" dxfId="6804" priority="10697">
      <formula>#REF! = "produs"</formula>
    </cfRule>
    <cfRule type="expression" dxfId="6803" priority="10698">
      <formula>#REF! = "obiectiv"</formula>
    </cfRule>
  </conditionalFormatting>
  <conditionalFormatting sqref="J2127">
    <cfRule type="expression" dxfId="6802" priority="10683">
      <formula>#REF! = "produs"</formula>
    </cfRule>
    <cfRule type="expression" dxfId="6801" priority="10684">
      <formula>#REF! = "obiectiv"</formula>
    </cfRule>
  </conditionalFormatting>
  <conditionalFormatting sqref="K2125:P2125 W2125:IU2125">
    <cfRule type="expression" dxfId="6800" priority="10681">
      <formula>#REF! = "produs"</formula>
    </cfRule>
    <cfRule type="expression" dxfId="6799" priority="10682">
      <formula>#REF! = "obiectiv"</formula>
    </cfRule>
  </conditionalFormatting>
  <conditionalFormatting sqref="W346:IU347 W349:IU354">
    <cfRule type="expression" dxfId="6798" priority="10125">
      <formula>#REF! = "produs"</formula>
    </cfRule>
    <cfRule type="expression" dxfId="6797" priority="10126">
      <formula>#REF! = "obiectiv"</formula>
    </cfRule>
  </conditionalFormatting>
  <conditionalFormatting sqref="J348">
    <cfRule type="expression" dxfId="6796" priority="10107">
      <formula>#REF! = "produs"</formula>
    </cfRule>
    <cfRule type="expression" dxfId="6795" priority="10108">
      <formula>#REF! = "obiectiv"</formula>
    </cfRule>
  </conditionalFormatting>
  <conditionalFormatting sqref="J302 J292 J282">
    <cfRule type="expression" dxfId="6794" priority="9403">
      <formula>#REF! = "produs"</formula>
    </cfRule>
    <cfRule type="expression" dxfId="6793" priority="9404">
      <formula>#REF! = "obiectiv"</formula>
    </cfRule>
  </conditionalFormatting>
  <conditionalFormatting sqref="J352">
    <cfRule type="expression" dxfId="6792" priority="10117">
      <formula>#REF! = "produs"</formula>
    </cfRule>
    <cfRule type="expression" dxfId="6791" priority="10118">
      <formula>#REF! = "obiectiv"</formula>
    </cfRule>
  </conditionalFormatting>
  <conditionalFormatting sqref="K349:K354 K346:K347">
    <cfRule type="expression" dxfId="6790" priority="10123">
      <formula>#REF! = "produs"</formula>
    </cfRule>
    <cfRule type="expression" dxfId="6789" priority="10124">
      <formula>#REF! = "obiectiv"</formula>
    </cfRule>
  </conditionalFormatting>
  <conditionalFormatting sqref="J346 J353:J354 J351 J349">
    <cfRule type="expression" dxfId="6788" priority="10121">
      <formula>#REF! = "produs"</formula>
    </cfRule>
    <cfRule type="expression" dxfId="6787" priority="10122">
      <formula>#REF! = "obiectiv"</formula>
    </cfRule>
  </conditionalFormatting>
  <conditionalFormatting sqref="Q354:U354 Q346:U346">
    <cfRule type="expression" dxfId="6786" priority="10119">
      <formula>#REF! = "produs"</formula>
    </cfRule>
    <cfRule type="expression" dxfId="6785" priority="10120">
      <formula>#REF! = "obiectiv"</formula>
    </cfRule>
  </conditionalFormatting>
  <conditionalFormatting sqref="J350">
    <cfRule type="expression" dxfId="6784" priority="10111">
      <formula>#REF! = "produs"</formula>
    </cfRule>
    <cfRule type="expression" dxfId="6783" priority="10112">
      <formula>#REF! = "obiectiv"</formula>
    </cfRule>
  </conditionalFormatting>
  <conditionalFormatting sqref="K348 W348:IU348">
    <cfRule type="expression" dxfId="6782" priority="10109">
      <formula>#REF! = "produs"</formula>
    </cfRule>
    <cfRule type="expression" dxfId="6781" priority="10110">
      <formula>#REF! = "obiectiv"</formula>
    </cfRule>
  </conditionalFormatting>
  <conditionalFormatting sqref="J324 J313">
    <cfRule type="expression" dxfId="6780" priority="9401">
      <formula>#REF! = "produs"</formula>
    </cfRule>
    <cfRule type="expression" dxfId="6779" priority="9402">
      <formula>#REF! = "obiectiv"</formula>
    </cfRule>
  </conditionalFormatting>
  <conditionalFormatting sqref="J2217">
    <cfRule type="expression" dxfId="6778" priority="9397">
      <formula>#REF! = "produs"</formula>
    </cfRule>
    <cfRule type="expression" dxfId="6777" priority="9398">
      <formula>#REF! = "obiectiv"</formula>
    </cfRule>
  </conditionalFormatting>
  <conditionalFormatting sqref="J209">
    <cfRule type="expression" dxfId="6776" priority="9407">
      <formula>#REF! = "produs"</formula>
    </cfRule>
    <cfRule type="expression" dxfId="6775" priority="9408">
      <formula>#REF! = "obiectiv"</formula>
    </cfRule>
  </conditionalFormatting>
  <conditionalFormatting sqref="J447 J437 J427 J417 J407 J397">
    <cfRule type="expression" dxfId="6774" priority="9405">
      <formula>#REF! = "produs"</formula>
    </cfRule>
    <cfRule type="expression" dxfId="6773" priority="9406">
      <formula>#REF! = "obiectiv"</formula>
    </cfRule>
  </conditionalFormatting>
  <conditionalFormatting sqref="J147">
    <cfRule type="expression" dxfId="6772" priority="9399">
      <formula>#REF! = "produs"</formula>
    </cfRule>
    <cfRule type="expression" dxfId="6771" priority="9400">
      <formula>#REF! = "obiectiv"</formula>
    </cfRule>
  </conditionalFormatting>
  <conditionalFormatting sqref="J1603">
    <cfRule type="expression" dxfId="6770" priority="8069">
      <formula>#REF! = "produs"</formula>
    </cfRule>
    <cfRule type="expression" dxfId="6769" priority="8070">
      <formula>#REF! = "obiectiv"</formula>
    </cfRule>
  </conditionalFormatting>
  <conditionalFormatting sqref="H345">
    <cfRule type="expression" dxfId="6768" priority="8233">
      <formula>#REF! = "produs"</formula>
    </cfRule>
    <cfRule type="expression" dxfId="6767" priority="8234">
      <formula>#REF! = "obiectiv"</formula>
    </cfRule>
  </conditionalFormatting>
  <conditionalFormatting sqref="Q284:U290">
    <cfRule type="expression" dxfId="6766" priority="9253">
      <formula>#REF! = "produs"</formula>
    </cfRule>
    <cfRule type="expression" dxfId="6765" priority="9254">
      <formula>#REF! = "obiectiv"</formula>
    </cfRule>
  </conditionalFormatting>
  <conditionalFormatting sqref="Q149:U155">
    <cfRule type="expression" dxfId="6764" priority="9229">
      <formula>#REF! = "produs"</formula>
    </cfRule>
    <cfRule type="expression" dxfId="6763" priority="9230">
      <formula>#REF! = "obiectiv"</formula>
    </cfRule>
  </conditionalFormatting>
  <conditionalFormatting sqref="Q304:U310">
    <cfRule type="expression" dxfId="6762" priority="9247">
      <formula>#REF! = "produs"</formula>
    </cfRule>
    <cfRule type="expression" dxfId="6761" priority="9248">
      <formula>#REF! = "obiectiv"</formula>
    </cfRule>
  </conditionalFormatting>
  <conditionalFormatting sqref="Q315:U321">
    <cfRule type="expression" dxfId="6760" priority="9245">
      <formula>#REF! = "produs"</formula>
    </cfRule>
    <cfRule type="expression" dxfId="6759" priority="9246">
      <formula>#REF! = "obiectiv"</formula>
    </cfRule>
  </conditionalFormatting>
  <conditionalFormatting sqref="J1741 J1731 J1711">
    <cfRule type="expression" dxfId="6758" priority="9345">
      <formula>#REF! = "produs"</formula>
    </cfRule>
    <cfRule type="expression" dxfId="6757" priority="9346">
      <formula>#REF! = "obiectiv"</formula>
    </cfRule>
  </conditionalFormatting>
  <conditionalFormatting sqref="Q1343:U1349">
    <cfRule type="expression" dxfId="6756" priority="9097">
      <formula>#REF! = "produs"</formula>
    </cfRule>
    <cfRule type="expression" dxfId="6755" priority="9098">
      <formula>#REF! = "obiectiv"</formula>
    </cfRule>
  </conditionalFormatting>
  <conditionalFormatting sqref="Q852:U858">
    <cfRule type="expression" dxfId="6754" priority="9131">
      <formula>#REF! = "produs"</formula>
    </cfRule>
    <cfRule type="expression" dxfId="6753" priority="9132">
      <formula>#REF! = "obiectiv"</formula>
    </cfRule>
  </conditionalFormatting>
  <conditionalFormatting sqref="J870 J860 J850 J840 J830 J820">
    <cfRule type="expression" dxfId="6752" priority="9367">
      <formula>#REF! = "produs"</formula>
    </cfRule>
    <cfRule type="expression" dxfId="6751" priority="9368">
      <formula>#REF! = "obiectiv"</formula>
    </cfRule>
  </conditionalFormatting>
  <conditionalFormatting sqref="J1259 J1249 J1229">
    <cfRule type="expression" dxfId="6750" priority="9365">
      <formula>#REF! = "produs"</formula>
    </cfRule>
    <cfRule type="expression" dxfId="6749" priority="9366">
      <formula>#REF! = "obiectiv"</formula>
    </cfRule>
  </conditionalFormatting>
  <conditionalFormatting sqref="J1095 J1075 J1065 J1045">
    <cfRule type="expression" dxfId="6748" priority="9363">
      <formula>#REF! = "produs"</formula>
    </cfRule>
    <cfRule type="expression" dxfId="6747" priority="9364">
      <formula>#REF! = "obiectiv"</formula>
    </cfRule>
  </conditionalFormatting>
  <conditionalFormatting sqref="J1402 J1168">
    <cfRule type="expression" dxfId="6746" priority="9361">
      <formula>#REF! = "produs"</formula>
    </cfRule>
    <cfRule type="expression" dxfId="6745" priority="9362">
      <formula>#REF! = "obiectiv"</formula>
    </cfRule>
  </conditionalFormatting>
  <conditionalFormatting sqref="J1125 J1115 J1105 J2050 J2029 J1310 J1381 J1361 J1412 J1341">
    <cfRule type="expression" dxfId="6744" priority="9359">
      <formula>#REF! = "produs"</formula>
    </cfRule>
    <cfRule type="expression" dxfId="6743" priority="9360">
      <formula>#REF! = "obiectiv"</formula>
    </cfRule>
  </conditionalFormatting>
  <conditionalFormatting sqref="J912 J1208 J1198">
    <cfRule type="expression" dxfId="6742" priority="9357">
      <formula>#REF! = "produs"</formula>
    </cfRule>
    <cfRule type="expression" dxfId="6741" priority="9358">
      <formula>#REF! = "obiectiv"</formula>
    </cfRule>
  </conditionalFormatting>
  <conditionalFormatting sqref="Q357:U363">
    <cfRule type="expression" dxfId="6740" priority="9231">
      <formula>#REF! = "produs"</formula>
    </cfRule>
    <cfRule type="expression" dxfId="6739" priority="9232">
      <formula>#REF! = "obiectiv"</formula>
    </cfRule>
  </conditionalFormatting>
  <conditionalFormatting sqref="J1445 J1435">
    <cfRule type="expression" dxfId="6738" priority="9353">
      <formula>#REF! = "produs"</formula>
    </cfRule>
    <cfRule type="expression" dxfId="6737" priority="9354">
      <formula>#REF! = "obiectiv"</formula>
    </cfRule>
  </conditionalFormatting>
  <conditionalFormatting sqref="J1476 J1466 J1456">
    <cfRule type="expression" dxfId="6736" priority="9351">
      <formula>#REF! = "produs"</formula>
    </cfRule>
    <cfRule type="expression" dxfId="6735" priority="9352">
      <formula>#REF! = "obiectiv"</formula>
    </cfRule>
  </conditionalFormatting>
  <conditionalFormatting sqref="J1518 J1498">
    <cfRule type="expression" dxfId="6734" priority="9349">
      <formula>#REF! = "produs"</formula>
    </cfRule>
    <cfRule type="expression" dxfId="6733" priority="9350">
      <formula>#REF! = "obiectiv"</formula>
    </cfRule>
  </conditionalFormatting>
  <conditionalFormatting sqref="J1589 J1579 J1529">
    <cfRule type="expression" dxfId="6732" priority="9347">
      <formula>#REF! = "produs"</formula>
    </cfRule>
    <cfRule type="expression" dxfId="6731" priority="9348">
      <formula>#REF! = "obiectiv"</formula>
    </cfRule>
  </conditionalFormatting>
  <conditionalFormatting sqref="J1691">
    <cfRule type="expression" dxfId="6730" priority="9343">
      <formula>#REF! = "produs"</formula>
    </cfRule>
    <cfRule type="expression" dxfId="6729" priority="9344">
      <formula>#REF! = "obiectiv"</formula>
    </cfRule>
  </conditionalFormatting>
  <conditionalFormatting sqref="J2154 J2144">
    <cfRule type="expression" dxfId="6728" priority="9341">
      <formula>#REF! = "produs"</formula>
    </cfRule>
    <cfRule type="expression" dxfId="6727" priority="9342">
      <formula>#REF! = "obiectiv"</formula>
    </cfRule>
  </conditionalFormatting>
  <conditionalFormatting sqref="J2205 J2195 J2185 J2175 J2165">
    <cfRule type="expression" dxfId="6726" priority="9339">
      <formula>#REF! = "produs"</formula>
    </cfRule>
    <cfRule type="expression" dxfId="6725" priority="9340">
      <formula>#REF! = "obiectiv"</formula>
    </cfRule>
  </conditionalFormatting>
  <conditionalFormatting sqref="J2019 J2009">
    <cfRule type="expression" dxfId="6724" priority="9337">
      <formula>#REF! = "produs"</formula>
    </cfRule>
    <cfRule type="expression" dxfId="6723" priority="9338">
      <formula>#REF! = "obiectiv"</formula>
    </cfRule>
  </conditionalFormatting>
  <conditionalFormatting sqref="J2112 J2102 J2092 J2082 J2072">
    <cfRule type="expression" dxfId="6722" priority="9333">
      <formula>#REF! = "produs"</formula>
    </cfRule>
    <cfRule type="expression" dxfId="6721" priority="9334">
      <formula>#REF! = "obiectiv"</formula>
    </cfRule>
  </conditionalFormatting>
  <conditionalFormatting sqref="Q2094:U2100">
    <cfRule type="expression" dxfId="6720" priority="8979">
      <formula>#REF! = "produs"</formula>
    </cfRule>
    <cfRule type="expression" dxfId="6719" priority="8980">
      <formula>#REF! = "obiectiv"</formula>
    </cfRule>
  </conditionalFormatting>
  <conditionalFormatting sqref="Q1447:U1453">
    <cfRule type="expression" dxfId="6718" priority="9047">
      <formula>#REF! = "produs"</formula>
    </cfRule>
    <cfRule type="expression" dxfId="6717" priority="9048">
      <formula>#REF! = "obiectiv"</formula>
    </cfRule>
  </conditionalFormatting>
  <conditionalFormatting sqref="J345">
    <cfRule type="expression" dxfId="6716" priority="9321">
      <formula>#REF! = "produs"</formula>
    </cfRule>
    <cfRule type="expression" dxfId="6715" priority="9322">
      <formula>#REF! = "obiectiv"</formula>
    </cfRule>
  </conditionalFormatting>
  <conditionalFormatting sqref="Q88:U95">
    <cfRule type="expression" dxfId="6714" priority="9319">
      <formula>#REF! = "produs"</formula>
    </cfRule>
    <cfRule type="expression" dxfId="6713" priority="9320">
      <formula>#REF! = "obiectiv"</formula>
    </cfRule>
  </conditionalFormatting>
  <conditionalFormatting sqref="Q99:U105">
    <cfRule type="expression" dxfId="6712" priority="9317">
      <formula>#REF! = "produs"</formula>
    </cfRule>
    <cfRule type="expression" dxfId="6711" priority="9318">
      <formula>#REF! = "obiectiv"</formula>
    </cfRule>
  </conditionalFormatting>
  <conditionalFormatting sqref="Q109:U115">
    <cfRule type="expression" dxfId="6710" priority="9315">
      <formula>#REF! = "produs"</formula>
    </cfRule>
    <cfRule type="expression" dxfId="6709" priority="9316">
      <formula>#REF! = "obiectiv"</formula>
    </cfRule>
  </conditionalFormatting>
  <conditionalFormatting sqref="Q119:U125">
    <cfRule type="expression" dxfId="6708" priority="9313">
      <formula>#REF! = "produs"</formula>
    </cfRule>
    <cfRule type="expression" dxfId="6707" priority="9314">
      <formula>#REF! = "obiectiv"</formula>
    </cfRule>
  </conditionalFormatting>
  <conditionalFormatting sqref="Q129:U135">
    <cfRule type="expression" dxfId="6706" priority="9311">
      <formula>#REF! = "produs"</formula>
    </cfRule>
    <cfRule type="expression" dxfId="6705" priority="9312">
      <formula>#REF! = "obiectiv"</formula>
    </cfRule>
  </conditionalFormatting>
  <conditionalFormatting sqref="Q139:U145">
    <cfRule type="expression" dxfId="6704" priority="9309">
      <formula>#REF! = "produs"</formula>
    </cfRule>
    <cfRule type="expression" dxfId="6703" priority="9310">
      <formula>#REF! = "obiectiv"</formula>
    </cfRule>
  </conditionalFormatting>
  <conditionalFormatting sqref="Q160:U166">
    <cfRule type="expression" dxfId="6702" priority="9307">
      <formula>#REF! = "produs"</formula>
    </cfRule>
    <cfRule type="expression" dxfId="6701" priority="9308">
      <formula>#REF! = "obiectiv"</formula>
    </cfRule>
  </conditionalFormatting>
  <conditionalFormatting sqref="Q170:U176">
    <cfRule type="expression" dxfId="6700" priority="9305">
      <formula>#REF! = "produs"</formula>
    </cfRule>
    <cfRule type="expression" dxfId="6699" priority="9306">
      <formula>#REF! = "obiectiv"</formula>
    </cfRule>
  </conditionalFormatting>
  <conditionalFormatting sqref="Q191:U197">
    <cfRule type="expression" dxfId="6698" priority="9301">
      <formula>#REF! = "produs"</formula>
    </cfRule>
    <cfRule type="expression" dxfId="6697" priority="9302">
      <formula>#REF! = "obiectiv"</formula>
    </cfRule>
  </conditionalFormatting>
  <conditionalFormatting sqref="Q201:U207">
    <cfRule type="expression" dxfId="6696" priority="9299">
      <formula>#REF! = "produs"</formula>
    </cfRule>
    <cfRule type="expression" dxfId="6695" priority="9300">
      <formula>#REF! = "obiectiv"</formula>
    </cfRule>
  </conditionalFormatting>
  <conditionalFormatting sqref="Q211:U217">
    <cfRule type="expression" dxfId="6694" priority="9295">
      <formula>#REF! = "produs"</formula>
    </cfRule>
    <cfRule type="expression" dxfId="6693" priority="9296">
      <formula>#REF! = "obiectiv"</formula>
    </cfRule>
  </conditionalFormatting>
  <conditionalFormatting sqref="Q223:U229">
    <cfRule type="expression" dxfId="6692" priority="9289">
      <formula>#REF! = "produs"</formula>
    </cfRule>
    <cfRule type="expression" dxfId="6691" priority="9290">
      <formula>#REF! = "obiectiv"</formula>
    </cfRule>
  </conditionalFormatting>
  <conditionalFormatting sqref="Q233:U239">
    <cfRule type="expression" dxfId="6690" priority="9287">
      <formula>#REF! = "produs"</formula>
    </cfRule>
    <cfRule type="expression" dxfId="6689" priority="9288">
      <formula>#REF! = "obiectiv"</formula>
    </cfRule>
  </conditionalFormatting>
  <conditionalFormatting sqref="Q253:U259">
    <cfRule type="expression" dxfId="6688" priority="9285">
      <formula>#REF! = "produs"</formula>
    </cfRule>
    <cfRule type="expression" dxfId="6687" priority="9286">
      <formula>#REF! = "obiectiv"</formula>
    </cfRule>
  </conditionalFormatting>
  <conditionalFormatting sqref="Q273:U279">
    <cfRule type="expression" dxfId="6686" priority="9281">
      <formula>#REF! = "produs"</formula>
    </cfRule>
    <cfRule type="expression" dxfId="6685" priority="9282">
      <formula>#REF! = "obiectiv"</formula>
    </cfRule>
  </conditionalFormatting>
  <conditionalFormatting sqref="Q399:U405">
    <cfRule type="expression" dxfId="6684" priority="9275">
      <formula>#REF! = "produs"</formula>
    </cfRule>
    <cfRule type="expression" dxfId="6683" priority="9276">
      <formula>#REF! = "obiectiv"</formula>
    </cfRule>
  </conditionalFormatting>
  <conditionalFormatting sqref="Q409:U415">
    <cfRule type="expression" dxfId="6682" priority="9269">
      <formula>#REF! = "produs"</formula>
    </cfRule>
    <cfRule type="expression" dxfId="6681" priority="9270">
      <formula>#REF! = "obiectiv"</formula>
    </cfRule>
  </conditionalFormatting>
  <conditionalFormatting sqref="Q419:U425">
    <cfRule type="expression" dxfId="6680" priority="9267">
      <formula>#REF! = "produs"</formula>
    </cfRule>
    <cfRule type="expression" dxfId="6679" priority="9268">
      <formula>#REF! = "obiectiv"</formula>
    </cfRule>
  </conditionalFormatting>
  <conditionalFormatting sqref="Q429:U435">
    <cfRule type="expression" dxfId="6678" priority="9263">
      <formula>#REF! = "produs"</formula>
    </cfRule>
    <cfRule type="expression" dxfId="6677" priority="9264">
      <formula>#REF! = "obiectiv"</formula>
    </cfRule>
  </conditionalFormatting>
  <conditionalFormatting sqref="Q439:U445">
    <cfRule type="expression" dxfId="6676" priority="9261">
      <formula>#REF! = "produs"</formula>
    </cfRule>
    <cfRule type="expression" dxfId="6675" priority="9262">
      <formula>#REF! = "obiectiv"</formula>
    </cfRule>
  </conditionalFormatting>
  <conditionalFormatting sqref="Q449:U455">
    <cfRule type="expression" dxfId="6674" priority="9259">
      <formula>#REF! = "produs"</formula>
    </cfRule>
    <cfRule type="expression" dxfId="6673" priority="9260">
      <formula>#REF! = "obiectiv"</formula>
    </cfRule>
  </conditionalFormatting>
  <conditionalFormatting sqref="H2102">
    <cfRule type="expression" dxfId="6672" priority="8319">
      <formula>#REF! = "produs"</formula>
    </cfRule>
    <cfRule type="expression" dxfId="6671" priority="8320">
      <formula>#REF! = "obiectiv"</formula>
    </cfRule>
  </conditionalFormatting>
  <conditionalFormatting sqref="Q294:U300">
    <cfRule type="expression" dxfId="6670" priority="9251">
      <formula>#REF! = "produs"</formula>
    </cfRule>
    <cfRule type="expression" dxfId="6669" priority="9252">
      <formula>#REF! = "obiectiv"</formula>
    </cfRule>
  </conditionalFormatting>
  <conditionalFormatting sqref="Q326:U332">
    <cfRule type="expression" dxfId="6668" priority="9243">
      <formula>#REF! = "produs"</formula>
    </cfRule>
    <cfRule type="expression" dxfId="6667" priority="9244">
      <formula>#REF! = "obiectiv"</formula>
    </cfRule>
  </conditionalFormatting>
  <conditionalFormatting sqref="Q27:U33">
    <cfRule type="expression" dxfId="6666" priority="9241">
      <formula>#REF! = "produs"</formula>
    </cfRule>
    <cfRule type="expression" dxfId="6665" priority="9242">
      <formula>#REF! = "obiectiv"</formula>
    </cfRule>
  </conditionalFormatting>
  <conditionalFormatting sqref="Q337:U343">
    <cfRule type="expression" dxfId="6664" priority="9239">
      <formula>#REF! = "produs"</formula>
    </cfRule>
    <cfRule type="expression" dxfId="6663" priority="9240">
      <formula>#REF! = "obiectiv"</formula>
    </cfRule>
  </conditionalFormatting>
  <conditionalFormatting sqref="H2019">
    <cfRule type="expression" dxfId="6662" priority="8329">
      <formula>#REF! = "produs"</formula>
    </cfRule>
    <cfRule type="expression" dxfId="6661" priority="8330">
      <formula>#REF! = "obiectiv"</formula>
    </cfRule>
  </conditionalFormatting>
  <conditionalFormatting sqref="J338">
    <cfRule type="expression" dxfId="6660" priority="9235">
      <formula>#REF! = "produs"</formula>
    </cfRule>
    <cfRule type="expression" dxfId="6659" priority="9236">
      <formula>#REF! = "obiectiv"</formula>
    </cfRule>
  </conditionalFormatting>
  <conditionalFormatting sqref="H1249">
    <cfRule type="expression" dxfId="6658" priority="8151">
      <formula>#REF! = "produs"</formula>
    </cfRule>
    <cfRule type="expression" dxfId="6657" priority="8152">
      <formula>#REF! = "obiectiv"</formula>
    </cfRule>
  </conditionalFormatting>
  <conditionalFormatting sqref="Q2219:U2225">
    <cfRule type="expression" dxfId="6656" priority="9225">
      <formula>#REF! = "produs"</formula>
    </cfRule>
    <cfRule type="expression" dxfId="6655" priority="9226">
      <formula>#REF! = "obiectiv"</formula>
    </cfRule>
  </conditionalFormatting>
  <conditionalFormatting sqref="Q822:U828">
    <cfRule type="expression" dxfId="6654" priority="9137">
      <formula>#REF! = "produs"</formula>
    </cfRule>
    <cfRule type="expression" dxfId="6653" priority="9138">
      <formula>#REF! = "obiectiv"</formula>
    </cfRule>
  </conditionalFormatting>
  <conditionalFormatting sqref="Q832:U838">
    <cfRule type="expression" dxfId="6652" priority="9135">
      <formula>#REF! = "produs"</formula>
    </cfRule>
    <cfRule type="expression" dxfId="6651" priority="9136">
      <formula>#REF! = "obiectiv"</formula>
    </cfRule>
  </conditionalFormatting>
  <conditionalFormatting sqref="Q842:U848">
    <cfRule type="expression" dxfId="6650" priority="9133">
      <formula>#REF! = "produs"</formula>
    </cfRule>
    <cfRule type="expression" dxfId="6649" priority="9134">
      <formula>#REF! = "obiectiv"</formula>
    </cfRule>
  </conditionalFormatting>
  <conditionalFormatting sqref="G292">
    <cfRule type="expression" dxfId="6648" priority="8765">
      <formula>#REF! = "produs"</formula>
    </cfRule>
    <cfRule type="expression" dxfId="6647" priority="8766">
      <formula>#REF! = "obiectiv"</formula>
    </cfRule>
  </conditionalFormatting>
  <conditionalFormatting sqref="Q862:U868">
    <cfRule type="expression" dxfId="6646" priority="9129">
      <formula>#REF! = "produs"</formula>
    </cfRule>
    <cfRule type="expression" dxfId="6645" priority="9130">
      <formula>#REF! = "obiectiv"</formula>
    </cfRule>
  </conditionalFormatting>
  <conditionalFormatting sqref="L844:P845">
    <cfRule type="expression" dxfId="6644" priority="8185">
      <formula>#REF! = "produs"</formula>
    </cfRule>
    <cfRule type="expression" dxfId="6643" priority="8186">
      <formula>#REF! = "obiectiv"</formula>
    </cfRule>
  </conditionalFormatting>
  <conditionalFormatting sqref="L847:P847">
    <cfRule type="expression" dxfId="6642" priority="8183">
      <formula>#REF! = "produs"</formula>
    </cfRule>
    <cfRule type="expression" dxfId="6641" priority="8184">
      <formula>#REF! = "obiectiv"</formula>
    </cfRule>
  </conditionalFormatting>
  <conditionalFormatting sqref="L854:P855">
    <cfRule type="expression" dxfId="6640" priority="8177">
      <formula>#REF! = "produs"</formula>
    </cfRule>
    <cfRule type="expression" dxfId="6639" priority="8178">
      <formula>#REF! = "obiectiv"</formula>
    </cfRule>
  </conditionalFormatting>
  <conditionalFormatting sqref="L856:P856">
    <cfRule type="expression" dxfId="6638" priority="8173">
      <formula>#REF! = "produs"</formula>
    </cfRule>
    <cfRule type="expression" dxfId="6637" priority="8174">
      <formula>#REF! = "obiectiv"</formula>
    </cfRule>
  </conditionalFormatting>
  <conditionalFormatting sqref="L1639:U1639 L1638:P1638 L1634:P1635 L1631:U1631 L1632:P1632">
    <cfRule type="expression" dxfId="6636" priority="8041">
      <formula>#REF! = "produs"</formula>
    </cfRule>
    <cfRule type="expression" dxfId="6635" priority="8042">
      <formula>#REF! = "obiectiv"</formula>
    </cfRule>
  </conditionalFormatting>
  <conditionalFormatting sqref="H860">
    <cfRule type="expression" dxfId="6634" priority="8169">
      <formula>#REF! = "produs"</formula>
    </cfRule>
    <cfRule type="expression" dxfId="6633" priority="8170">
      <formula>#REF! = "obiectiv"</formula>
    </cfRule>
  </conditionalFormatting>
  <conditionalFormatting sqref="L1637:P1637">
    <cfRule type="expression" dxfId="6632" priority="8037">
      <formula>#REF! = "produs"</formula>
    </cfRule>
    <cfRule type="expression" dxfId="6631" priority="8038">
      <formula>#REF! = "obiectiv"</formula>
    </cfRule>
  </conditionalFormatting>
  <conditionalFormatting sqref="L1636:P1636">
    <cfRule type="expression" dxfId="6630" priority="8035">
      <formula>#REF! = "produs"</formula>
    </cfRule>
    <cfRule type="expression" dxfId="6629" priority="8036">
      <formula>#REF! = "obiectiv"</formula>
    </cfRule>
  </conditionalFormatting>
  <conditionalFormatting sqref="Q1057:U1063">
    <cfRule type="expression" dxfId="6628" priority="9055">
      <formula>#REF! = "produs"</formula>
    </cfRule>
    <cfRule type="expression" dxfId="6627" priority="9056">
      <formula>#REF! = "obiectiv"</formula>
    </cfRule>
  </conditionalFormatting>
  <conditionalFormatting sqref="Q914:U920">
    <cfRule type="expression" dxfId="6626" priority="9071">
      <formula>#REF! = "produs"</formula>
    </cfRule>
    <cfRule type="expression" dxfId="6625" priority="9072">
      <formula>#REF! = "obiectiv"</formula>
    </cfRule>
  </conditionalFormatting>
  <conditionalFormatting sqref="Q1733:U1739">
    <cfRule type="expression" dxfId="6624" priority="9021">
      <formula>#REF! = "produs"</formula>
    </cfRule>
    <cfRule type="expression" dxfId="6623" priority="9022">
      <formula>#REF! = "obiectiv"</formula>
    </cfRule>
  </conditionalFormatting>
  <conditionalFormatting sqref="Q1581:U1587">
    <cfRule type="expression" dxfId="6622" priority="9027">
      <formula>#REF! = "produs"</formula>
    </cfRule>
    <cfRule type="expression" dxfId="6621" priority="9028">
      <formula>#REF! = "obiectiv"</formula>
    </cfRule>
  </conditionalFormatting>
  <conditionalFormatting sqref="Q1458:U1464">
    <cfRule type="expression" dxfId="6620" priority="9045">
      <formula>#REF! = "produs"</formula>
    </cfRule>
    <cfRule type="expression" dxfId="6619" priority="9046">
      <formula>#REF! = "obiectiv"</formula>
    </cfRule>
  </conditionalFormatting>
  <conditionalFormatting sqref="Q1468:U1474">
    <cfRule type="expression" dxfId="6618" priority="9043">
      <formula>#REF! = "produs"</formula>
    </cfRule>
    <cfRule type="expression" dxfId="6617" priority="9044">
      <formula>#REF! = "obiectiv"</formula>
    </cfRule>
  </conditionalFormatting>
  <conditionalFormatting sqref="Q1478:U1484">
    <cfRule type="expression" dxfId="6616" priority="9041">
      <formula>#REF! = "produs"</formula>
    </cfRule>
    <cfRule type="expression" dxfId="6615" priority="9042">
      <formula>#REF! = "obiectiv"</formula>
    </cfRule>
  </conditionalFormatting>
  <conditionalFormatting sqref="G25">
    <cfRule type="expression" dxfId="6614" priority="8745">
      <formula>#REF! = "produs"</formula>
    </cfRule>
    <cfRule type="expression" dxfId="6613" priority="8746">
      <formula>#REF! = "obiectiv"</formula>
    </cfRule>
  </conditionalFormatting>
  <conditionalFormatting sqref="Q1500:U1506">
    <cfRule type="expression" dxfId="6612" priority="9037">
      <formula>#REF! = "produs"</formula>
    </cfRule>
    <cfRule type="expression" dxfId="6611" priority="9038">
      <formula>#REF! = "obiectiv"</formula>
    </cfRule>
  </conditionalFormatting>
  <conditionalFormatting sqref="G870">
    <cfRule type="expression" dxfId="6610" priority="8591">
      <formula>#REF! = "produs"</formula>
    </cfRule>
    <cfRule type="expression" dxfId="6609" priority="8592">
      <formula>#REF! = "obiectiv"</formula>
    </cfRule>
  </conditionalFormatting>
  <conditionalFormatting sqref="Q221:U221">
    <cfRule type="expression" dxfId="6608" priority="8863">
      <formula>#REF! = "produs"</formula>
    </cfRule>
    <cfRule type="expression" dxfId="6607" priority="8864">
      <formula>#REF! = "obiectiv"</formula>
    </cfRule>
  </conditionalFormatting>
  <conditionalFormatting sqref="Q345:U345 Q2122:U2122 Q2112:U2112 Q2102:U2102 Q2092:U2092 Q2082:U2082 Q2072:U2072 Q2019:U2019 Q2009:U2009 Q2205:U2205 Q2195:U2195 Q2185:U2185 Q2175:U2175 Q2165:U2165 Q2154:U2154 Q2144:U2144 Q1701:U1701 Q1691:U1691 Q1671:U1671 Q1741:U1741 Q1731:U1731 Q1711:U1711 Q1589:U1589 Q1579:U1579 Q1518:U1518 Q1498:U1498 Q1476:U1476 Q1466:U1466 Q1456:U1456 Q1445:U1445 Q1055:U1055 Q912:U912 Q1208:U1208 Q1198:U1198 Q1125:U1125 Q1105:U1105 Q2050:U2050 Q2029:U2029 Q1310:U1310 Q1381:U1381 Q1361:U1361 Q1412:U1412 Q1341:U1341 Q1402:U1402 Q1168:U1168 Q1095:U1095 Q1085:U1085 Q1075:U1075 Q1065:U1065 Q1045:U1045 Q1259:U1259 Q1249:U1249 Q1229:U1229 Q870:U870 Q860:U860 Q850:U850 Q840:U840 Q830:U830 Q820:U820 Q147:U147 Q355:U355 Q335:U335 Q25:U25 Q324:U324 Q313:U313 Q302:U302 Q292:U292 Q282:U282 Q447:U447 Q437:U437 Q427:U427 Q417:U417 Q407:U407 Q397:U397 Q271:U271 Q251:U251 Q231:U231 Q1115:U1115 Q1529:U1529 Q1435:U1435 Q2216:U2217">
    <cfRule type="expression" dxfId="6606" priority="8861">
      <formula>#REF! = "produs"</formula>
    </cfRule>
    <cfRule type="expression" dxfId="6605" priority="8862">
      <formula>#REF! = "obiectiv"</formula>
    </cfRule>
  </conditionalFormatting>
  <conditionalFormatting sqref="H850">
    <cfRule type="expression" dxfId="6604" priority="8585">
      <formula>#REF! = "produs"</formula>
    </cfRule>
    <cfRule type="expression" dxfId="6603" priority="8586">
      <formula>#REF! = "obiectiv"</formula>
    </cfRule>
  </conditionalFormatting>
  <conditionalFormatting sqref="H231">
    <cfRule type="expression" dxfId="6602" priority="8819">
      <formula>#REF! = "produs"</formula>
    </cfRule>
    <cfRule type="expression" dxfId="6601" priority="8820">
      <formula>#REF! = "obiectiv"</formula>
    </cfRule>
  </conditionalFormatting>
  <conditionalFormatting sqref="Q1067:U1073">
    <cfRule type="expression" dxfId="6600" priority="9111">
      <formula>#REF! = "produs"</formula>
    </cfRule>
    <cfRule type="expression" dxfId="6599" priority="9112">
      <formula>#REF! = "obiectiv"</formula>
    </cfRule>
  </conditionalFormatting>
  <conditionalFormatting sqref="H1075">
    <cfRule type="expression" dxfId="6598" priority="8541">
      <formula>#REF! = "produs"</formula>
    </cfRule>
    <cfRule type="expression" dxfId="6597" priority="8542">
      <formula>#REF! = "obiectiv"</formula>
    </cfRule>
  </conditionalFormatting>
  <conditionalFormatting sqref="H1095">
    <cfRule type="expression" dxfId="6596" priority="8537">
      <formula>#REF! = "produs"</formula>
    </cfRule>
    <cfRule type="expression" dxfId="6595" priority="8538">
      <formula>#REF! = "obiectiv"</formula>
    </cfRule>
  </conditionalFormatting>
  <conditionalFormatting sqref="Q872:U878">
    <cfRule type="expression" dxfId="6594" priority="9127">
      <formula>#REF! = "produs"</formula>
    </cfRule>
    <cfRule type="expression" dxfId="6593" priority="9128">
      <formula>#REF! = "obiectiv"</formula>
    </cfRule>
  </conditionalFormatting>
  <conditionalFormatting sqref="Q1231:U1237">
    <cfRule type="expression" dxfId="6592" priority="9121">
      <formula>#REF! = "produs"</formula>
    </cfRule>
    <cfRule type="expression" dxfId="6591" priority="9122">
      <formula>#REF! = "obiectiv"</formula>
    </cfRule>
  </conditionalFormatting>
  <conditionalFormatting sqref="Q1251:U1257">
    <cfRule type="expression" dxfId="6590" priority="9119">
      <formula>#REF! = "produs"</formula>
    </cfRule>
    <cfRule type="expression" dxfId="6589" priority="9120">
      <formula>#REF! = "obiectiv"</formula>
    </cfRule>
  </conditionalFormatting>
  <conditionalFormatting sqref="Q1261:U1267">
    <cfRule type="expression" dxfId="6588" priority="9117">
      <formula>#REF! = "produs"</formula>
    </cfRule>
    <cfRule type="expression" dxfId="6587" priority="9118">
      <formula>#REF! = "obiectiv"</formula>
    </cfRule>
  </conditionalFormatting>
  <conditionalFormatting sqref="Q1077:U1083">
    <cfRule type="expression" dxfId="6586" priority="9109">
      <formula>#REF! = "produs"</formula>
    </cfRule>
    <cfRule type="expression" dxfId="6585" priority="9110">
      <formula>#REF! = "obiectiv"</formula>
    </cfRule>
  </conditionalFormatting>
  <conditionalFormatting sqref="Q1047:U1053">
    <cfRule type="expression" dxfId="6584" priority="9113">
      <formula>#REF! = "produs"</formula>
    </cfRule>
    <cfRule type="expression" dxfId="6583" priority="9114">
      <formula>#REF! = "obiectiv"</formula>
    </cfRule>
  </conditionalFormatting>
  <conditionalFormatting sqref="H1381">
    <cfRule type="expression" dxfId="6582" priority="8507">
      <formula>#REF! = "produs"</formula>
    </cfRule>
    <cfRule type="expression" dxfId="6581" priority="8508">
      <formula>#REF! = "obiectiv"</formula>
    </cfRule>
  </conditionalFormatting>
  <conditionalFormatting sqref="Q1087:U1093">
    <cfRule type="expression" dxfId="6580" priority="9107">
      <formula>#REF! = "produs"</formula>
    </cfRule>
    <cfRule type="expression" dxfId="6579" priority="9108">
      <formula>#REF! = "obiectiv"</formula>
    </cfRule>
  </conditionalFormatting>
  <conditionalFormatting sqref="Q1097:U1103">
    <cfRule type="expression" dxfId="6578" priority="9105">
      <formula>#REF! = "produs"</formula>
    </cfRule>
    <cfRule type="expression" dxfId="6577" priority="9106">
      <formula>#REF! = "obiectiv"</formula>
    </cfRule>
  </conditionalFormatting>
  <conditionalFormatting sqref="Q1170:U1176">
    <cfRule type="expression" dxfId="6576" priority="9103">
      <formula>#REF! = "produs"</formula>
    </cfRule>
    <cfRule type="expression" dxfId="6575" priority="9104">
      <formula>#REF! = "obiectiv"</formula>
    </cfRule>
  </conditionalFormatting>
  <conditionalFormatting sqref="Q1404:U1410">
    <cfRule type="expression" dxfId="6574" priority="9099">
      <formula>#REF! = "produs"</formula>
    </cfRule>
    <cfRule type="expression" dxfId="6573" priority="9100">
      <formula>#REF! = "obiectiv"</formula>
    </cfRule>
  </conditionalFormatting>
  <conditionalFormatting sqref="G147">
    <cfRule type="expression" dxfId="6572" priority="8731">
      <formula>#REF! = "produs"</formula>
    </cfRule>
    <cfRule type="expression" dxfId="6571" priority="8732">
      <formula>#REF! = "obiectiv"</formula>
    </cfRule>
  </conditionalFormatting>
  <conditionalFormatting sqref="Q1414:U1420">
    <cfRule type="expression" dxfId="6570" priority="9095">
      <formula>#REF! = "produs"</formula>
    </cfRule>
    <cfRule type="expression" dxfId="6569" priority="9096">
      <formula>#REF! = "obiectiv"</formula>
    </cfRule>
  </conditionalFormatting>
  <conditionalFormatting sqref="Q1363:U1369">
    <cfRule type="expression" dxfId="6568" priority="9093">
      <formula>#REF! = "produs"</formula>
    </cfRule>
    <cfRule type="expression" dxfId="6567" priority="9094">
      <formula>#REF! = "obiectiv"</formula>
    </cfRule>
  </conditionalFormatting>
  <conditionalFormatting sqref="Q1383:U1389">
    <cfRule type="expression" dxfId="6566" priority="9091">
      <formula>#REF! = "produs"</formula>
    </cfRule>
    <cfRule type="expression" dxfId="6565" priority="9092">
      <formula>#REF! = "obiectiv"</formula>
    </cfRule>
  </conditionalFormatting>
  <conditionalFormatting sqref="Q1312:U1318">
    <cfRule type="expression" dxfId="6564" priority="9089">
      <formula>#REF! = "produs"</formula>
    </cfRule>
    <cfRule type="expression" dxfId="6563" priority="9090">
      <formula>#REF! = "obiectiv"</formula>
    </cfRule>
  </conditionalFormatting>
  <conditionalFormatting sqref="Q2031:U2037">
    <cfRule type="expression" dxfId="6562" priority="9087">
      <formula>#REF! = "produs"</formula>
    </cfRule>
    <cfRule type="expression" dxfId="6561" priority="9088">
      <formula>#REF! = "obiectiv"</formula>
    </cfRule>
  </conditionalFormatting>
  <conditionalFormatting sqref="Q2052:U2058">
    <cfRule type="expression" dxfId="6560" priority="9085">
      <formula>#REF! = "produs"</formula>
    </cfRule>
    <cfRule type="expression" dxfId="6559" priority="9086">
      <formula>#REF! = "obiectiv"</formula>
    </cfRule>
  </conditionalFormatting>
  <conditionalFormatting sqref="Q1107:U1113">
    <cfRule type="expression" dxfId="6558" priority="9083">
      <formula>#REF! = "produs"</formula>
    </cfRule>
    <cfRule type="expression" dxfId="6557" priority="9084">
      <formula>#REF! = "obiectiv"</formula>
    </cfRule>
  </conditionalFormatting>
  <conditionalFormatting sqref="Q1117:U1123">
    <cfRule type="expression" dxfId="6556" priority="9081">
      <formula>#REF! = "produs"</formula>
    </cfRule>
    <cfRule type="expression" dxfId="6555" priority="9082">
      <formula>#REF! = "obiectiv"</formula>
    </cfRule>
  </conditionalFormatting>
  <conditionalFormatting sqref="Q1127:U1133">
    <cfRule type="expression" dxfId="6554" priority="9079">
      <formula>#REF! = "produs"</formula>
    </cfRule>
    <cfRule type="expression" dxfId="6553" priority="9080">
      <formula>#REF! = "obiectiv"</formula>
    </cfRule>
  </conditionalFormatting>
  <conditionalFormatting sqref="Q1200:U1206">
    <cfRule type="expression" dxfId="6552" priority="9075">
      <formula>#REF! = "produs"</formula>
    </cfRule>
    <cfRule type="expression" dxfId="6551" priority="9076">
      <formula>#REF! = "obiectiv"</formula>
    </cfRule>
  </conditionalFormatting>
  <conditionalFormatting sqref="Q1210:U1216">
    <cfRule type="expression" dxfId="6550" priority="9073">
      <formula>#REF! = "produs"</formula>
    </cfRule>
    <cfRule type="expression" dxfId="6549" priority="9074">
      <formula>#REF! = "obiectiv"</formula>
    </cfRule>
  </conditionalFormatting>
  <conditionalFormatting sqref="Q1743:U1749">
    <cfRule type="expression" dxfId="6548" priority="9019">
      <formula>#REF! = "produs"</formula>
    </cfRule>
    <cfRule type="expression" dxfId="6547" priority="9020">
      <formula>#REF! = "obiectiv"</formula>
    </cfRule>
  </conditionalFormatting>
  <conditionalFormatting sqref="Q209:U209">
    <cfRule type="expression" dxfId="6546" priority="8871">
      <formula>#REF! = "produs"</formula>
    </cfRule>
    <cfRule type="expression" dxfId="6545" priority="8872">
      <formula>#REF! = "obiectiv"</formula>
    </cfRule>
  </conditionalFormatting>
  <conditionalFormatting sqref="H1115">
    <cfRule type="expression" dxfId="6544" priority="8489">
      <formula>#REF! = "produs"</formula>
    </cfRule>
    <cfRule type="expression" dxfId="6543" priority="8490">
      <formula>#REF! = "obiectiv"</formula>
    </cfRule>
  </conditionalFormatting>
  <conditionalFormatting sqref="G1115">
    <cfRule type="expression" dxfId="6542" priority="8487">
      <formula>#REF! = "produs"</formula>
    </cfRule>
    <cfRule type="expression" dxfId="6541" priority="8488">
      <formula>#REF! = "obiectiv"</formula>
    </cfRule>
  </conditionalFormatting>
  <conditionalFormatting sqref="Q1437:U1443">
    <cfRule type="expression" dxfId="6540" priority="9049">
      <formula>#REF! = "produs"</formula>
    </cfRule>
    <cfRule type="expression" dxfId="6539" priority="9050">
      <formula>#REF! = "obiectiv"</formula>
    </cfRule>
  </conditionalFormatting>
  <conditionalFormatting sqref="H313">
    <cfRule type="expression" dxfId="6538" priority="8751">
      <formula>#REF! = "produs"</formula>
    </cfRule>
    <cfRule type="expression" dxfId="6537" priority="8752">
      <formula>#REF! = "obiectiv"</formula>
    </cfRule>
  </conditionalFormatting>
  <conditionalFormatting sqref="H324">
    <cfRule type="expression" dxfId="6536" priority="8747">
      <formula>#REF! = "produs"</formula>
    </cfRule>
    <cfRule type="expression" dxfId="6535" priority="8748">
      <formula>#REF! = "obiectiv"</formula>
    </cfRule>
  </conditionalFormatting>
  <conditionalFormatting sqref="Q2177:U2183">
    <cfRule type="expression" dxfId="6534" priority="8999">
      <formula>#REF! = "produs"</formula>
    </cfRule>
    <cfRule type="expression" dxfId="6533" priority="9000">
      <formula>#REF! = "obiectiv"</formula>
    </cfRule>
  </conditionalFormatting>
  <conditionalFormatting sqref="H1208">
    <cfRule type="expression" dxfId="6532" priority="8469">
      <formula>#REF! = "produs"</formula>
    </cfRule>
    <cfRule type="expression" dxfId="6531" priority="8470">
      <formula>#REF! = "obiectiv"</formula>
    </cfRule>
  </conditionalFormatting>
  <conditionalFormatting sqref="Q1520:U1526">
    <cfRule type="expression" dxfId="6530" priority="9035">
      <formula>#REF! = "produs"</formula>
    </cfRule>
    <cfRule type="expression" dxfId="6529" priority="9036">
      <formula>#REF! = "obiectiv"</formula>
    </cfRule>
  </conditionalFormatting>
  <conditionalFormatting sqref="V1535 Q1531:U1537">
    <cfRule type="expression" dxfId="6528" priority="9033">
      <formula>#REF! = "produs"</formula>
    </cfRule>
    <cfRule type="expression" dxfId="6527" priority="9034">
      <formula>#REF! = "obiectiv"</formula>
    </cfRule>
  </conditionalFormatting>
  <conditionalFormatting sqref="H2217">
    <cfRule type="expression" dxfId="6526" priority="8721">
      <formula>#REF! = "produs"</formula>
    </cfRule>
    <cfRule type="expression" dxfId="6525" priority="8722">
      <formula>#REF! = "obiectiv"</formula>
    </cfRule>
  </conditionalFormatting>
  <conditionalFormatting sqref="J1605">
    <cfRule type="expression" dxfId="6524" priority="8073">
      <formula>#REF! = "produs"</formula>
    </cfRule>
    <cfRule type="expression" dxfId="6523" priority="8074">
      <formula>#REF! = "obiectiv"</formula>
    </cfRule>
  </conditionalFormatting>
  <conditionalFormatting sqref="Q1591:U1597">
    <cfRule type="expression" dxfId="6522" priority="9025">
      <formula>#REF! = "produs"</formula>
    </cfRule>
    <cfRule type="expression" dxfId="6521" priority="9026">
      <formula>#REF! = "obiectiv"</formula>
    </cfRule>
  </conditionalFormatting>
  <conditionalFormatting sqref="Q1713:U1719">
    <cfRule type="expression" dxfId="6520" priority="9023">
      <formula>#REF! = "produs"</formula>
    </cfRule>
    <cfRule type="expression" dxfId="6519" priority="9024">
      <formula>#REF! = "obiectiv"</formula>
    </cfRule>
  </conditionalFormatting>
  <conditionalFormatting sqref="G397">
    <cfRule type="expression" dxfId="6518" priority="8811">
      <formula>#REF! = "produs"</formula>
    </cfRule>
    <cfRule type="expression" dxfId="6517" priority="8812">
      <formula>#REF! = "obiectiv"</formula>
    </cfRule>
  </conditionalFormatting>
  <conditionalFormatting sqref="Q1673:U1679">
    <cfRule type="expression" dxfId="6516" priority="9017">
      <formula>#REF! = "produs"</formula>
    </cfRule>
    <cfRule type="expression" dxfId="6515" priority="9018">
      <formula>#REF! = "obiectiv"</formula>
    </cfRule>
  </conditionalFormatting>
  <conditionalFormatting sqref="Q2084:U2090">
    <cfRule type="expression" dxfId="6514" priority="8981">
      <formula>#REF! = "produs"</formula>
    </cfRule>
    <cfRule type="expression" dxfId="6513" priority="8982">
      <formula>#REF! = "obiectiv"</formula>
    </cfRule>
  </conditionalFormatting>
  <conditionalFormatting sqref="Q1693:U1699">
    <cfRule type="expression" dxfId="6512" priority="9011">
      <formula>#REF! = "produs"</formula>
    </cfRule>
    <cfRule type="expression" dxfId="6511" priority="9012">
      <formula>#REF! = "obiectiv"</formula>
    </cfRule>
  </conditionalFormatting>
  <conditionalFormatting sqref="Q1703:U1709">
    <cfRule type="expression" dxfId="6510" priority="9009">
      <formula>#REF! = "produs"</formula>
    </cfRule>
    <cfRule type="expression" dxfId="6509" priority="9010">
      <formula>#REF! = "obiectiv"</formula>
    </cfRule>
  </conditionalFormatting>
  <conditionalFormatting sqref="Q2146:U2152">
    <cfRule type="expression" dxfId="6508" priority="9007">
      <formula>#REF! = "produs"</formula>
    </cfRule>
    <cfRule type="expression" dxfId="6507" priority="9008">
      <formula>#REF! = "obiectiv"</formula>
    </cfRule>
  </conditionalFormatting>
  <conditionalFormatting sqref="Q2156:U2162">
    <cfRule type="expression" dxfId="6506" priority="9003">
      <formula>#REF! = "produs"</formula>
    </cfRule>
    <cfRule type="expression" dxfId="6505" priority="9004">
      <formula>#REF! = "obiectiv"</formula>
    </cfRule>
  </conditionalFormatting>
  <conditionalFormatting sqref="Q2167:U2173">
    <cfRule type="expression" dxfId="6504" priority="9001">
      <formula>#REF! = "produs"</formula>
    </cfRule>
    <cfRule type="expression" dxfId="6503" priority="9002">
      <formula>#REF! = "obiectiv"</formula>
    </cfRule>
  </conditionalFormatting>
  <conditionalFormatting sqref="Q2187:U2193">
    <cfRule type="expression" dxfId="6502" priority="8997">
      <formula>#REF! = "produs"</formula>
    </cfRule>
    <cfRule type="expression" dxfId="6501" priority="8998">
      <formula>#REF! = "obiectiv"</formula>
    </cfRule>
  </conditionalFormatting>
  <conditionalFormatting sqref="Q2197:U2203">
    <cfRule type="expression" dxfId="6500" priority="8995">
      <formula>#REF! = "produs"</formula>
    </cfRule>
    <cfRule type="expression" dxfId="6499" priority="8996">
      <formula>#REF! = "obiectiv"</formula>
    </cfRule>
  </conditionalFormatting>
  <conditionalFormatting sqref="Q2207:U2213">
    <cfRule type="expression" dxfId="6498" priority="8993">
      <formula>#REF! = "produs"</formula>
    </cfRule>
    <cfRule type="expression" dxfId="6497" priority="8994">
      <formula>#REF! = "obiectiv"</formula>
    </cfRule>
  </conditionalFormatting>
  <conditionalFormatting sqref="Q2011:U2017">
    <cfRule type="expression" dxfId="6496" priority="8991">
      <formula>#REF! = "produs"</formula>
    </cfRule>
    <cfRule type="expression" dxfId="6495" priority="8992">
      <formula>#REF! = "obiectiv"</formula>
    </cfRule>
  </conditionalFormatting>
  <conditionalFormatting sqref="Q2021:U2027">
    <cfRule type="expression" dxfId="6494" priority="8989">
      <formula>#REF! = "produs"</formula>
    </cfRule>
    <cfRule type="expression" dxfId="6493" priority="8990">
      <formula>#REF! = "obiectiv"</formula>
    </cfRule>
  </conditionalFormatting>
  <conditionalFormatting sqref="Q2074:U2080">
    <cfRule type="expression" dxfId="6492" priority="8983">
      <formula>#REF! = "produs"</formula>
    </cfRule>
    <cfRule type="expression" dxfId="6491" priority="8984">
      <formula>#REF! = "obiectiv"</formula>
    </cfRule>
  </conditionalFormatting>
  <conditionalFormatting sqref="Q2104:U2110">
    <cfRule type="expression" dxfId="6490" priority="8977">
      <formula>#REF! = "produs"</formula>
    </cfRule>
    <cfRule type="expression" dxfId="6489" priority="8978">
      <formula>#REF! = "obiectiv"</formula>
    </cfRule>
  </conditionalFormatting>
  <conditionalFormatting sqref="Q2114:U2120">
    <cfRule type="expression" dxfId="6488" priority="8975">
      <formula>#REF! = "produs"</formula>
    </cfRule>
    <cfRule type="expression" dxfId="6487" priority="8976">
      <formula>#REF! = "obiectiv"</formula>
    </cfRule>
  </conditionalFormatting>
  <conditionalFormatting sqref="Q2124:U2130">
    <cfRule type="expression" dxfId="6486" priority="8973">
      <formula>#REF! = "produs"</formula>
    </cfRule>
    <cfRule type="expression" dxfId="6485" priority="8974">
      <formula>#REF! = "obiectiv"</formula>
    </cfRule>
  </conditionalFormatting>
  <conditionalFormatting sqref="H2092">
    <cfRule type="expression" dxfId="6484" priority="8321">
      <formula>#REF! = "produs"</formula>
    </cfRule>
    <cfRule type="expression" dxfId="6483" priority="8322">
      <formula>#REF! = "obiectiv"</formula>
    </cfRule>
  </conditionalFormatting>
  <conditionalFormatting sqref="H276">
    <cfRule type="expression" dxfId="6482" priority="8827">
      <formula>#REF! = "produs"</formula>
    </cfRule>
    <cfRule type="expression" dxfId="6481" priority="8828">
      <formula>#REF! = "obiectiv"</formula>
    </cfRule>
  </conditionalFormatting>
  <conditionalFormatting sqref="G840">
    <cfRule type="expression" dxfId="6480" priority="8597">
      <formula>#REF! = "produs"</formula>
    </cfRule>
    <cfRule type="expression" dxfId="6479" priority="8598">
      <formula>#REF! = "obiectiv"</formula>
    </cfRule>
  </conditionalFormatting>
  <conditionalFormatting sqref="G850">
    <cfRule type="expression" dxfId="6478" priority="8595">
      <formula>#REF! = "produs"</formula>
    </cfRule>
    <cfRule type="expression" dxfId="6477" priority="8596">
      <formula>#REF! = "obiectiv"</formula>
    </cfRule>
  </conditionalFormatting>
  <conditionalFormatting sqref="G860">
    <cfRule type="expression" dxfId="6476" priority="8593">
      <formula>#REF! = "produs"</formula>
    </cfRule>
    <cfRule type="expression" dxfId="6475" priority="8594">
      <formula>#REF! = "obiectiv"</formula>
    </cfRule>
  </conditionalFormatting>
  <conditionalFormatting sqref="H870">
    <cfRule type="expression" dxfId="6474" priority="8581">
      <formula>#REF! = "produs"</formula>
    </cfRule>
    <cfRule type="expression" dxfId="6473" priority="8582">
      <formula>#REF! = "obiectiv"</formula>
    </cfRule>
  </conditionalFormatting>
  <conditionalFormatting sqref="Q347:U353">
    <cfRule type="expression" dxfId="6472" priority="8921">
      <formula>#REF! = "produs"</formula>
    </cfRule>
    <cfRule type="expression" dxfId="6471" priority="8922">
      <formula>#REF! = "obiectiv"</formula>
    </cfRule>
  </conditionalFormatting>
  <conditionalFormatting sqref="Q189:U189">
    <cfRule type="expression" dxfId="6470" priority="8887">
      <formula>#REF! = "produs"</formula>
    </cfRule>
    <cfRule type="expression" dxfId="6469" priority="8888">
      <formula>#REF! = "obiectiv"</formula>
    </cfRule>
  </conditionalFormatting>
  <conditionalFormatting sqref="G221">
    <cfRule type="expression" dxfId="6468" priority="8849">
      <formula>#REF! = "produs"</formula>
    </cfRule>
    <cfRule type="expression" dxfId="6467" priority="8850">
      <formula>#REF! = "obiectiv"</formula>
    </cfRule>
  </conditionalFormatting>
  <conditionalFormatting sqref="G199">
    <cfRule type="expression" dxfId="6466" priority="8893">
      <formula>#REF! = "produs"</formula>
    </cfRule>
    <cfRule type="expression" dxfId="6465" priority="8894">
      <formula>#REF! = "obiectiv"</formula>
    </cfRule>
  </conditionalFormatting>
  <conditionalFormatting sqref="H189">
    <cfRule type="expression" dxfId="6464" priority="8891">
      <formula>#REF! = "produs"</formula>
    </cfRule>
    <cfRule type="expression" dxfId="6463" priority="8892">
      <formula>#REF! = "obiectiv"</formula>
    </cfRule>
  </conditionalFormatting>
  <conditionalFormatting sqref="H199">
    <cfRule type="expression" dxfId="6462" priority="8889">
      <formula>#REF! = "produs"</formula>
    </cfRule>
    <cfRule type="expression" dxfId="6461" priority="8890">
      <formula>#REF! = "obiectiv"</formula>
    </cfRule>
  </conditionalFormatting>
  <conditionalFormatting sqref="H912">
    <cfRule type="expression" dxfId="6460" priority="8467">
      <formula>#REF! = "produs"</formula>
    </cfRule>
    <cfRule type="expression" dxfId="6459" priority="8468">
      <formula>#REF! = "obiectiv"</formula>
    </cfRule>
  </conditionalFormatting>
  <conditionalFormatting sqref="Q199:U199">
    <cfRule type="expression" dxfId="6458" priority="8875">
      <formula>#REF! = "produs"</formula>
    </cfRule>
    <cfRule type="expression" dxfId="6457" priority="8876">
      <formula>#REF! = "obiectiv"</formula>
    </cfRule>
  </conditionalFormatting>
  <conditionalFormatting sqref="H840">
    <cfRule type="expression" dxfId="6456" priority="8587">
      <formula>#REF! = "produs"</formula>
    </cfRule>
    <cfRule type="expression" dxfId="6455" priority="8588">
      <formula>#REF! = "obiectiv"</formula>
    </cfRule>
  </conditionalFormatting>
  <conditionalFormatting sqref="G231">
    <cfRule type="expression" dxfId="6454" priority="8845">
      <formula>#REF! = "produs"</formula>
    </cfRule>
    <cfRule type="expression" dxfId="6453" priority="8846">
      <formula>#REF! = "obiectiv"</formula>
    </cfRule>
  </conditionalFormatting>
  <conditionalFormatting sqref="G251">
    <cfRule type="expression" dxfId="6452" priority="8843">
      <formula>#REF! = "produs"</formula>
    </cfRule>
    <cfRule type="expression" dxfId="6451" priority="8844">
      <formula>#REF! = "obiectiv"</formula>
    </cfRule>
  </conditionalFormatting>
  <conditionalFormatting sqref="G271">
    <cfRule type="expression" dxfId="6450" priority="8839">
      <formula>#REF! = "produs"</formula>
    </cfRule>
    <cfRule type="expression" dxfId="6449" priority="8840">
      <formula>#REF! = "obiectiv"</formula>
    </cfRule>
  </conditionalFormatting>
  <conditionalFormatting sqref="G1125">
    <cfRule type="expression" dxfId="6448" priority="8485">
      <formula>#REF! = "produs"</formula>
    </cfRule>
    <cfRule type="expression" dxfId="6447" priority="8486">
      <formula>#REF! = "obiectiv"</formula>
    </cfRule>
  </conditionalFormatting>
  <conditionalFormatting sqref="H256">
    <cfRule type="expression" dxfId="6446" priority="8831">
      <formula>#REF! = "produs"</formula>
    </cfRule>
    <cfRule type="expression" dxfId="6445" priority="8832">
      <formula>#REF! = "obiectiv"</formula>
    </cfRule>
  </conditionalFormatting>
  <conditionalFormatting sqref="H2205">
    <cfRule type="expression" dxfId="6444" priority="8339">
      <formula>#REF! = "produs"</formula>
    </cfRule>
    <cfRule type="expression" dxfId="6443" priority="8340">
      <formula>#REF! = "obiectiv"</formula>
    </cfRule>
  </conditionalFormatting>
  <conditionalFormatting sqref="H830">
    <cfRule type="expression" dxfId="6442" priority="8589">
      <formula>#REF! = "produs"</formula>
    </cfRule>
    <cfRule type="expression" dxfId="6441" priority="8590">
      <formula>#REF! = "obiectiv"</formula>
    </cfRule>
  </conditionalFormatting>
  <conditionalFormatting sqref="G302">
    <cfRule type="expression" dxfId="6440" priority="8757">
      <formula>#REF! = "produs"</formula>
    </cfRule>
    <cfRule type="expression" dxfId="6439" priority="8758">
      <formula>#REF! = "obiectiv"</formula>
    </cfRule>
  </conditionalFormatting>
  <conditionalFormatting sqref="H221">
    <cfRule type="expression" dxfId="6438" priority="8815">
      <formula>#REF! = "produs"</formula>
    </cfRule>
    <cfRule type="expression" dxfId="6437" priority="8816">
      <formula>#REF! = "obiectiv"</formula>
    </cfRule>
  </conditionalFormatting>
  <conditionalFormatting sqref="G407">
    <cfRule type="expression" dxfId="6436" priority="8803">
      <formula>#REF! = "produs"</formula>
    </cfRule>
    <cfRule type="expression" dxfId="6435" priority="8804">
      <formula>#REF! = "obiectiv"</formula>
    </cfRule>
  </conditionalFormatting>
  <conditionalFormatting sqref="G417">
    <cfRule type="expression" dxfId="6434" priority="8801">
      <formula>#REF! = "produs"</formula>
    </cfRule>
    <cfRule type="expression" dxfId="6433" priority="8802">
      <formula>#REF! = "obiectiv"</formula>
    </cfRule>
  </conditionalFormatting>
  <conditionalFormatting sqref="G427">
    <cfRule type="expression" dxfId="6432" priority="8797">
      <formula>#REF! = "produs"</formula>
    </cfRule>
    <cfRule type="expression" dxfId="6431" priority="8798">
      <formula>#REF! = "obiectiv"</formula>
    </cfRule>
  </conditionalFormatting>
  <conditionalFormatting sqref="G437">
    <cfRule type="expression" dxfId="6430" priority="8795">
      <formula>#REF! = "produs"</formula>
    </cfRule>
    <cfRule type="expression" dxfId="6429" priority="8796">
      <formula>#REF! = "obiectiv"</formula>
    </cfRule>
  </conditionalFormatting>
  <conditionalFormatting sqref="G2217">
    <cfRule type="expression" dxfId="6428" priority="8723">
      <formula>#REF! = "produs"</formula>
    </cfRule>
    <cfRule type="expression" dxfId="6427" priority="8724">
      <formula>#REF! = "obiectiv"</formula>
    </cfRule>
  </conditionalFormatting>
  <conditionalFormatting sqref="H432">
    <cfRule type="expression" dxfId="6426" priority="8779">
      <formula>#REF! = "produs"</formula>
    </cfRule>
    <cfRule type="expression" dxfId="6425" priority="8780">
      <formula>#REF! = "obiectiv"</formula>
    </cfRule>
  </conditionalFormatting>
  <conditionalFormatting sqref="G282">
    <cfRule type="expression" dxfId="6424" priority="8769">
      <formula>#REF! = "produs"</formula>
    </cfRule>
    <cfRule type="expression" dxfId="6423" priority="8770">
      <formula>#REF! = "obiectiv"</formula>
    </cfRule>
  </conditionalFormatting>
  <conditionalFormatting sqref="L2275:P2275">
    <cfRule type="expression" dxfId="6422" priority="7513">
      <formula>#REF! = "produs"</formula>
    </cfRule>
    <cfRule type="expression" dxfId="6421" priority="7514">
      <formula>#REF! = "obiectiv"</formula>
    </cfRule>
  </conditionalFormatting>
  <conditionalFormatting sqref="G313">
    <cfRule type="expression" dxfId="6420" priority="8753">
      <formula>#REF! = "produs"</formula>
    </cfRule>
    <cfRule type="expression" dxfId="6419" priority="8754">
      <formula>#REF! = "obiectiv"</formula>
    </cfRule>
  </conditionalFormatting>
  <conditionalFormatting sqref="H1198">
    <cfRule type="expression" dxfId="6418" priority="8471">
      <formula>#REF! = "produs"</formula>
    </cfRule>
    <cfRule type="expression" dxfId="6417" priority="8472">
      <formula>#REF! = "obiectiv"</formula>
    </cfRule>
  </conditionalFormatting>
  <conditionalFormatting sqref="K334">
    <cfRule type="expression" dxfId="6416" priority="8741">
      <formula>$E334 = "produs"</formula>
    </cfRule>
    <cfRule type="expression" dxfId="6415" priority="8742">
      <formula>$E334 = "obiectiv"</formula>
    </cfRule>
  </conditionalFormatting>
  <conditionalFormatting sqref="G335">
    <cfRule type="expression" dxfId="6414" priority="8739">
      <formula>#REF! = "produs"</formula>
    </cfRule>
    <cfRule type="expression" dxfId="6413" priority="8740">
      <formula>#REF! = "obiectiv"</formula>
    </cfRule>
  </conditionalFormatting>
  <conditionalFormatting sqref="H335">
    <cfRule type="expression" dxfId="6412" priority="8737">
      <formula>#REF! = "produs"</formula>
    </cfRule>
    <cfRule type="expression" dxfId="6411" priority="8738">
      <formula>#REF! = "obiectiv"</formula>
    </cfRule>
  </conditionalFormatting>
  <conditionalFormatting sqref="H355">
    <cfRule type="expression" dxfId="6410" priority="8733">
      <formula>#REF! = "produs"</formula>
    </cfRule>
    <cfRule type="expression" dxfId="6409" priority="8734">
      <formula>#REF! = "obiectiv"</formula>
    </cfRule>
  </conditionalFormatting>
  <conditionalFormatting sqref="H147">
    <cfRule type="expression" dxfId="6408" priority="8729">
      <formula>#REF! = "produs"</formula>
    </cfRule>
    <cfRule type="expression" dxfId="6407" priority="8730">
      <formula>#REF! = "obiectiv"</formula>
    </cfRule>
  </conditionalFormatting>
  <conditionalFormatting sqref="J2273">
    <cfRule type="expression" dxfId="6406" priority="7509">
      <formula>#REF! = "produs"</formula>
    </cfRule>
    <cfRule type="expression" dxfId="6405" priority="7510">
      <formula>#REF! = "obiectiv"</formula>
    </cfRule>
  </conditionalFormatting>
  <conditionalFormatting sqref="J1823 J1830:J1831 J1828 J1826">
    <cfRule type="expression" dxfId="6404" priority="7973">
      <formula>#REF! = "produs"</formula>
    </cfRule>
    <cfRule type="expression" dxfId="6403" priority="7974">
      <formula>#REF! = "obiectiv"</formula>
    </cfRule>
  </conditionalFormatting>
  <conditionalFormatting sqref="H2009">
    <cfRule type="expression" dxfId="6402" priority="8331">
      <formula>#REF! = "produs"</formula>
    </cfRule>
    <cfRule type="expression" dxfId="6401" priority="8332">
      <formula>#REF! = "obiectiv"</formula>
    </cfRule>
  </conditionalFormatting>
  <conditionalFormatting sqref="G1620">
    <cfRule type="expression" dxfId="6400" priority="7985">
      <formula>#REF! = "produs"</formula>
    </cfRule>
    <cfRule type="expression" dxfId="6399" priority="7986">
      <formula>#REF! = "obiectiv"</formula>
    </cfRule>
  </conditionalFormatting>
  <conditionalFormatting sqref="H2072">
    <cfRule type="expression" dxfId="6398" priority="8325">
      <formula>#REF! = "produs"</formula>
    </cfRule>
    <cfRule type="expression" dxfId="6397" priority="8326">
      <formula>#REF! = "obiectiv"</formula>
    </cfRule>
  </conditionalFormatting>
  <conditionalFormatting sqref="H2082">
    <cfRule type="expression" dxfId="6396" priority="8323">
      <formula>#REF! = "produs"</formula>
    </cfRule>
    <cfRule type="expression" dxfId="6395" priority="8324">
      <formula>#REF! = "obiectiv"</formula>
    </cfRule>
  </conditionalFormatting>
  <conditionalFormatting sqref="Q1602:U1608">
    <cfRule type="expression" dxfId="6394" priority="8005">
      <formula>#REF! = "produs"</formula>
    </cfRule>
    <cfRule type="expression" dxfId="6393" priority="8006">
      <formula>#REF! = "obiectiv"</formula>
    </cfRule>
  </conditionalFormatting>
  <conditionalFormatting sqref="Q2227:U2227">
    <cfRule type="expression" dxfId="6392" priority="7735">
      <formula>#REF! = "produs"</formula>
    </cfRule>
    <cfRule type="expression" dxfId="6391" priority="7736">
      <formula>#REF! = "obiectiv"</formula>
    </cfRule>
  </conditionalFormatting>
  <conditionalFormatting sqref="Q2260:U2266">
    <cfRule type="expression" dxfId="6390" priority="7535">
      <formula>#REF! = "produs"</formula>
    </cfRule>
    <cfRule type="expression" dxfId="6389" priority="7536">
      <formula>#REF! = "obiectiv"</formula>
    </cfRule>
  </conditionalFormatting>
  <conditionalFormatting sqref="K1825:P1825 W1825:IU1825">
    <cfRule type="expression" dxfId="6388" priority="7961">
      <formula>#REF! = "produs"</formula>
    </cfRule>
    <cfRule type="expression" dxfId="6387" priority="7962">
      <formula>#REF! = "obiectiv"</formula>
    </cfRule>
  </conditionalFormatting>
  <conditionalFormatting sqref="H1045">
    <cfRule type="expression" dxfId="6386" priority="8545">
      <formula>#REF! = "produs"</formula>
    </cfRule>
    <cfRule type="expression" dxfId="6385" priority="8546">
      <formula>#REF! = "obiectiv"</formula>
    </cfRule>
  </conditionalFormatting>
  <conditionalFormatting sqref="K2269:K2270 K2272:K2277">
    <cfRule type="expression" dxfId="6384" priority="7521">
      <formula>#REF! = "produs"</formula>
    </cfRule>
    <cfRule type="expression" dxfId="6383" priority="7522">
      <formula>#REF! = "obiectiv"</formula>
    </cfRule>
  </conditionalFormatting>
  <conditionalFormatting sqref="L2277:U2277 L2276:P2276 L2272:P2273 L2269:U2269 L2270:P2270">
    <cfRule type="expression" dxfId="6382" priority="7517">
      <formula>#REF! = "produs"</formula>
    </cfRule>
    <cfRule type="expression" dxfId="6381" priority="7518">
      <formula>#REF! = "obiectiv"</formula>
    </cfRule>
  </conditionalFormatting>
  <conditionalFormatting sqref="J2275">
    <cfRule type="expression" dxfId="6380" priority="7515">
      <formula>#REF! = "produs"</formula>
    </cfRule>
    <cfRule type="expression" dxfId="6379" priority="7516">
      <formula>#REF! = "obiectiv"</formula>
    </cfRule>
  </conditionalFormatting>
  <conditionalFormatting sqref="L2274:P2274">
    <cfRule type="expression" dxfId="6378" priority="7511">
      <formula>#REF! = "produs"</formula>
    </cfRule>
    <cfRule type="expression" dxfId="6377" priority="7512">
      <formula>#REF! = "obiectiv"</formula>
    </cfRule>
  </conditionalFormatting>
  <conditionalFormatting sqref="H1168">
    <cfRule type="expression" dxfId="6376" priority="8531">
      <formula>#REF! = "produs"</formula>
    </cfRule>
    <cfRule type="expression" dxfId="6375" priority="8532">
      <formula>#REF! = "obiectiv"</formula>
    </cfRule>
  </conditionalFormatting>
  <conditionalFormatting sqref="Q1622:U1628">
    <cfRule type="expression" dxfId="6374" priority="8003">
      <formula>#REF! = "produs"</formula>
    </cfRule>
    <cfRule type="expression" dxfId="6373" priority="8004">
      <formula>#REF! = "obiectiv"</formula>
    </cfRule>
  </conditionalFormatting>
  <conditionalFormatting sqref="L2265:P2265">
    <cfRule type="expression" dxfId="6372" priority="7547">
      <formula>#REF! = "produs"</formula>
    </cfRule>
    <cfRule type="expression" dxfId="6371" priority="7548">
      <formula>#REF! = "obiectiv"</formula>
    </cfRule>
  </conditionalFormatting>
  <conditionalFormatting sqref="H1412">
    <cfRule type="expression" dxfId="6370" priority="8515">
      <formula>#REF! = "produs"</formula>
    </cfRule>
    <cfRule type="expression" dxfId="6369" priority="8516">
      <formula>#REF! = "obiectiv"</formula>
    </cfRule>
  </conditionalFormatting>
  <conditionalFormatting sqref="J1839">
    <cfRule type="expression" dxfId="6368" priority="7949">
      <formula>#REF! = "produs"</formula>
    </cfRule>
    <cfRule type="expression" dxfId="6367" priority="7950">
      <formula>#REF! = "obiectiv"</formula>
    </cfRule>
  </conditionalFormatting>
  <conditionalFormatting sqref="G830">
    <cfRule type="expression" dxfId="6366" priority="8599">
      <formula>#REF! = "produs"</formula>
    </cfRule>
    <cfRule type="expression" dxfId="6365" priority="8600">
      <formula>#REF! = "obiectiv"</formula>
    </cfRule>
  </conditionalFormatting>
  <conditionalFormatting sqref="H1361">
    <cfRule type="expression" dxfId="6364" priority="8513">
      <formula>#REF! = "produs"</formula>
    </cfRule>
    <cfRule type="expression" dxfId="6363" priority="8514">
      <formula>#REF! = "obiectiv"</formula>
    </cfRule>
  </conditionalFormatting>
  <conditionalFormatting sqref="L846:P846">
    <cfRule type="expression" dxfId="6362" priority="8181">
      <formula>#REF! = "produs"</formula>
    </cfRule>
    <cfRule type="expression" dxfId="6361" priority="8182">
      <formula>#REF! = "obiectiv"</formula>
    </cfRule>
  </conditionalFormatting>
  <conditionalFormatting sqref="V219">
    <cfRule type="expression" dxfId="6360" priority="8215">
      <formula>#REF! = "produs"</formula>
    </cfRule>
    <cfRule type="expression" dxfId="6359" priority="8216">
      <formula>#REF! = "obiectiv"</formula>
    </cfRule>
  </conditionalFormatting>
  <conditionalFormatting sqref="Q1632:U1638">
    <cfRule type="expression" dxfId="6358" priority="8001">
      <formula>#REF! = "produs"</formula>
    </cfRule>
    <cfRule type="expression" dxfId="6357" priority="8002">
      <formula>#REF! = "obiectiv"</formula>
    </cfRule>
  </conditionalFormatting>
  <conditionalFormatting sqref="H820">
    <cfRule type="expression" dxfId="6356" priority="8603">
      <formula>#REF! = "produs"</formula>
    </cfRule>
    <cfRule type="expression" dxfId="6355" priority="8604">
      <formula>#REF! = "obiectiv"</formula>
    </cfRule>
  </conditionalFormatting>
  <conditionalFormatting sqref="G820">
    <cfRule type="expression" dxfId="6354" priority="8601">
      <formula>#REF! = "produs"</formula>
    </cfRule>
    <cfRule type="expression" dxfId="6353" priority="8602">
      <formula>#REF! = "obiectiv"</formula>
    </cfRule>
  </conditionalFormatting>
  <conditionalFormatting sqref="H1259">
    <cfRule type="expression" dxfId="6352" priority="8557">
      <formula>#REF! = "produs"</formula>
    </cfRule>
    <cfRule type="expression" dxfId="6351" priority="8558">
      <formula>#REF! = "obiectiv"</formula>
    </cfRule>
  </conditionalFormatting>
  <conditionalFormatting sqref="G1045">
    <cfRule type="expression" dxfId="6350" priority="8555">
      <formula>#REF! = "produs"</formula>
    </cfRule>
    <cfRule type="expression" dxfId="6349" priority="8556">
      <formula>#REF! = "obiectiv"</formula>
    </cfRule>
  </conditionalFormatting>
  <conditionalFormatting sqref="G1065">
    <cfRule type="expression" dxfId="6348" priority="8553">
      <formula>#REF! = "produs"</formula>
    </cfRule>
    <cfRule type="expression" dxfId="6347" priority="8554">
      <formula>#REF! = "obiectiv"</formula>
    </cfRule>
  </conditionalFormatting>
  <conditionalFormatting sqref="G1075">
    <cfRule type="expression" dxfId="6346" priority="8551">
      <formula>#REF! = "produs"</formula>
    </cfRule>
    <cfRule type="expression" dxfId="6345" priority="8552">
      <formula>#REF! = "obiectiv"</formula>
    </cfRule>
  </conditionalFormatting>
  <conditionalFormatting sqref="G1095">
    <cfRule type="expression" dxfId="6344" priority="8547">
      <formula>#REF! = "produs"</formula>
    </cfRule>
    <cfRule type="expression" dxfId="6343" priority="8548">
      <formula>#REF! = "obiectiv"</formula>
    </cfRule>
  </conditionalFormatting>
  <conditionalFormatting sqref="H1065">
    <cfRule type="expression" dxfId="6342" priority="8543">
      <formula>#REF! = "produs"</formula>
    </cfRule>
    <cfRule type="expression" dxfId="6341" priority="8544">
      <formula>#REF! = "obiectiv"</formula>
    </cfRule>
  </conditionalFormatting>
  <conditionalFormatting sqref="H2050">
    <cfRule type="expression" dxfId="6340" priority="8495">
      <formula>#REF! = "produs"</formula>
    </cfRule>
    <cfRule type="expression" dxfId="6339" priority="8496">
      <formula>#REF! = "obiectiv"</formula>
    </cfRule>
  </conditionalFormatting>
  <conditionalFormatting sqref="L1839:P1839">
    <cfRule type="expression" dxfId="6338" priority="7947">
      <formula>#REF! = "produs"</formula>
    </cfRule>
    <cfRule type="expression" dxfId="6337" priority="7948">
      <formula>#REF! = "obiectiv"</formula>
    </cfRule>
  </conditionalFormatting>
  <conditionalFormatting sqref="L1838:P1838">
    <cfRule type="expression" dxfId="6336" priority="7945">
      <formula>#REF! = "produs"</formula>
    </cfRule>
    <cfRule type="expression" dxfId="6335" priority="7946">
      <formula>#REF! = "obiectiv"</formula>
    </cfRule>
  </conditionalFormatting>
  <conditionalFormatting sqref="J1827">
    <cfRule type="expression" dxfId="6334" priority="7963">
      <formula>#REF! = "produs"</formula>
    </cfRule>
    <cfRule type="expression" dxfId="6333" priority="7964">
      <formula>#REF! = "obiectiv"</formula>
    </cfRule>
  </conditionalFormatting>
  <conditionalFormatting sqref="L1607:P1607">
    <cfRule type="expression" dxfId="6332" priority="8077">
      <formula>#REF! = "produs"</formula>
    </cfRule>
    <cfRule type="expression" dxfId="6331" priority="8078">
      <formula>#REF! = "obiectiv"</formula>
    </cfRule>
  </conditionalFormatting>
  <conditionalFormatting sqref="H1341">
    <cfRule type="expression" dxfId="6330" priority="8521">
      <formula>#REF! = "produs"</formula>
    </cfRule>
    <cfRule type="expression" dxfId="6329" priority="8522">
      <formula>#REF! = "obiectiv"</formula>
    </cfRule>
  </conditionalFormatting>
  <conditionalFormatting sqref="H1310">
    <cfRule type="expression" dxfId="6328" priority="8505">
      <formula>#REF! = "produs"</formula>
    </cfRule>
    <cfRule type="expression" dxfId="6327" priority="8506">
      <formula>#REF! = "obiectiv"</formula>
    </cfRule>
  </conditionalFormatting>
  <conditionalFormatting sqref="H2195">
    <cfRule type="expression" dxfId="6326" priority="8365">
      <formula>#REF! = "produs"</formula>
    </cfRule>
    <cfRule type="expression" dxfId="6325" priority="8366">
      <formula>#REF! = "obiectiv"</formula>
    </cfRule>
  </conditionalFormatting>
  <conditionalFormatting sqref="Q1834:U1840">
    <cfRule type="expression" dxfId="6324" priority="7913">
      <formula>#REF! = "produs"</formula>
    </cfRule>
    <cfRule type="expression" dxfId="6323" priority="7914">
      <formula>#REF! = "obiectiv"</formula>
    </cfRule>
  </conditionalFormatting>
  <conditionalFormatting sqref="L1828:P1828">
    <cfRule type="expression" dxfId="6322" priority="7965">
      <formula>#REF! = "produs"</formula>
    </cfRule>
    <cfRule type="expression" dxfId="6321" priority="7966">
      <formula>#REF! = "obiectiv"</formula>
    </cfRule>
  </conditionalFormatting>
  <conditionalFormatting sqref="J1835">
    <cfRule type="expression" dxfId="6320" priority="7939">
      <formula>#REF! = "produs"</formula>
    </cfRule>
    <cfRule type="expression" dxfId="6319" priority="7940">
      <formula>#REF! = "obiectiv"</formula>
    </cfRule>
  </conditionalFormatting>
  <conditionalFormatting sqref="H2029">
    <cfRule type="expression" dxfId="6318" priority="8499">
      <formula>#REF! = "produs"</formula>
    </cfRule>
    <cfRule type="expression" dxfId="6317" priority="8500">
      <formula>#REF! = "obiectiv"</formula>
    </cfRule>
  </conditionalFormatting>
  <conditionalFormatting sqref="H1125">
    <cfRule type="expression" dxfId="6316" priority="8483">
      <formula>#REF! = "produs"</formula>
    </cfRule>
    <cfRule type="expression" dxfId="6315" priority="8484">
      <formula>#REF! = "obiectiv"</formula>
    </cfRule>
  </conditionalFormatting>
  <conditionalFormatting sqref="J1837">
    <cfRule type="expression" dxfId="6314" priority="7943">
      <formula>#REF! = "produs"</formula>
    </cfRule>
    <cfRule type="expression" dxfId="6313" priority="7944">
      <formula>#REF! = "obiectiv"</formula>
    </cfRule>
  </conditionalFormatting>
  <conditionalFormatting sqref="H1105">
    <cfRule type="expression" dxfId="6312" priority="8493">
      <formula>#REF! = "produs"</formula>
    </cfRule>
    <cfRule type="expression" dxfId="6311" priority="8494">
      <formula>#REF! = "obiectiv"</formula>
    </cfRule>
  </conditionalFormatting>
  <conditionalFormatting sqref="G1105">
    <cfRule type="expression" dxfId="6310" priority="8491">
      <formula>#REF! = "produs"</formula>
    </cfRule>
    <cfRule type="expression" dxfId="6309" priority="8492">
      <formula>#REF! = "obiectiv"</formula>
    </cfRule>
  </conditionalFormatting>
  <conditionalFormatting sqref="K1835:P1835 W1835:IU1835">
    <cfRule type="expression" dxfId="6308" priority="7941">
      <formula>#REF! = "produs"</formula>
    </cfRule>
    <cfRule type="expression" dxfId="6307" priority="7942">
      <formula>#REF! = "obiectiv"</formula>
    </cfRule>
  </conditionalFormatting>
  <conditionalFormatting sqref="H2165">
    <cfRule type="expression" dxfId="6306" priority="8337">
      <formula>#REF! = "produs"</formula>
    </cfRule>
    <cfRule type="expression" dxfId="6305" priority="8338">
      <formula>#REF! = "obiectiv"</formula>
    </cfRule>
  </conditionalFormatting>
  <conditionalFormatting sqref="H2144">
    <cfRule type="expression" dxfId="6304" priority="8381">
      <formula>#REF! = "produs"</formula>
    </cfRule>
    <cfRule type="expression" dxfId="6303" priority="8382">
      <formula>#REF! = "obiectiv"</formula>
    </cfRule>
  </conditionalFormatting>
  <conditionalFormatting sqref="H2154">
    <cfRule type="expression" dxfId="6302" priority="8341">
      <formula>#REF! = "produs"</formula>
    </cfRule>
    <cfRule type="expression" dxfId="6301" priority="8342">
      <formula>#REF! = "obiectiv"</formula>
    </cfRule>
  </conditionalFormatting>
  <conditionalFormatting sqref="H2175">
    <cfRule type="expression" dxfId="6300" priority="8335">
      <formula>#REF! = "produs"</formula>
    </cfRule>
    <cfRule type="expression" dxfId="6299" priority="8336">
      <formula>#REF! = "obiectiv"</formula>
    </cfRule>
  </conditionalFormatting>
  <conditionalFormatting sqref="H2185">
    <cfRule type="expression" dxfId="6298" priority="8333">
      <formula>#REF! = "produs"</formula>
    </cfRule>
    <cfRule type="expression" dxfId="6297" priority="8334">
      <formula>#REF! = "obiectiv"</formula>
    </cfRule>
  </conditionalFormatting>
  <conditionalFormatting sqref="L1606:P1606">
    <cfRule type="expression" dxfId="6296" priority="8075">
      <formula>#REF! = "produs"</formula>
    </cfRule>
    <cfRule type="expression" dxfId="6295" priority="8076">
      <formula>#REF! = "obiectiv"</formula>
    </cfRule>
  </conditionalFormatting>
  <conditionalFormatting sqref="H2122">
    <cfRule type="expression" dxfId="6294" priority="8315">
      <formula>#REF! = "produs"</formula>
    </cfRule>
    <cfRule type="expression" dxfId="6293" priority="8316">
      <formula>#REF! = "obiectiv"</formula>
    </cfRule>
  </conditionalFormatting>
  <conditionalFormatting sqref="K1603:P1603 W1603:IU1603">
    <cfRule type="expression" dxfId="6292" priority="8071">
      <formula>#REF! = "produs"</formula>
    </cfRule>
    <cfRule type="expression" dxfId="6291" priority="8072">
      <formula>#REF! = "obiectiv"</formula>
    </cfRule>
  </conditionalFormatting>
  <conditionalFormatting sqref="H1435">
    <cfRule type="expression" dxfId="6290" priority="8431">
      <formula>#REF! = "produs"</formula>
    </cfRule>
    <cfRule type="expression" dxfId="6289" priority="8432">
      <formula>#REF! = "obiectiv"</formula>
    </cfRule>
  </conditionalFormatting>
  <conditionalFormatting sqref="H1445">
    <cfRule type="expression" dxfId="6288" priority="8429">
      <formula>#REF! = "produs"</formula>
    </cfRule>
    <cfRule type="expression" dxfId="6287" priority="8430">
      <formula>#REF! = "obiectiv"</formula>
    </cfRule>
  </conditionalFormatting>
  <conditionalFormatting sqref="H1456">
    <cfRule type="expression" dxfId="6286" priority="8427">
      <formula>#REF! = "produs"</formula>
    </cfRule>
    <cfRule type="expression" dxfId="6285" priority="8428">
      <formula>#REF! = "obiectiv"</formula>
    </cfRule>
  </conditionalFormatting>
  <conditionalFormatting sqref="H1466">
    <cfRule type="expression" dxfId="6284" priority="8425">
      <formula>#REF! = "produs"</formula>
    </cfRule>
    <cfRule type="expression" dxfId="6283" priority="8426">
      <formula>#REF! = "obiectiv"</formula>
    </cfRule>
  </conditionalFormatting>
  <conditionalFormatting sqref="H1476">
    <cfRule type="expression" dxfId="6282" priority="8423">
      <formula>#REF! = "produs"</formula>
    </cfRule>
    <cfRule type="expression" dxfId="6281" priority="8424">
      <formula>#REF! = "obiectiv"</formula>
    </cfRule>
  </conditionalFormatting>
  <conditionalFormatting sqref="H1498">
    <cfRule type="expression" dxfId="6280" priority="8419">
      <formula>#REF! = "produs"</formula>
    </cfRule>
    <cfRule type="expression" dxfId="6279" priority="8420">
      <formula>#REF! = "obiectiv"</formula>
    </cfRule>
  </conditionalFormatting>
  <conditionalFormatting sqref="H1518">
    <cfRule type="expression" dxfId="6278" priority="8417">
      <formula>#REF! = "produs"</formula>
    </cfRule>
    <cfRule type="expression" dxfId="6277" priority="8418">
      <formula>#REF! = "obiectiv"</formula>
    </cfRule>
  </conditionalFormatting>
  <conditionalFormatting sqref="H1529">
    <cfRule type="expression" dxfId="6276" priority="8415">
      <formula>#REF! = "produs"</formula>
    </cfRule>
    <cfRule type="expression" dxfId="6275" priority="8416">
      <formula>#REF! = "obiectiv"</formula>
    </cfRule>
  </conditionalFormatting>
  <conditionalFormatting sqref="Q1640:U1640 Q1630:U1630 Q1620:U1620 Q1600:U1600">
    <cfRule type="expression" dxfId="6274" priority="7997">
      <formula>#REF! = "produs"</formula>
    </cfRule>
    <cfRule type="expression" dxfId="6273" priority="7998">
      <formula>#REF! = "obiectiv"</formula>
    </cfRule>
  </conditionalFormatting>
  <conditionalFormatting sqref="H1589">
    <cfRule type="expression" dxfId="6272" priority="8407">
      <formula>#REF! = "produs"</formula>
    </cfRule>
    <cfRule type="expression" dxfId="6271" priority="8408">
      <formula>#REF! = "obiectiv"</formula>
    </cfRule>
  </conditionalFormatting>
  <conditionalFormatting sqref="H1711">
    <cfRule type="expression" dxfId="6270" priority="8405">
      <formula>#REF! = "produs"</formula>
    </cfRule>
    <cfRule type="expression" dxfId="6269" priority="8406">
      <formula>#REF! = "obiectiv"</formula>
    </cfRule>
  </conditionalFormatting>
  <conditionalFormatting sqref="H1731">
    <cfRule type="expression" dxfId="6268" priority="8403">
      <formula>#REF! = "produs"</formula>
    </cfRule>
    <cfRule type="expression" dxfId="6267" priority="8404">
      <formula>#REF! = "obiectiv"</formula>
    </cfRule>
  </conditionalFormatting>
  <conditionalFormatting sqref="H1741">
    <cfRule type="expression" dxfId="6266" priority="8401">
      <formula>#REF! = "produs"</formula>
    </cfRule>
    <cfRule type="expression" dxfId="6265" priority="8402">
      <formula>#REF! = "obiectiv"</formula>
    </cfRule>
  </conditionalFormatting>
  <conditionalFormatting sqref="G1691">
    <cfRule type="expression" dxfId="6264" priority="8391">
      <formula>$E1691 = "produs"</formula>
    </cfRule>
    <cfRule type="expression" dxfId="6263" priority="8392">
      <formula>$E1691 = "obiectiv"</formula>
    </cfRule>
  </conditionalFormatting>
  <conditionalFormatting sqref="G1701">
    <cfRule type="expression" dxfId="6262" priority="8389">
      <formula>$E1701 = "produs"</formula>
    </cfRule>
    <cfRule type="expression" dxfId="6261" priority="8390">
      <formula>$E1701 = "obiectiv"</formula>
    </cfRule>
  </conditionalFormatting>
  <conditionalFormatting sqref="H1691">
    <cfRule type="expression" dxfId="6260" priority="8385">
      <formula>#REF! = "produs"</formula>
    </cfRule>
    <cfRule type="expression" dxfId="6259" priority="8386">
      <formula>#REF! = "obiectiv"</formula>
    </cfRule>
  </conditionalFormatting>
  <conditionalFormatting sqref="H1701">
    <cfRule type="expression" dxfId="6258" priority="8383">
      <formula>#REF! = "produs"</formula>
    </cfRule>
    <cfRule type="expression" dxfId="6257" priority="8384">
      <formula>#REF! = "obiectiv"</formula>
    </cfRule>
  </conditionalFormatting>
  <conditionalFormatting sqref="G2154">
    <cfRule type="expression" dxfId="6256" priority="8375">
      <formula>#REF! = "produs"</formula>
    </cfRule>
  </conditionalFormatting>
  <conditionalFormatting sqref="G2154">
    <cfRule type="expression" dxfId="6255" priority="8376">
      <formula>#REF! = "obiectiv"</formula>
    </cfRule>
  </conditionalFormatting>
  <conditionalFormatting sqref="G2165">
    <cfRule type="expression" dxfId="6254" priority="8373">
      <formula>#REF! = "produs"</formula>
    </cfRule>
  </conditionalFormatting>
  <conditionalFormatting sqref="G2165">
    <cfRule type="expression" dxfId="6253" priority="8374">
      <formula>#REF! = "obiectiv"</formula>
    </cfRule>
  </conditionalFormatting>
  <conditionalFormatting sqref="G2175">
    <cfRule type="expression" dxfId="6252" priority="8371">
      <formula>#REF! = "produs"</formula>
    </cfRule>
  </conditionalFormatting>
  <conditionalFormatting sqref="G2175">
    <cfRule type="expression" dxfId="6251" priority="8372">
      <formula>#REF! = "obiectiv"</formula>
    </cfRule>
  </conditionalFormatting>
  <conditionalFormatting sqref="G2205">
    <cfRule type="expression" dxfId="6250" priority="8363">
      <formula>#REF! = "produs"</formula>
    </cfRule>
  </conditionalFormatting>
  <conditionalFormatting sqref="G2205">
    <cfRule type="expression" dxfId="6249" priority="8364">
      <formula>#REF! = "obiectiv"</formula>
    </cfRule>
  </conditionalFormatting>
  <conditionalFormatting sqref="J1623">
    <cfRule type="expression" dxfId="6248" priority="8049">
      <formula>#REF! = "produs"</formula>
    </cfRule>
    <cfRule type="expression" dxfId="6247" priority="8050">
      <formula>#REF! = "obiectiv"</formula>
    </cfRule>
  </conditionalFormatting>
  <conditionalFormatting sqref="H1640">
    <cfRule type="expression" dxfId="6246" priority="7989">
      <formula>#REF! = "produs"</formula>
    </cfRule>
    <cfRule type="expression" dxfId="6245" priority="7990">
      <formula>#REF! = "obiectiv"</formula>
    </cfRule>
  </conditionalFormatting>
  <conditionalFormatting sqref="G1600">
    <cfRule type="expression" dxfId="6244" priority="7987">
      <formula>#REF! = "produs"</formula>
    </cfRule>
    <cfRule type="expression" dxfId="6243" priority="7988">
      <formula>#REF! = "obiectiv"</formula>
    </cfRule>
  </conditionalFormatting>
  <conditionalFormatting sqref="W1752:IU1753 W1755:IU1760">
    <cfRule type="expression" dxfId="6242" priority="7937">
      <formula>#REF! = "produs"</formula>
    </cfRule>
    <cfRule type="expression" dxfId="6241" priority="7938">
      <formula>#REF! = "obiectiv"</formula>
    </cfRule>
  </conditionalFormatting>
  <conditionalFormatting sqref="K1752:K1753 K1755:K1760">
    <cfRule type="expression" dxfId="6240" priority="7935">
      <formula>#REF! = "produs"</formula>
    </cfRule>
    <cfRule type="expression" dxfId="6239" priority="7936">
      <formula>#REF! = "obiectiv"</formula>
    </cfRule>
  </conditionalFormatting>
  <conditionalFormatting sqref="H2112">
    <cfRule type="expression" dxfId="6238" priority="8317">
      <formula>#REF! = "produs"</formula>
    </cfRule>
    <cfRule type="expression" dxfId="6237" priority="8318">
      <formula>#REF! = "obiectiv"</formula>
    </cfRule>
  </conditionalFormatting>
  <conditionalFormatting sqref="H1620">
    <cfRule type="expression" dxfId="6236" priority="7993">
      <formula>#REF! = "produs"</formula>
    </cfRule>
    <cfRule type="expression" dxfId="6235" priority="7994">
      <formula>#REF! = "obiectiv"</formula>
    </cfRule>
  </conditionalFormatting>
  <conditionalFormatting sqref="Q1642:U1648">
    <cfRule type="expression" dxfId="6234" priority="7999">
      <formula>#REF! = "produs"</formula>
    </cfRule>
    <cfRule type="expression" dxfId="6233" priority="8000">
      <formula>#REF! = "obiectiv"</formula>
    </cfRule>
  </conditionalFormatting>
  <conditionalFormatting sqref="H1600">
    <cfRule type="expression" dxfId="6232" priority="7995">
      <formula>#REF! = "produs"</formula>
    </cfRule>
    <cfRule type="expression" dxfId="6231" priority="7996">
      <formula>#REF! = "obiectiv"</formula>
    </cfRule>
  </conditionalFormatting>
  <conditionalFormatting sqref="L1627:P1627">
    <cfRule type="expression" dxfId="6230" priority="8057">
      <formula>#REF! = "produs"</formula>
    </cfRule>
    <cfRule type="expression" dxfId="6229" priority="8058">
      <formula>#REF! = "obiectiv"</formula>
    </cfRule>
  </conditionalFormatting>
  <conditionalFormatting sqref="L1626:P1626">
    <cfRule type="expression" dxfId="6228" priority="8055">
      <formula>#REF! = "produs"</formula>
    </cfRule>
    <cfRule type="expression" dxfId="6227" priority="8056">
      <formula>#REF! = "obiectiv"</formula>
    </cfRule>
  </conditionalFormatting>
  <conditionalFormatting sqref="J1625">
    <cfRule type="expression" dxfId="6226" priority="8053">
      <formula>#REF! = "produs"</formula>
    </cfRule>
    <cfRule type="expression" dxfId="6225" priority="8054">
      <formula>#REF! = "obiectiv"</formula>
    </cfRule>
  </conditionalFormatting>
  <conditionalFormatting sqref="K1623:P1623 W1623:IU1623">
    <cfRule type="expression" dxfId="6224" priority="8051">
      <formula>#REF! = "produs"</formula>
    </cfRule>
    <cfRule type="expression" dxfId="6223" priority="8052">
      <formula>#REF! = "obiectiv"</formula>
    </cfRule>
  </conditionalFormatting>
  <conditionalFormatting sqref="W1631:IU1632 W1634:IU1639">
    <cfRule type="expression" dxfId="6222" priority="8047">
      <formula>#REF! = "produs"</formula>
    </cfRule>
    <cfRule type="expression" dxfId="6221" priority="8048">
      <formula>#REF! = "obiectiv"</formula>
    </cfRule>
  </conditionalFormatting>
  <conditionalFormatting sqref="J1752 J1759:J1760 J1757 J1755">
    <cfRule type="expression" dxfId="6220" priority="7933">
      <formula>#REF! = "produs"</formula>
    </cfRule>
    <cfRule type="expression" dxfId="6219" priority="7934">
      <formula>#REF! = "obiectiv"</formula>
    </cfRule>
  </conditionalFormatting>
  <conditionalFormatting sqref="G1259">
    <cfRule type="expression" dxfId="6218" priority="8157">
      <formula>#REF! = "produs"</formula>
    </cfRule>
    <cfRule type="expression" dxfId="6217" priority="8158">
      <formula>#REF! = "obiectiv"</formula>
    </cfRule>
  </conditionalFormatting>
  <conditionalFormatting sqref="G1168">
    <cfRule type="expression" dxfId="6216" priority="8149">
      <formula>#REF! = "produs"</formula>
    </cfRule>
    <cfRule type="expression" dxfId="6215" priority="8150">
      <formula>#REF! = "obiectiv"</formula>
    </cfRule>
  </conditionalFormatting>
  <conditionalFormatting sqref="G1310">
    <cfRule type="expression" dxfId="6214" priority="8141">
      <formula>#REF! = "produs"</formula>
    </cfRule>
    <cfRule type="expression" dxfId="6213" priority="8142">
      <formula>#REF! = "obiectiv"</formula>
    </cfRule>
  </conditionalFormatting>
  <conditionalFormatting sqref="W312:IU312">
    <cfRule type="expression" dxfId="6212" priority="8207">
      <formula>#REF! = "produs"</formula>
    </cfRule>
    <cfRule type="expression" dxfId="6211" priority="8208">
      <formula>#REF! = "obiectiv"</formula>
    </cfRule>
  </conditionalFormatting>
  <conditionalFormatting sqref="F323">
    <cfRule type="expression" dxfId="6210" priority="8203">
      <formula>$E323 = "produs"</formula>
    </cfRule>
    <cfRule type="expression" dxfId="6209" priority="8204">
      <formula>$E323 = "obiectiv"</formula>
    </cfRule>
  </conditionalFormatting>
  <conditionalFormatting sqref="F312">
    <cfRule type="expression" dxfId="6208" priority="8201">
      <formula>$E312 = "produs"</formula>
    </cfRule>
    <cfRule type="expression" dxfId="6207" priority="8202">
      <formula>$E312 = "obiectiv"</formula>
    </cfRule>
  </conditionalFormatting>
  <conditionalFormatting sqref="H66">
    <cfRule type="expression" dxfId="6206" priority="8191">
      <formula>#REF! = "produs"</formula>
    </cfRule>
    <cfRule type="expression" dxfId="6205" priority="8192">
      <formula>#REF! = "obiectiv"</formula>
    </cfRule>
  </conditionalFormatting>
  <conditionalFormatting sqref="L1649:U1649 L1648:P1648 L1644:P1645 L1641:U1641 L1642:P1642">
    <cfRule type="expression" dxfId="6204" priority="8021">
      <formula>#REF! = "produs"</formula>
    </cfRule>
    <cfRule type="expression" dxfId="6203" priority="8022">
      <formula>#REF! = "obiectiv"</formula>
    </cfRule>
  </conditionalFormatting>
  <conditionalFormatting sqref="F86">
    <cfRule type="expression" dxfId="6202" priority="8189">
      <formula>#REF! = "produs"</formula>
    </cfRule>
    <cfRule type="expression" dxfId="6201" priority="8190">
      <formula>#REF! = "obiectiv"</formula>
    </cfRule>
  </conditionalFormatting>
  <conditionalFormatting sqref="J2228 J2235:J2236 J2233 J2231">
    <cfRule type="expression" dxfId="6200" priority="7755">
      <formula>#REF! = "produs"</formula>
    </cfRule>
    <cfRule type="expression" dxfId="6199" priority="7756">
      <formula>#REF! = "obiectiv"</formula>
    </cfRule>
  </conditionalFormatting>
  <conditionalFormatting sqref="L857:P857">
    <cfRule type="expression" dxfId="6198" priority="8175">
      <formula>#REF! = "produs"</formula>
    </cfRule>
    <cfRule type="expression" dxfId="6197" priority="8176">
      <formula>#REF! = "obiectiv"</formula>
    </cfRule>
  </conditionalFormatting>
  <conditionalFormatting sqref="J1631 J1638:J1639 J1636 J1634">
    <cfRule type="expression" dxfId="6196" priority="8043">
      <formula>#REF! = "produs"</formula>
    </cfRule>
    <cfRule type="expression" dxfId="6195" priority="8044">
      <formula>#REF! = "obiectiv"</formula>
    </cfRule>
  </conditionalFormatting>
  <conditionalFormatting sqref="G1412">
    <cfRule type="expression" dxfId="6194" priority="8139">
      <formula>#REF! = "produs"</formula>
    </cfRule>
    <cfRule type="expression" dxfId="6193" priority="8140">
      <formula>#REF! = "obiectiv"</formula>
    </cfRule>
  </conditionalFormatting>
  <conditionalFormatting sqref="J1637">
    <cfRule type="expression" dxfId="6192" priority="8039">
      <formula>#REF! = "produs"</formula>
    </cfRule>
    <cfRule type="expression" dxfId="6191" priority="8040">
      <formula>#REF! = "obiectiv"</formula>
    </cfRule>
  </conditionalFormatting>
  <conditionalFormatting sqref="G1381">
    <cfRule type="expression" dxfId="6190" priority="8135">
      <formula>#REF! = "produs"</formula>
    </cfRule>
    <cfRule type="expression" dxfId="6189" priority="8136">
      <formula>#REF! = "obiectiv"</formula>
    </cfRule>
  </conditionalFormatting>
  <conditionalFormatting sqref="G1229">
    <cfRule type="expression" dxfId="6188" priority="8161">
      <formula>#REF! = "produs"</formula>
    </cfRule>
    <cfRule type="expression" dxfId="6187" priority="8162">
      <formula>#REF! = "obiectiv"</formula>
    </cfRule>
  </conditionalFormatting>
  <conditionalFormatting sqref="G1249">
    <cfRule type="expression" dxfId="6186" priority="8159">
      <formula>#REF! = "produs"</formula>
    </cfRule>
    <cfRule type="expression" dxfId="6185" priority="8160">
      <formula>#REF! = "obiectiv"</formula>
    </cfRule>
  </conditionalFormatting>
  <conditionalFormatting sqref="H1229">
    <cfRule type="expression" dxfId="6184" priority="8153">
      <formula>#REF! = "produs"</formula>
    </cfRule>
    <cfRule type="expression" dxfId="6183" priority="8154">
      <formula>#REF! = "obiectiv"</formula>
    </cfRule>
  </conditionalFormatting>
  <conditionalFormatting sqref="G1208">
    <cfRule type="expression" dxfId="6182" priority="8095">
      <formula>#REF! = "produs"</formula>
    </cfRule>
    <cfRule type="expression" dxfId="6181" priority="8096">
      <formula>#REF! = "obiectiv"</formula>
    </cfRule>
  </conditionalFormatting>
  <conditionalFormatting sqref="G1341">
    <cfRule type="expression" dxfId="6180" priority="8143">
      <formula>#REF! = "produs"</formula>
    </cfRule>
    <cfRule type="expression" dxfId="6179" priority="8144">
      <formula>#REF! = "obiectiv"</formula>
    </cfRule>
  </conditionalFormatting>
  <conditionalFormatting sqref="G1198">
    <cfRule type="expression" dxfId="6178" priority="8097">
      <formula>#REF! = "produs"</formula>
    </cfRule>
    <cfRule type="expression" dxfId="6177" priority="8098">
      <formula>#REF! = "obiectiv"</formula>
    </cfRule>
  </conditionalFormatting>
  <conditionalFormatting sqref="G1361">
    <cfRule type="expression" dxfId="6176" priority="8137">
      <formula>#REF! = "produs"</formula>
    </cfRule>
    <cfRule type="expression" dxfId="6175" priority="8138">
      <formula>#REF! = "obiectiv"</formula>
    </cfRule>
  </conditionalFormatting>
  <conditionalFormatting sqref="G2029">
    <cfRule type="expression" dxfId="6174" priority="8133">
      <formula>#REF! = "produs"</formula>
    </cfRule>
    <cfRule type="expression" dxfId="6173" priority="8134">
      <formula>#REF! = "obiectiv"</formula>
    </cfRule>
  </conditionalFormatting>
  <conditionalFormatting sqref="G2050">
    <cfRule type="expression" dxfId="6172" priority="8131">
      <formula>#REF! = "produs"</formula>
    </cfRule>
    <cfRule type="expression" dxfId="6171" priority="8132">
      <formula>#REF! = "obiectiv"</formula>
    </cfRule>
  </conditionalFormatting>
  <conditionalFormatting sqref="K1631:K1632 K1634:K1639">
    <cfRule type="expression" dxfId="6170" priority="8045">
      <formula>#REF! = "produs"</formula>
    </cfRule>
    <cfRule type="expression" dxfId="6169" priority="8046">
      <formula>#REF! = "obiectiv"</formula>
    </cfRule>
  </conditionalFormatting>
  <conditionalFormatting sqref="K1641:K1642 K1644:K1649">
    <cfRule type="expression" dxfId="6168" priority="8025">
      <formula>#REF! = "produs"</formula>
    </cfRule>
    <cfRule type="expression" dxfId="6167" priority="8026">
      <formula>#REF! = "obiectiv"</formula>
    </cfRule>
  </conditionalFormatting>
  <conditionalFormatting sqref="J1633">
    <cfRule type="expression" dxfId="6166" priority="8029">
      <formula>#REF! = "produs"</formula>
    </cfRule>
    <cfRule type="expression" dxfId="6165" priority="8030">
      <formula>#REF! = "obiectiv"</formula>
    </cfRule>
  </conditionalFormatting>
  <conditionalFormatting sqref="J2230">
    <cfRule type="expression" dxfId="6164" priority="7741">
      <formula>#REF! = "produs"</formula>
    </cfRule>
    <cfRule type="expression" dxfId="6163" priority="7742">
      <formula>#REF! = "obiectiv"</formula>
    </cfRule>
  </conditionalFormatting>
  <conditionalFormatting sqref="J2232">
    <cfRule type="expression" dxfId="6162" priority="7745">
      <formula>#REF! = "produs"</formula>
    </cfRule>
    <cfRule type="expression" dxfId="6161" priority="7746">
      <formula>#REF! = "obiectiv"</formula>
    </cfRule>
  </conditionalFormatting>
  <conditionalFormatting sqref="L2234:P2234">
    <cfRule type="expression" dxfId="6160" priority="7749">
      <formula>#REF! = "produs"</formula>
    </cfRule>
    <cfRule type="expression" dxfId="6159" priority="7750">
      <formula>#REF! = "obiectiv"</formula>
    </cfRule>
  </conditionalFormatting>
  <conditionalFormatting sqref="L2233:P2233">
    <cfRule type="expression" dxfId="6158" priority="7747">
      <formula>#REF! = "produs"</formula>
    </cfRule>
    <cfRule type="expression" dxfId="6157" priority="7748">
      <formula>#REF! = "obiectiv"</formula>
    </cfRule>
  </conditionalFormatting>
  <conditionalFormatting sqref="K2230:P2230 W2230:IU2230">
    <cfRule type="expression" dxfId="6156" priority="7743">
      <formula>#REF! = "produs"</formula>
    </cfRule>
    <cfRule type="expression" dxfId="6155" priority="7744">
      <formula>#REF! = "obiectiv"</formula>
    </cfRule>
  </conditionalFormatting>
  <conditionalFormatting sqref="J1635">
    <cfRule type="expression" dxfId="6154" priority="8033">
      <formula>#REF! = "produs"</formula>
    </cfRule>
    <cfRule type="expression" dxfId="6153" priority="8034">
      <formula>#REF! = "obiectiv"</formula>
    </cfRule>
  </conditionalFormatting>
  <conditionalFormatting sqref="K1633:P1633 W1633:IU1633">
    <cfRule type="expression" dxfId="6152" priority="8031">
      <formula>#REF! = "produs"</formula>
    </cfRule>
    <cfRule type="expression" dxfId="6151" priority="8032">
      <formula>#REF! = "obiectiv"</formula>
    </cfRule>
  </conditionalFormatting>
  <conditionalFormatting sqref="W1641:IU1642 W1644:IU1649">
    <cfRule type="expression" dxfId="6150" priority="8027">
      <formula>#REF! = "produs"</formula>
    </cfRule>
    <cfRule type="expression" dxfId="6149" priority="8028">
      <formula>#REF! = "obiectiv"</formula>
    </cfRule>
  </conditionalFormatting>
  <conditionalFormatting sqref="J1641 J1648:J1649 J1646 J1644">
    <cfRule type="expression" dxfId="6148" priority="8023">
      <formula>#REF! = "produs"</formula>
    </cfRule>
    <cfRule type="expression" dxfId="6147" priority="8024">
      <formula>#REF! = "obiectiv"</formula>
    </cfRule>
  </conditionalFormatting>
  <conditionalFormatting sqref="J1647">
    <cfRule type="expression" dxfId="6146" priority="8019">
      <formula>#REF! = "produs"</formula>
    </cfRule>
    <cfRule type="expression" dxfId="6145" priority="8020">
      <formula>#REF! = "obiectiv"</formula>
    </cfRule>
  </conditionalFormatting>
  <conditionalFormatting sqref="L1647:P1647">
    <cfRule type="expression" dxfId="6144" priority="8017">
      <formula>#REF! = "produs"</formula>
    </cfRule>
    <cfRule type="expression" dxfId="6143" priority="8018">
      <formula>#REF! = "obiectiv"</formula>
    </cfRule>
  </conditionalFormatting>
  <conditionalFormatting sqref="L1646:P1646">
    <cfRule type="expression" dxfId="6142" priority="8015">
      <formula>#REF! = "produs"</formula>
    </cfRule>
    <cfRule type="expression" dxfId="6141" priority="8016">
      <formula>#REF! = "obiectiv"</formula>
    </cfRule>
  </conditionalFormatting>
  <conditionalFormatting sqref="J1621 J1628:J1629 J1626 J1624">
    <cfRule type="expression" dxfId="6140" priority="8063">
      <formula>#REF! = "produs"</formula>
    </cfRule>
    <cfRule type="expression" dxfId="6139" priority="8064">
      <formula>#REF! = "obiectiv"</formula>
    </cfRule>
  </conditionalFormatting>
  <conditionalFormatting sqref="G912">
    <cfRule type="expression" dxfId="6138" priority="8093">
      <formula>#REF! = "produs"</formula>
    </cfRule>
    <cfRule type="expression" dxfId="6137" priority="8094">
      <formula>#REF! = "obiectiv"</formula>
    </cfRule>
  </conditionalFormatting>
  <conditionalFormatting sqref="V1600:V1669">
    <cfRule type="expression" dxfId="6136" priority="8089">
      <formula>#REF! = "produs"</formula>
    </cfRule>
    <cfRule type="expression" dxfId="6135" priority="8090">
      <formula>#REF! = "obiectiv"</formula>
    </cfRule>
  </conditionalFormatting>
  <conditionalFormatting sqref="W1833:IU1834 W1836:IU1843 W1955:IU1955 W1986:IU1986">
    <cfRule type="expression" dxfId="6134" priority="7957">
      <formula>#REF! = "produs"</formula>
    </cfRule>
    <cfRule type="expression" dxfId="6133" priority="7958">
      <formula>#REF! = "obiectiv"</formula>
    </cfRule>
  </conditionalFormatting>
  <conditionalFormatting sqref="J1829">
    <cfRule type="expression" dxfId="6132" priority="7969">
      <formula>#REF! = "produs"</formula>
    </cfRule>
    <cfRule type="expression" dxfId="6131" priority="7970">
      <formula>#REF! = "obiectiv"</formula>
    </cfRule>
  </conditionalFormatting>
  <conditionalFormatting sqref="J1643">
    <cfRule type="expression" dxfId="6130" priority="8009">
      <formula>#REF! = "produs"</formula>
    </cfRule>
    <cfRule type="expression" dxfId="6129" priority="8010">
      <formula>#REF! = "obiectiv"</formula>
    </cfRule>
  </conditionalFormatting>
  <conditionalFormatting sqref="J1645">
    <cfRule type="expression" dxfId="6128" priority="8013">
      <formula>#REF! = "produs"</formula>
    </cfRule>
    <cfRule type="expression" dxfId="6127" priority="8014">
      <formula>#REF! = "obiectiv"</formula>
    </cfRule>
  </conditionalFormatting>
  <conditionalFormatting sqref="J1607">
    <cfRule type="expression" dxfId="6126" priority="8079">
      <formula>#REF! = "produs"</formula>
    </cfRule>
    <cfRule type="expression" dxfId="6125" priority="8080">
      <formula>#REF! = "obiectiv"</formula>
    </cfRule>
  </conditionalFormatting>
  <conditionalFormatting sqref="J1627">
    <cfRule type="expression" dxfId="6124" priority="8059">
      <formula>#REF! = "produs"</formula>
    </cfRule>
    <cfRule type="expression" dxfId="6123" priority="8060">
      <formula>#REF! = "obiectiv"</formula>
    </cfRule>
  </conditionalFormatting>
  <conditionalFormatting sqref="J1601 J1608:J1609 J1606 J1604">
    <cfRule type="expression" dxfId="6122" priority="8083">
      <formula>#REF! = "produs"</formula>
    </cfRule>
    <cfRule type="expression" dxfId="6121" priority="8084">
      <formula>#REF! = "obiectiv"</formula>
    </cfRule>
  </conditionalFormatting>
  <conditionalFormatting sqref="W2228:IU2229 W2231:IU2236">
    <cfRule type="expression" dxfId="6120" priority="7759">
      <formula>#REF! = "produs"</formula>
    </cfRule>
    <cfRule type="expression" dxfId="6119" priority="7760">
      <formula>#REF! = "obiectiv"</formula>
    </cfRule>
  </conditionalFormatting>
  <conditionalFormatting sqref="G1630">
    <cfRule type="expression" dxfId="6118" priority="7983">
      <formula>#REF! = "produs"</formula>
    </cfRule>
    <cfRule type="expression" dxfId="6117" priority="7984">
      <formula>#REF! = "obiectiv"</formula>
    </cfRule>
  </conditionalFormatting>
  <conditionalFormatting sqref="W1601:IU1602 W1604:IU1609">
    <cfRule type="expression" dxfId="6116" priority="8087">
      <formula>#REF! = "produs"</formula>
    </cfRule>
    <cfRule type="expression" dxfId="6115" priority="8088">
      <formula>#REF! = "obiectiv"</formula>
    </cfRule>
  </conditionalFormatting>
  <conditionalFormatting sqref="K1601:K1602 K1604:K1609">
    <cfRule type="expression" dxfId="6114" priority="8085">
      <formula>#REF! = "produs"</formula>
    </cfRule>
    <cfRule type="expression" dxfId="6113" priority="8086">
      <formula>#REF! = "obiectiv"</formula>
    </cfRule>
  </conditionalFormatting>
  <conditionalFormatting sqref="L1609:U1609 L1608:P1608 L1604:P1605 L1601:U1601 L1602:P1602">
    <cfRule type="expression" dxfId="6112" priority="8081">
      <formula>#REF! = "produs"</formula>
    </cfRule>
    <cfRule type="expression" dxfId="6111" priority="8082">
      <formula>#REF! = "obiectiv"</formula>
    </cfRule>
  </conditionalFormatting>
  <conditionalFormatting sqref="J2060">
    <cfRule type="expression" dxfId="6110" priority="7781">
      <formula>#REF! = "produs"</formula>
    </cfRule>
    <cfRule type="expression" dxfId="6109" priority="7782">
      <formula>#REF! = "obiectiv"</formula>
    </cfRule>
  </conditionalFormatting>
  <conditionalFormatting sqref="W1621:IU1622 W1624:IU1629">
    <cfRule type="expression" dxfId="6108" priority="8067">
      <formula>#REF! = "produs"</formula>
    </cfRule>
    <cfRule type="expression" dxfId="6107" priority="8068">
      <formula>#REF! = "obiectiv"</formula>
    </cfRule>
  </conditionalFormatting>
  <conditionalFormatting sqref="K1621:K1622 K1624:K1629">
    <cfRule type="expression" dxfId="6106" priority="8065">
      <formula>#REF! = "produs"</formula>
    </cfRule>
    <cfRule type="expression" dxfId="6105" priority="8066">
      <formula>#REF! = "obiectiv"</formula>
    </cfRule>
  </conditionalFormatting>
  <conditionalFormatting sqref="L1629:U1629 L1628:P1628 L1624:P1625 L1621:U1621 L1622:P1622">
    <cfRule type="expression" dxfId="6104" priority="8061">
      <formula>#REF! = "produs"</formula>
    </cfRule>
    <cfRule type="expression" dxfId="6103" priority="8062">
      <formula>#REF! = "obiectiv"</formula>
    </cfRule>
  </conditionalFormatting>
  <conditionalFormatting sqref="V2227:V2236">
    <cfRule type="expression" dxfId="6102" priority="7761">
      <formula>#REF! = "produs"</formula>
    </cfRule>
    <cfRule type="expression" dxfId="6101" priority="7762">
      <formula>#REF! = "obiectiv"</formula>
    </cfRule>
  </conditionalFormatting>
  <conditionalFormatting sqref="K2228:K2229 K2231:K2236">
    <cfRule type="expression" dxfId="6100" priority="7757">
      <formula>#REF! = "produs"</formula>
    </cfRule>
    <cfRule type="expression" dxfId="6099" priority="7758">
      <formula>#REF! = "obiectiv"</formula>
    </cfRule>
  </conditionalFormatting>
  <conditionalFormatting sqref="L2236:U2236 L2235:P2235 L2231:P2232 L2228:U2228 L2229:P2229">
    <cfRule type="expression" dxfId="6098" priority="7753">
      <formula>#REF! = "produs"</formula>
    </cfRule>
    <cfRule type="expression" dxfId="6097" priority="7754">
      <formula>#REF! = "obiectiv"</formula>
    </cfRule>
  </conditionalFormatting>
  <conditionalFormatting sqref="H1832">
    <cfRule type="expression" dxfId="6096" priority="7905">
      <formula>#REF! = "produs"</formula>
    </cfRule>
    <cfRule type="expression" dxfId="6095" priority="7906">
      <formula>#REF! = "obiectiv"</formula>
    </cfRule>
  </conditionalFormatting>
  <conditionalFormatting sqref="L1757:P1757">
    <cfRule type="expression" dxfId="6094" priority="7925">
      <formula>#REF! = "produs"</formula>
    </cfRule>
    <cfRule type="expression" dxfId="6093" priority="7926">
      <formula>#REF! = "obiectiv"</formula>
    </cfRule>
  </conditionalFormatting>
  <conditionalFormatting sqref="G1640">
    <cfRule type="expression" dxfId="6092" priority="7981">
      <formula>#REF! = "produs"</formula>
    </cfRule>
    <cfRule type="expression" dxfId="6091" priority="7982">
      <formula>#REF! = "obiectiv"</formula>
    </cfRule>
  </conditionalFormatting>
  <conditionalFormatting sqref="W1823:IU1824 W1826:IU1831">
    <cfRule type="expression" dxfId="6090" priority="7977">
      <formula>#REF! = "produs"</formula>
    </cfRule>
    <cfRule type="expression" dxfId="6089" priority="7978">
      <formula>#REF! = "obiectiv"</formula>
    </cfRule>
  </conditionalFormatting>
  <conditionalFormatting sqref="K1823:K1824 K1826:K1831">
    <cfRule type="expression" dxfId="6088" priority="7975">
      <formula>#REF! = "produs"</formula>
    </cfRule>
    <cfRule type="expression" dxfId="6087" priority="7976">
      <formula>#REF! = "obiectiv"</formula>
    </cfRule>
  </conditionalFormatting>
  <conditionalFormatting sqref="L1831:U1831 L1830:P1830 L1826:P1827 L1823:U1823 L1824:P1824">
    <cfRule type="expression" dxfId="6086" priority="7971">
      <formula>#REF! = "produs"</formula>
    </cfRule>
    <cfRule type="expression" dxfId="6085" priority="7972">
      <formula>#REF! = "obiectiv"</formula>
    </cfRule>
  </conditionalFormatting>
  <conditionalFormatting sqref="L1829:P1829">
    <cfRule type="expression" dxfId="6084" priority="7967">
      <formula>#REF! = "produs"</formula>
    </cfRule>
    <cfRule type="expression" dxfId="6083" priority="7968">
      <formula>#REF! = "obiectiv"</formula>
    </cfRule>
  </conditionalFormatting>
  <conditionalFormatting sqref="K1643:P1643 W1643:IU1643">
    <cfRule type="expression" dxfId="6082" priority="8011">
      <formula>#REF! = "produs"</formula>
    </cfRule>
    <cfRule type="expression" dxfId="6081" priority="8012">
      <formula>#REF! = "obiectiv"</formula>
    </cfRule>
  </conditionalFormatting>
  <conditionalFormatting sqref="J1640 J1630 J1620 J1600">
    <cfRule type="expression" dxfId="6080" priority="8007">
      <formula>#REF! = "produs"</formula>
    </cfRule>
    <cfRule type="expression" dxfId="6079" priority="8008">
      <formula>#REF! = "obiectiv"</formula>
    </cfRule>
  </conditionalFormatting>
  <conditionalFormatting sqref="J2043">
    <cfRule type="expression" dxfId="6078" priority="7873">
      <formula>#REF! = "produs"</formula>
    </cfRule>
    <cfRule type="expression" dxfId="6077" priority="7874">
      <formula>#REF! = "obiectiv"</formula>
    </cfRule>
  </conditionalFormatting>
  <conditionalFormatting sqref="K1833:K1834 K1836:K1843 K1955 K1986">
    <cfRule type="expression" dxfId="6076" priority="7955">
      <formula>#REF! = "produs"</formula>
    </cfRule>
    <cfRule type="expression" dxfId="6075" priority="7956">
      <formula>#REF! = "obiectiv"</formula>
    </cfRule>
  </conditionalFormatting>
  <conditionalFormatting sqref="J1825">
    <cfRule type="expression" dxfId="6074" priority="7959">
      <formula>#REF! = "produs"</formula>
    </cfRule>
    <cfRule type="expression" dxfId="6073" priority="7960">
      <formula>#REF! = "obiectiv"</formula>
    </cfRule>
  </conditionalFormatting>
  <conditionalFormatting sqref="L1760:U1760 L1752:U1752 L1753:P1753 L1755:P1759">
    <cfRule type="expression" dxfId="6072" priority="7931">
      <formula>#REF! = "produs"</formula>
    </cfRule>
    <cfRule type="expression" dxfId="6071" priority="7932">
      <formula>#REF! = "obiectiv"</formula>
    </cfRule>
  </conditionalFormatting>
  <conditionalFormatting sqref="J1833 J1840:J1841 J1838 J1836">
    <cfRule type="expression" dxfId="6070" priority="7953">
      <formula>#REF! = "produs"</formula>
    </cfRule>
    <cfRule type="expression" dxfId="6069" priority="7954">
      <formula>#REF! = "obiectiv"</formula>
    </cfRule>
  </conditionalFormatting>
  <conditionalFormatting sqref="L1836:P1837 L1833:U1833 L1834:P1834 L1841:U1842 L1914:U1914 L1843:V1843 L1955:U1955 L1986:V1986">
    <cfRule type="expression" dxfId="6068" priority="7951">
      <formula>#REF! = "produs"</formula>
    </cfRule>
    <cfRule type="expression" dxfId="6067" priority="7952">
      <formula>#REF! = "obiectiv"</formula>
    </cfRule>
  </conditionalFormatting>
  <conditionalFormatting sqref="L1758:P1758">
    <cfRule type="expression" dxfId="6066" priority="7927">
      <formula>#REF! = "produs"</formula>
    </cfRule>
    <cfRule type="expression" dxfId="6065" priority="7928">
      <formula>#REF! = "obiectiv"</formula>
    </cfRule>
  </conditionalFormatting>
  <conditionalFormatting sqref="K1754:P1754 W1754:IU1754">
    <cfRule type="expression" dxfId="6064" priority="7921">
      <formula>#REF! = "produs"</formula>
    </cfRule>
    <cfRule type="expression" dxfId="6063" priority="7922">
      <formula>#REF! = "obiectiv"</formula>
    </cfRule>
  </conditionalFormatting>
  <conditionalFormatting sqref="H1751">
    <cfRule type="expression" dxfId="6062" priority="7903">
      <formula>#REF! = "produs"</formula>
    </cfRule>
    <cfRule type="expression" dxfId="6061" priority="7904">
      <formula>#REF! = "obiectiv"</formula>
    </cfRule>
  </conditionalFormatting>
  <conditionalFormatting sqref="J1754">
    <cfRule type="expression" dxfId="6060" priority="7919">
      <formula>#REF! = "produs"</formula>
    </cfRule>
    <cfRule type="expression" dxfId="6059" priority="7920">
      <formula>#REF! = "obiectiv"</formula>
    </cfRule>
  </conditionalFormatting>
  <conditionalFormatting sqref="L2047:P2047">
    <cfRule type="expression" dxfId="6058" priority="7881">
      <formula>#REF! = "produs"</formula>
    </cfRule>
    <cfRule type="expression" dxfId="6057" priority="7882">
      <formula>#REF! = "obiectiv"</formula>
    </cfRule>
  </conditionalFormatting>
  <conditionalFormatting sqref="J1751 J1832 J1822">
    <cfRule type="expression" dxfId="6056" priority="7917">
      <formula>#REF! = "produs"</formula>
    </cfRule>
    <cfRule type="expression" dxfId="6055" priority="7918">
      <formula>#REF! = "obiectiv"</formula>
    </cfRule>
  </conditionalFormatting>
  <conditionalFormatting sqref="H1822">
    <cfRule type="expression" dxfId="6054" priority="7907">
      <formula>#REF! = "produs"</formula>
    </cfRule>
    <cfRule type="expression" dxfId="6053" priority="7908">
      <formula>#REF! = "obiectiv"</formula>
    </cfRule>
  </conditionalFormatting>
  <conditionalFormatting sqref="J1758">
    <cfRule type="expression" dxfId="6052" priority="7929">
      <formula>#REF! = "produs"</formula>
    </cfRule>
    <cfRule type="expression" dxfId="6051" priority="7930">
      <formula>#REF! = "obiectiv"</formula>
    </cfRule>
  </conditionalFormatting>
  <conditionalFormatting sqref="J1756">
    <cfRule type="expression" dxfId="6050" priority="7923">
      <formula>#REF! = "produs"</formula>
    </cfRule>
    <cfRule type="expression" dxfId="6049" priority="7924">
      <formula>#REF! = "obiectiv"</formula>
    </cfRule>
  </conditionalFormatting>
  <conditionalFormatting sqref="Q1753:U1759">
    <cfRule type="expression" dxfId="6048" priority="7911">
      <formula>#REF! = "produs"</formula>
    </cfRule>
    <cfRule type="expression" dxfId="6047" priority="7912">
      <formula>#REF! = "obiectiv"</formula>
    </cfRule>
  </conditionalFormatting>
  <conditionalFormatting sqref="G1822">
    <cfRule type="expression" dxfId="6046" priority="7901">
      <formula>#REF! = "produs"</formula>
    </cfRule>
    <cfRule type="expression" dxfId="6045" priority="7902">
      <formula>#REF! = "obiectiv"</formula>
    </cfRule>
  </conditionalFormatting>
  <conditionalFormatting sqref="G1832">
    <cfRule type="expression" dxfId="6044" priority="7899">
      <formula>#REF! = "produs"</formula>
    </cfRule>
    <cfRule type="expression" dxfId="6043" priority="7900">
      <formula>#REF! = "obiectiv"</formula>
    </cfRule>
  </conditionalFormatting>
  <conditionalFormatting sqref="Q2050:U2059">
    <cfRule type="expression" dxfId="6042" priority="7845">
      <formula>#REF! = "produs"</formula>
    </cfRule>
    <cfRule type="expression" dxfId="6041" priority="7846">
      <formula>#REF! = "obiectiv"</formula>
    </cfRule>
  </conditionalFormatting>
  <conditionalFormatting sqref="Q1824:U1830">
    <cfRule type="expression" dxfId="6040" priority="7915">
      <formula>#REF! = "produs"</formula>
    </cfRule>
    <cfRule type="expression" dxfId="6039" priority="7916">
      <formula>#REF! = "obiectiv"</formula>
    </cfRule>
  </conditionalFormatting>
  <conditionalFormatting sqref="L2066:P2066">
    <cfRule type="expression" dxfId="6038" priority="7789">
      <formula>#REF! = "produs"</formula>
    </cfRule>
    <cfRule type="expression" dxfId="6037" priority="7790">
      <formula>#REF! = "obiectiv"</formula>
    </cfRule>
  </conditionalFormatting>
  <conditionalFormatting sqref="Q1751:U1751 Q1832:U1832 Q1822:U1822">
    <cfRule type="expression" dxfId="6036" priority="7909">
      <formula>#REF! = "produs"</formula>
    </cfRule>
    <cfRule type="expression" dxfId="6035" priority="7910">
      <formula>#REF! = "obiectiv"</formula>
    </cfRule>
  </conditionalFormatting>
  <conditionalFormatting sqref="H1320">
    <cfRule type="expression" dxfId="6034" priority="7301">
      <formula>#REF! = "produs"</formula>
    </cfRule>
    <cfRule type="expression" dxfId="6033" priority="7302">
      <formula>#REF! = "obiectiv"</formula>
    </cfRule>
  </conditionalFormatting>
  <conditionalFormatting sqref="G1320">
    <cfRule type="expression" dxfId="6032" priority="7299">
      <formula>#REF! = "produs"</formula>
    </cfRule>
    <cfRule type="expression" dxfId="6031" priority="7300">
      <formula>#REF! = "obiectiv"</formula>
    </cfRule>
  </conditionalFormatting>
  <conditionalFormatting sqref="J2053:J2059">
    <cfRule type="expression" dxfId="6030" priority="7847">
      <formula>#REF! = "produs"</formula>
    </cfRule>
    <cfRule type="expression" dxfId="6029" priority="7848">
      <formula>#REF! = "obiectiv"</formula>
    </cfRule>
  </conditionalFormatting>
  <conditionalFormatting sqref="J2263">
    <cfRule type="expression" dxfId="6028" priority="7543">
      <formula>#REF! = "produs"</formula>
    </cfRule>
    <cfRule type="expression" dxfId="6027" priority="7544">
      <formula>#REF! = "obiectiv"</formula>
    </cfRule>
  </conditionalFormatting>
  <conditionalFormatting sqref="G1751">
    <cfRule type="expression" dxfId="6026" priority="7897">
      <formula>#REF! = "produs"</formula>
    </cfRule>
    <cfRule type="expression" dxfId="6025" priority="7898">
      <formula>#REF! = "obiectiv"</formula>
    </cfRule>
  </conditionalFormatting>
  <conditionalFormatting sqref="J2047">
    <cfRule type="expression" dxfId="6024" priority="7883">
      <formula>#REF! = "produs"</formula>
    </cfRule>
    <cfRule type="expression" dxfId="6023" priority="7884">
      <formula>#REF! = "obiectiv"</formula>
    </cfRule>
  </conditionalFormatting>
  <conditionalFormatting sqref="J2041 J2048:J2049 J2046 J2044">
    <cfRule type="expression" dxfId="6022" priority="7887">
      <formula>#REF! = "produs"</formula>
    </cfRule>
    <cfRule type="expression" dxfId="6021" priority="7888">
      <formula>#REF! = "obiectiv"</formula>
    </cfRule>
  </conditionalFormatting>
  <conditionalFormatting sqref="J2045">
    <cfRule type="expression" dxfId="6020" priority="7877">
      <formula>#REF! = "produs"</formula>
    </cfRule>
    <cfRule type="expression" dxfId="6019" priority="7878">
      <formula>#REF! = "obiectiv"</formula>
    </cfRule>
  </conditionalFormatting>
  <conditionalFormatting sqref="W2041:IU2042 W2044:IU2049">
    <cfRule type="expression" dxfId="6018" priority="7891">
      <formula>#REF! = "produs"</formula>
    </cfRule>
    <cfRule type="expression" dxfId="6017" priority="7892">
      <formula>#REF! = "obiectiv"</formula>
    </cfRule>
  </conditionalFormatting>
  <conditionalFormatting sqref="K2041:K2042 K2044:K2049">
    <cfRule type="expression" dxfId="6016" priority="7889">
      <formula>#REF! = "produs"</formula>
    </cfRule>
    <cfRule type="expression" dxfId="6015" priority="7890">
      <formula>#REF! = "obiectiv"</formula>
    </cfRule>
  </conditionalFormatting>
  <conditionalFormatting sqref="L2049:U2049 L2048:P2048 L2041:U2041 L2042:P2042 L2044:P2045">
    <cfRule type="expression" dxfId="6014" priority="7885">
      <formula>#REF! = "produs"</formula>
    </cfRule>
    <cfRule type="expression" dxfId="6013" priority="7886">
      <formula>#REF! = "obiectiv"</formula>
    </cfRule>
  </conditionalFormatting>
  <conditionalFormatting sqref="L2046:P2046">
    <cfRule type="expression" dxfId="6012" priority="7879">
      <formula>#REF! = "produs"</formula>
    </cfRule>
    <cfRule type="expression" dxfId="6011" priority="7880">
      <formula>#REF! = "obiectiv"</formula>
    </cfRule>
  </conditionalFormatting>
  <conditionalFormatting sqref="K2043:P2043 W2043:IU2043">
    <cfRule type="expression" dxfId="6010" priority="7875">
      <formula>#REF! = "produs"</formula>
    </cfRule>
    <cfRule type="expression" dxfId="6009" priority="7876">
      <formula>#REF! = "obiectiv"</formula>
    </cfRule>
  </conditionalFormatting>
  <conditionalFormatting sqref="Q2062:U2068">
    <cfRule type="expression" dxfId="6008" priority="7779">
      <formula>#REF! = "produs"</formula>
    </cfRule>
    <cfRule type="expression" dxfId="6007" priority="7780">
      <formula>#REF! = "obiectiv"</formula>
    </cfRule>
  </conditionalFormatting>
  <conditionalFormatting sqref="J2040">
    <cfRule type="expression" dxfId="6006" priority="7831">
      <formula>#REF! = "produs"</formula>
    </cfRule>
    <cfRule type="expression" dxfId="6005" priority="7832">
      <formula>#REF! = "obiectiv"</formula>
    </cfRule>
  </conditionalFormatting>
  <conditionalFormatting sqref="Q2042:U2048">
    <cfRule type="expression" dxfId="6004" priority="7829">
      <formula>#REF! = "produs"</formula>
    </cfRule>
    <cfRule type="expression" dxfId="6003" priority="7830">
      <formula>#REF! = "obiectiv"</formula>
    </cfRule>
  </conditionalFormatting>
  <conditionalFormatting sqref="Q2040:U2040">
    <cfRule type="expression" dxfId="6002" priority="7823">
      <formula>#REF! = "produs"</formula>
    </cfRule>
    <cfRule type="expression" dxfId="6001" priority="7824">
      <formula>#REF! = "obiectiv"</formula>
    </cfRule>
  </conditionalFormatting>
  <conditionalFormatting sqref="G2040">
    <cfRule type="expression" dxfId="6000" priority="7821">
      <formula>#REF! = "produs"</formula>
    </cfRule>
  </conditionalFormatting>
  <conditionalFormatting sqref="G2040">
    <cfRule type="expression" dxfId="5999" priority="7822">
      <formula>#REF! = "obiectiv"</formula>
    </cfRule>
  </conditionalFormatting>
  <conditionalFormatting sqref="H2040">
    <cfRule type="expression" dxfId="5998" priority="7815">
      <formula>#REF! = "produs"</formula>
    </cfRule>
    <cfRule type="expression" dxfId="5997" priority="7816">
      <formula>#REF! = "obiectiv"</formula>
    </cfRule>
  </conditionalFormatting>
  <conditionalFormatting sqref="G2009">
    <cfRule type="expression" dxfId="5996" priority="7809">
      <formula>#REF! = "produs"</formula>
    </cfRule>
  </conditionalFormatting>
  <conditionalFormatting sqref="G2009">
    <cfRule type="expression" dxfId="5995" priority="7810">
      <formula>#REF! = "obiectiv"</formula>
    </cfRule>
  </conditionalFormatting>
  <conditionalFormatting sqref="G2019">
    <cfRule type="expression" dxfId="5994" priority="7807">
      <formula>#REF! = "produs"</formula>
    </cfRule>
  </conditionalFormatting>
  <conditionalFormatting sqref="G2019">
    <cfRule type="expression" dxfId="5993" priority="7808">
      <formula>#REF! = "obiectiv"</formula>
    </cfRule>
  </conditionalFormatting>
  <conditionalFormatting sqref="K2060:IU2069">
    <cfRule type="expression" dxfId="5992" priority="7805">
      <formula>#REF! = "produs"</formula>
    </cfRule>
    <cfRule type="expression" dxfId="5991" priority="7806">
      <formula>#REF! = "obiectiv"</formula>
    </cfRule>
  </conditionalFormatting>
  <conditionalFormatting sqref="J2060:J2061 J2063:J2069">
    <cfRule type="expression" dxfId="5990" priority="7803">
      <formula>#REF! = "produs"</formula>
    </cfRule>
    <cfRule type="expression" dxfId="5989" priority="7804">
      <formula>#REF! = "obiectiv"</formula>
    </cfRule>
  </conditionalFormatting>
  <conditionalFormatting sqref="J2061 J2068:J2069 J2066 J2064">
    <cfRule type="expression" dxfId="5988" priority="7797">
      <formula>#REF! = "produs"</formula>
    </cfRule>
    <cfRule type="expression" dxfId="5987" priority="7798">
      <formula>#REF! = "obiectiv"</formula>
    </cfRule>
  </conditionalFormatting>
  <conditionalFormatting sqref="J2065">
    <cfRule type="expression" dxfId="5986" priority="7787">
      <formula>#REF! = "produs"</formula>
    </cfRule>
    <cfRule type="expression" dxfId="5985" priority="7788">
      <formula>#REF! = "obiectiv"</formula>
    </cfRule>
  </conditionalFormatting>
  <conditionalFormatting sqref="J2063">
    <cfRule type="expression" dxfId="5984" priority="7783">
      <formula>#REF! = "produs"</formula>
    </cfRule>
    <cfRule type="expression" dxfId="5983" priority="7784">
      <formula>#REF! = "obiectiv"</formula>
    </cfRule>
  </conditionalFormatting>
  <conditionalFormatting sqref="J2067">
    <cfRule type="expression" dxfId="5982" priority="7793">
      <formula>#REF! = "produs"</formula>
    </cfRule>
    <cfRule type="expression" dxfId="5981" priority="7794">
      <formula>#REF! = "obiectiv"</formula>
    </cfRule>
  </conditionalFormatting>
  <conditionalFormatting sqref="W2061:IU2062 W2064:IU2069">
    <cfRule type="expression" dxfId="5980" priority="7801">
      <formula>#REF! = "produs"</formula>
    </cfRule>
    <cfRule type="expression" dxfId="5979" priority="7802">
      <formula>#REF! = "obiectiv"</formula>
    </cfRule>
  </conditionalFormatting>
  <conditionalFormatting sqref="K2061:K2062 K2064:K2069">
    <cfRule type="expression" dxfId="5978" priority="7799">
      <formula>#REF! = "produs"</formula>
    </cfRule>
    <cfRule type="expression" dxfId="5977" priority="7800">
      <formula>#REF! = "obiectiv"</formula>
    </cfRule>
  </conditionalFormatting>
  <conditionalFormatting sqref="L2069:U2069 L2068:P2068 L2064:P2065 L2062:P2062 L2061:U2061">
    <cfRule type="expression" dxfId="5976" priority="7795">
      <formula>#REF! = "produs"</formula>
    </cfRule>
    <cfRule type="expression" dxfId="5975" priority="7796">
      <formula>#REF! = "obiectiv"</formula>
    </cfRule>
  </conditionalFormatting>
  <conditionalFormatting sqref="L2067:P2067">
    <cfRule type="expression" dxfId="5974" priority="7791">
      <formula>#REF! = "produs"</formula>
    </cfRule>
    <cfRule type="expression" dxfId="5973" priority="7792">
      <formula>#REF! = "obiectiv"</formula>
    </cfRule>
  </conditionalFormatting>
  <conditionalFormatting sqref="K2063:P2063 W2063:IU2063">
    <cfRule type="expression" dxfId="5972" priority="7785">
      <formula>#REF! = "produs"</formula>
    </cfRule>
    <cfRule type="expression" dxfId="5971" priority="7786">
      <formula>#REF! = "obiectiv"</formula>
    </cfRule>
  </conditionalFormatting>
  <conditionalFormatting sqref="K2271:P2271 W2271:IU2271">
    <cfRule type="expression" dxfId="5970" priority="7507">
      <formula>#REF! = "produs"</formula>
    </cfRule>
    <cfRule type="expression" dxfId="5969" priority="7508">
      <formula>#REF! = "obiectiv"</formula>
    </cfRule>
  </conditionalFormatting>
  <conditionalFormatting sqref="Q2060:U2060">
    <cfRule type="expression" dxfId="5968" priority="7777">
      <formula>#REF! = "produs"</formula>
    </cfRule>
    <cfRule type="expression" dxfId="5967" priority="7778">
      <formula>#REF! = "obiectiv"</formula>
    </cfRule>
  </conditionalFormatting>
  <conditionalFormatting sqref="H2060">
    <cfRule type="expression" dxfId="5966" priority="7775">
      <formula>#REF! = "produs"</formula>
    </cfRule>
    <cfRule type="expression" dxfId="5965" priority="7776">
      <formula>#REF! = "obiectiv"</formula>
    </cfRule>
  </conditionalFormatting>
  <conditionalFormatting sqref="G2060">
    <cfRule type="expression" dxfId="5964" priority="7773">
      <formula>#REF! = "produs"</formula>
    </cfRule>
    <cfRule type="expression" dxfId="5963" priority="7774">
      <formula>#REF! = "obiectiv"</formula>
    </cfRule>
  </conditionalFormatting>
  <conditionalFormatting sqref="V2060:V2069">
    <cfRule type="expression" dxfId="5962" priority="7771">
      <formula>#REF! = "produs"</formula>
    </cfRule>
    <cfRule type="expression" dxfId="5961" priority="7772">
      <formula>#REF! = "obiectiv"</formula>
    </cfRule>
  </conditionalFormatting>
  <conditionalFormatting sqref="J2060:J2061 J2063:J2069">
    <cfRule type="expression" dxfId="5960" priority="7765">
      <formula>#REF! = "produs"</formula>
    </cfRule>
    <cfRule type="expression" dxfId="5959" priority="7766">
      <formula>#REF! = "obiectiv"</formula>
    </cfRule>
  </conditionalFormatting>
  <conditionalFormatting sqref="W2060:IU2069">
    <cfRule type="expression" dxfId="5958" priority="7769">
      <formula>#REF! = "produs"</formula>
    </cfRule>
    <cfRule type="expression" dxfId="5957" priority="7770">
      <formula>#REF! = "obiectiv"</formula>
    </cfRule>
  </conditionalFormatting>
  <conditionalFormatting sqref="K2060:K2069">
    <cfRule type="expression" dxfId="5956" priority="7767">
      <formula>#REF! = "produs"</formula>
    </cfRule>
    <cfRule type="expression" dxfId="5955" priority="7768">
      <formula>#REF! = "obiectiv"</formula>
    </cfRule>
  </conditionalFormatting>
  <conditionalFormatting sqref="L2060:U2069">
    <cfRule type="expression" dxfId="5954" priority="7763">
      <formula>#REF! = "produs"</formula>
    </cfRule>
    <cfRule type="expression" dxfId="5953" priority="7764">
      <formula>#REF! = "obiectiv"</formula>
    </cfRule>
  </conditionalFormatting>
  <conditionalFormatting sqref="L1278:U1278 L1277:P1277 L1270:U1270 L1271:P1271 L1273:P1273">
    <cfRule type="expression" dxfId="5952" priority="7121">
      <formula>#REF! = "produs"</formula>
    </cfRule>
    <cfRule type="expression" dxfId="5951" priority="7122">
      <formula>#REF! = "obiectiv"</formula>
    </cfRule>
  </conditionalFormatting>
  <conditionalFormatting sqref="J2282">
    <cfRule type="expression" dxfId="5950" priority="7467">
      <formula>#REF! = "produs"</formula>
    </cfRule>
    <cfRule type="expression" dxfId="5949" priority="7468">
      <formula>#REF! = "obiectiv"</formula>
    </cfRule>
  </conditionalFormatting>
  <conditionalFormatting sqref="W2280:IU2281 W2283:IU2288">
    <cfRule type="expression" dxfId="5948" priority="7485">
      <formula>#REF! = "produs"</formula>
    </cfRule>
    <cfRule type="expression" dxfId="5947" priority="7486">
      <formula>#REF! = "obiectiv"</formula>
    </cfRule>
  </conditionalFormatting>
  <conditionalFormatting sqref="K2280:K2281 K2283:K2288">
    <cfRule type="expression" dxfId="5946" priority="7483">
      <formula>#REF! = "produs"</formula>
    </cfRule>
    <cfRule type="expression" dxfId="5945" priority="7484">
      <formula>#REF! = "obiectiv"</formula>
    </cfRule>
  </conditionalFormatting>
  <conditionalFormatting sqref="J2280 J2287:J2288 J2285 J2283">
    <cfRule type="expression" dxfId="5944" priority="7481">
      <formula>#REF! = "produs"</formula>
    </cfRule>
    <cfRule type="expression" dxfId="5943" priority="7482">
      <formula>#REF! = "obiectiv"</formula>
    </cfRule>
  </conditionalFormatting>
  <conditionalFormatting sqref="L2288:U2288 L2287:P2287 L2283:P2284 L2280:U2280 L2281:P2281">
    <cfRule type="expression" dxfId="5942" priority="7479">
      <formula>#REF! = "produs"</formula>
    </cfRule>
    <cfRule type="expression" dxfId="5941" priority="7480">
      <formula>#REF! = "obiectiv"</formula>
    </cfRule>
  </conditionalFormatting>
  <conditionalFormatting sqref="J2234">
    <cfRule type="expression" dxfId="5940" priority="7751">
      <formula>#REF! = "produs"</formula>
    </cfRule>
    <cfRule type="expression" dxfId="5939" priority="7752">
      <formula>#REF! = "obiectiv"</formula>
    </cfRule>
  </conditionalFormatting>
  <conditionalFormatting sqref="L2286:P2286">
    <cfRule type="expression" dxfId="5938" priority="7475">
      <formula>#REF! = "produs"</formula>
    </cfRule>
    <cfRule type="expression" dxfId="5937" priority="7476">
      <formula>#REF! = "obiectiv"</formula>
    </cfRule>
  </conditionalFormatting>
  <conditionalFormatting sqref="L2285:P2285">
    <cfRule type="expression" dxfId="5936" priority="7473">
      <formula>#REF! = "produs"</formula>
    </cfRule>
    <cfRule type="expression" dxfId="5935" priority="7474">
      <formula>#REF! = "obiectiv"</formula>
    </cfRule>
  </conditionalFormatting>
  <conditionalFormatting sqref="J2284">
    <cfRule type="expression" dxfId="5934" priority="7471">
      <formula>#REF! = "produs"</formula>
    </cfRule>
    <cfRule type="expression" dxfId="5933" priority="7472">
      <formula>#REF! = "obiectiv"</formula>
    </cfRule>
  </conditionalFormatting>
  <conditionalFormatting sqref="K2282:P2282 W2282:IU2282">
    <cfRule type="expression" dxfId="5932" priority="7469">
      <formula>#REF! = "produs"</formula>
    </cfRule>
    <cfRule type="expression" dxfId="5931" priority="7470">
      <formula>#REF! = "obiectiv"</formula>
    </cfRule>
  </conditionalFormatting>
  <conditionalFormatting sqref="J2227">
    <cfRule type="expression" dxfId="5930" priority="7739">
      <formula>#REF! = "produs"</formula>
    </cfRule>
    <cfRule type="expression" dxfId="5929" priority="7740">
      <formula>#REF! = "obiectiv"</formula>
    </cfRule>
  </conditionalFormatting>
  <conditionalFormatting sqref="Q2229:U2235">
    <cfRule type="expression" dxfId="5928" priority="7737">
      <formula>#REF! = "produs"</formula>
    </cfRule>
    <cfRule type="expression" dxfId="5927" priority="7738">
      <formula>#REF! = "obiectiv"</formula>
    </cfRule>
  </conditionalFormatting>
  <conditionalFormatting sqref="L1289:U1293 L1295:U1298 Q1294:U1294">
    <cfRule type="expression" dxfId="5926" priority="6967">
      <formula>#REF! = "produs"</formula>
    </cfRule>
    <cfRule type="expression" dxfId="5925" priority="6968">
      <formula>#REF! = "obiectiv"</formula>
    </cfRule>
  </conditionalFormatting>
  <conditionalFormatting sqref="H2227">
    <cfRule type="expression" dxfId="5924" priority="7733">
      <formula>#REF! = "produs"</formula>
    </cfRule>
    <cfRule type="expression" dxfId="5923" priority="7734">
      <formula>#REF! = "obiectiv"</formula>
    </cfRule>
  </conditionalFormatting>
  <conditionalFormatting sqref="V2216">
    <cfRule type="expression" dxfId="5922" priority="7697">
      <formula>#REF! = "produs"</formula>
    </cfRule>
    <cfRule type="expression" dxfId="5921" priority="7698">
      <formula>#REF! = "obiectiv"</formula>
    </cfRule>
  </conditionalFormatting>
  <conditionalFormatting sqref="K2320:IU2329">
    <cfRule type="expression" dxfId="5920" priority="7567">
      <formula>#REF! = "produs"</formula>
    </cfRule>
    <cfRule type="expression" dxfId="5919" priority="7568">
      <formula>#REF! = "obiectiv"</formula>
    </cfRule>
  </conditionalFormatting>
  <conditionalFormatting sqref="J2320:J2321 J2323:J2329">
    <cfRule type="expression" dxfId="5918" priority="7569">
      <formula>#REF! = "produs"</formula>
    </cfRule>
  </conditionalFormatting>
  <conditionalFormatting sqref="V2278">
    <cfRule type="expression" dxfId="5917" priority="7570">
      <formula>#REF! = "produs"</formula>
    </cfRule>
    <cfRule type="expression" dxfId="5916" priority="7571">
      <formula>#REF! = "obiectiv"</formula>
    </cfRule>
  </conditionalFormatting>
  <conditionalFormatting sqref="V2237:V2257 W2238:IU2257 V2309 V2278 K2310:IU2329 K2238:U2257">
    <cfRule type="expression" dxfId="5915" priority="7690">
      <formula>#REF! = "produs"</formula>
    </cfRule>
    <cfRule type="expression" dxfId="5914" priority="7691">
      <formula>#REF! = "obiectiv"</formula>
    </cfRule>
  </conditionalFormatting>
  <conditionalFormatting sqref="J2238:J2239 J2310:J2311 J2241:J2249 J2251:J2257 J2313:J2321 J2323:J2329">
    <cfRule type="expression" dxfId="5913" priority="7688">
      <formula>#REF! = "produs"</formula>
    </cfRule>
    <cfRule type="expression" dxfId="5912" priority="7689">
      <formula>#REF! = "obiectiv"</formula>
    </cfRule>
  </conditionalFormatting>
  <conditionalFormatting sqref="G2238 G2248">
    <cfRule type="expression" dxfId="5911" priority="7686">
      <formula>#REF! = "produs"</formula>
    </cfRule>
  </conditionalFormatting>
  <conditionalFormatting sqref="G2238 G2248">
    <cfRule type="expression" dxfId="5910" priority="7687">
      <formula>#REF! = "obiectiv"</formula>
    </cfRule>
  </conditionalFormatting>
  <conditionalFormatting sqref="G2278 G2309">
    <cfRule type="expression" dxfId="5909" priority="7692">
      <formula>#REF! = "produs"</formula>
    </cfRule>
    <cfRule type="expression" dxfId="5908" priority="7693">
      <formula>#REF! = "obiectiv"</formula>
    </cfRule>
  </conditionalFormatting>
  <conditionalFormatting sqref="L2317:P2317">
    <cfRule type="expression" dxfId="5907" priority="7674">
      <formula>#REF! = "produs"</formula>
    </cfRule>
    <cfRule type="expression" dxfId="5906" priority="7675">
      <formula>#REF! = "obiectiv"</formula>
    </cfRule>
  </conditionalFormatting>
  <conditionalFormatting sqref="J2317">
    <cfRule type="expression" dxfId="5905" priority="7676">
      <formula>#REF! = "produs"</formula>
    </cfRule>
    <cfRule type="expression" dxfId="5904" priority="7677">
      <formula>#REF! = "obiectiv"</formula>
    </cfRule>
  </conditionalFormatting>
  <conditionalFormatting sqref="J2313">
    <cfRule type="expression" dxfId="5903" priority="7666">
      <formula>#REF! = "produs"</formula>
    </cfRule>
    <cfRule type="expression" dxfId="5902" priority="7667">
      <formula>#REF! = "obiectiv"</formula>
    </cfRule>
  </conditionalFormatting>
  <conditionalFormatting sqref="J2311 J2318:J2321 J2316 J2314 J2323:J2329">
    <cfRule type="expression" dxfId="5901" priority="7680">
      <formula>#REF! = "produs"</formula>
    </cfRule>
    <cfRule type="expression" dxfId="5900" priority="7681">
      <formula>#REF! = "obiectiv"</formula>
    </cfRule>
  </conditionalFormatting>
  <conditionalFormatting sqref="J2315">
    <cfRule type="expression" dxfId="5899" priority="7670">
      <formula>#REF! = "produs"</formula>
    </cfRule>
    <cfRule type="expression" dxfId="5898" priority="7671">
      <formula>#REF! = "obiectiv"</formula>
    </cfRule>
  </conditionalFormatting>
  <conditionalFormatting sqref="W2311:IU2312 W2314:IU2329">
    <cfRule type="expression" dxfId="5897" priority="7684">
      <formula>#REF! = "produs"</formula>
    </cfRule>
    <cfRule type="expression" dxfId="5896" priority="7685">
      <formula>#REF! = "obiectiv"</formula>
    </cfRule>
  </conditionalFormatting>
  <conditionalFormatting sqref="K2311:K2312 K2314:K2329">
    <cfRule type="expression" dxfId="5895" priority="7682">
      <formula>#REF! = "produs"</formula>
    </cfRule>
    <cfRule type="expression" dxfId="5894" priority="7683">
      <formula>#REF! = "obiectiv"</formula>
    </cfRule>
  </conditionalFormatting>
  <conditionalFormatting sqref="L2318:P2318 L2314:P2315 L2311:U2311 L2312:P2312 L2319:U2329">
    <cfRule type="expression" dxfId="5893" priority="7678">
      <formula>#REF! = "produs"</formula>
    </cfRule>
    <cfRule type="expression" dxfId="5892" priority="7679">
      <formula>#REF! = "obiectiv"</formula>
    </cfRule>
  </conditionalFormatting>
  <conditionalFormatting sqref="O2316:P2316">
    <cfRule type="expression" dxfId="5891" priority="7672">
      <formula>#REF! = "produs"</formula>
    </cfRule>
    <cfRule type="expression" dxfId="5890" priority="7673">
      <formula>#REF! = "obiectiv"</formula>
    </cfRule>
  </conditionalFormatting>
  <conditionalFormatting sqref="K2313:P2313 W2313:IU2313">
    <cfRule type="expression" dxfId="5889" priority="7668">
      <formula>#REF! = "produs"</formula>
    </cfRule>
    <cfRule type="expression" dxfId="5888" priority="7669">
      <formula>#REF! = "obiectiv"</formula>
    </cfRule>
  </conditionalFormatting>
  <conditionalFormatting sqref="J2323">
    <cfRule type="expression" dxfId="5887" priority="7646">
      <formula>#REF! = "produs"</formula>
    </cfRule>
    <cfRule type="expression" dxfId="5886" priority="7647">
      <formula>#REF! = "obiectiv"</formula>
    </cfRule>
  </conditionalFormatting>
  <conditionalFormatting sqref="J2327">
    <cfRule type="expression" dxfId="5885" priority="7656">
      <formula>#REF! = "produs"</formula>
    </cfRule>
    <cfRule type="expression" dxfId="5884" priority="7657">
      <formula>#REF! = "obiectiv"</formula>
    </cfRule>
  </conditionalFormatting>
  <conditionalFormatting sqref="L2257:U2257 L2256:P2256 L2252:P2253 L2249:U2249 L2250:P2250">
    <cfRule type="expression" dxfId="5883" priority="7618">
      <formula>#REF! = "produs"</formula>
    </cfRule>
    <cfRule type="expression" dxfId="5882" priority="7619">
      <formula>#REF! = "obiectiv"</formula>
    </cfRule>
  </conditionalFormatting>
  <conditionalFormatting sqref="J2321 J2328:J2329 J2326 J2324">
    <cfRule type="expression" dxfId="5881" priority="7660">
      <formula>#REF! = "produs"</formula>
    </cfRule>
    <cfRule type="expression" dxfId="5880" priority="7661">
      <formula>#REF! = "obiectiv"</formula>
    </cfRule>
  </conditionalFormatting>
  <conditionalFormatting sqref="J2325">
    <cfRule type="expression" dxfId="5879" priority="7650">
      <formula>#REF! = "produs"</formula>
    </cfRule>
    <cfRule type="expression" dxfId="5878" priority="7651">
      <formula>#REF! = "obiectiv"</formula>
    </cfRule>
  </conditionalFormatting>
  <conditionalFormatting sqref="W2321:IU2322 W2324:IU2329">
    <cfRule type="expression" dxfId="5877" priority="7664">
      <formula>#REF! = "produs"</formula>
    </cfRule>
    <cfRule type="expression" dxfId="5876" priority="7665">
      <formula>#REF! = "obiectiv"</formula>
    </cfRule>
  </conditionalFormatting>
  <conditionalFormatting sqref="K2321:K2322 K2324:K2329">
    <cfRule type="expression" dxfId="5875" priority="7662">
      <formula>#REF! = "produs"</formula>
    </cfRule>
    <cfRule type="expression" dxfId="5874" priority="7663">
      <formula>#REF! = "obiectiv"</formula>
    </cfRule>
  </conditionalFormatting>
  <conditionalFormatting sqref="L2329:U2329 L2328:P2328 L2324:P2325 L2321:U2321 L2322:P2322">
    <cfRule type="expression" dxfId="5873" priority="7658">
      <formula>#REF! = "produs"</formula>
    </cfRule>
    <cfRule type="expression" dxfId="5872" priority="7659">
      <formula>#REF! = "obiectiv"</formula>
    </cfRule>
  </conditionalFormatting>
  <conditionalFormatting sqref="L2327:P2327">
    <cfRule type="expression" dxfId="5871" priority="7654">
      <formula>#REF! = "produs"</formula>
    </cfRule>
    <cfRule type="expression" dxfId="5870" priority="7655">
      <formula>#REF! = "obiectiv"</formula>
    </cfRule>
  </conditionalFormatting>
  <conditionalFormatting sqref="L2326:P2326">
    <cfRule type="expression" dxfId="5869" priority="7652">
      <formula>#REF! = "produs"</formula>
    </cfRule>
    <cfRule type="expression" dxfId="5868" priority="7653">
      <formula>#REF! = "obiectiv"</formula>
    </cfRule>
  </conditionalFormatting>
  <conditionalFormatting sqref="K2323:P2323 W2323:IU2323">
    <cfRule type="expression" dxfId="5867" priority="7648">
      <formula>#REF! = "produs"</formula>
    </cfRule>
    <cfRule type="expression" dxfId="5866" priority="7649">
      <formula>#REF! = "obiectiv"</formula>
    </cfRule>
  </conditionalFormatting>
  <conditionalFormatting sqref="L2245:P2245">
    <cfRule type="expression" dxfId="5865" priority="7634">
      <formula>#REF! = "produs"</formula>
    </cfRule>
    <cfRule type="expression" dxfId="5864" priority="7635">
      <formula>#REF! = "obiectiv"</formula>
    </cfRule>
  </conditionalFormatting>
  <conditionalFormatting sqref="J2241">
    <cfRule type="expression" dxfId="5863" priority="7626">
      <formula>#REF! = "produs"</formula>
    </cfRule>
    <cfRule type="expression" dxfId="5862" priority="7627">
      <formula>#REF! = "obiectiv"</formula>
    </cfRule>
  </conditionalFormatting>
  <conditionalFormatting sqref="J2251">
    <cfRule type="expression" dxfId="5861" priority="7606">
      <formula>#REF! = "produs"</formula>
    </cfRule>
    <cfRule type="expression" dxfId="5860" priority="7607">
      <formula>#REF! = "obiectiv"</formula>
    </cfRule>
  </conditionalFormatting>
  <conditionalFormatting sqref="J2243">
    <cfRule type="expression" dxfId="5859" priority="7630">
      <formula>#REF! = "produs"</formula>
    </cfRule>
    <cfRule type="expression" dxfId="5858" priority="7631">
      <formula>#REF! = "obiectiv"</formula>
    </cfRule>
  </conditionalFormatting>
  <conditionalFormatting sqref="J2255">
    <cfRule type="expression" dxfId="5857" priority="7616">
      <formula>#REF! = "produs"</formula>
    </cfRule>
    <cfRule type="expression" dxfId="5856" priority="7617">
      <formula>#REF! = "obiectiv"</formula>
    </cfRule>
  </conditionalFormatting>
  <conditionalFormatting sqref="L2255:P2255">
    <cfRule type="expression" dxfId="5855" priority="7614">
      <formula>#REF! = "produs"</formula>
    </cfRule>
    <cfRule type="expression" dxfId="5854" priority="7615">
      <formula>#REF! = "obiectiv"</formula>
    </cfRule>
  </conditionalFormatting>
  <conditionalFormatting sqref="L2254:P2254 L2255:N2255">
    <cfRule type="expression" dxfId="5853" priority="7612">
      <formula>#REF! = "produs"</formula>
    </cfRule>
    <cfRule type="expression" dxfId="5852" priority="7613">
      <formula>#REF! = "obiectiv"</formula>
    </cfRule>
  </conditionalFormatting>
  <conditionalFormatting sqref="W2239:IU2240 W2242:IU2247">
    <cfRule type="expression" dxfId="5851" priority="7644">
      <formula>#REF! = "produs"</formula>
    </cfRule>
    <cfRule type="expression" dxfId="5850" priority="7645">
      <formula>#REF! = "obiectiv"</formula>
    </cfRule>
  </conditionalFormatting>
  <conditionalFormatting sqref="K2239:K2240 K2242:K2247">
    <cfRule type="expression" dxfId="5849" priority="7642">
      <formula>#REF! = "produs"</formula>
    </cfRule>
    <cfRule type="expression" dxfId="5848" priority="7643">
      <formula>#REF! = "obiectiv"</formula>
    </cfRule>
  </conditionalFormatting>
  <conditionalFormatting sqref="J2239 J2246:J2247 J2244 J2242">
    <cfRule type="expression" dxfId="5847" priority="7640">
      <formula>#REF! = "produs"</formula>
    </cfRule>
    <cfRule type="expression" dxfId="5846" priority="7641">
      <formula>#REF! = "obiectiv"</formula>
    </cfRule>
  </conditionalFormatting>
  <conditionalFormatting sqref="L2247:U2247 L2246:P2246 L2242:P2243 L2239:U2239 L2240:P2240">
    <cfRule type="expression" dxfId="5845" priority="7638">
      <formula>#REF! = "produs"</formula>
    </cfRule>
    <cfRule type="expression" dxfId="5844" priority="7639">
      <formula>#REF! = "obiectiv"</formula>
    </cfRule>
  </conditionalFormatting>
  <conditionalFormatting sqref="J2245">
    <cfRule type="expression" dxfId="5843" priority="7636">
      <formula>#REF! = "produs"</formula>
    </cfRule>
    <cfRule type="expression" dxfId="5842" priority="7637">
      <formula>#REF! = "obiectiv"</formula>
    </cfRule>
  </conditionalFormatting>
  <conditionalFormatting sqref="J2253">
    <cfRule type="expression" dxfId="5841" priority="7610">
      <formula>#REF! = "produs"</formula>
    </cfRule>
    <cfRule type="expression" dxfId="5840" priority="7611">
      <formula>#REF! = "obiectiv"</formula>
    </cfRule>
  </conditionalFormatting>
  <conditionalFormatting sqref="K2251:P2251 W2251:IU2251">
    <cfRule type="expression" dxfId="5839" priority="7608">
      <formula>#REF! = "produs"</formula>
    </cfRule>
    <cfRule type="expression" dxfId="5838" priority="7609">
      <formula>#REF! = "obiectiv"</formula>
    </cfRule>
  </conditionalFormatting>
  <conditionalFormatting sqref="H2310">
    <cfRule type="expression" dxfId="5837" priority="7586">
      <formula>#REF! = "produs"</formula>
    </cfRule>
    <cfRule type="expression" dxfId="5836" priority="7587">
      <formula>#REF! = "obiectiv"</formula>
    </cfRule>
  </conditionalFormatting>
  <conditionalFormatting sqref="J2310">
    <cfRule type="expression" dxfId="5835" priority="7604">
      <formula>#REF! = "produs"</formula>
    </cfRule>
    <cfRule type="expression" dxfId="5834" priority="7605">
      <formula>#REF! = "obiectiv"</formula>
    </cfRule>
  </conditionalFormatting>
  <conditionalFormatting sqref="J2320">
    <cfRule type="expression" dxfId="5833" priority="7602">
      <formula>#REF! = "produs"</formula>
    </cfRule>
    <cfRule type="expression" dxfId="5832" priority="7603">
      <formula>#REF! = "obiectiv"</formula>
    </cfRule>
  </conditionalFormatting>
  <conditionalFormatting sqref="L2244:P2244">
    <cfRule type="expression" dxfId="5831" priority="7632">
      <formula>#REF! = "produs"</formula>
    </cfRule>
    <cfRule type="expression" dxfId="5830" priority="7633">
      <formula>#REF! = "obiectiv"</formula>
    </cfRule>
  </conditionalFormatting>
  <conditionalFormatting sqref="K2241:P2241 W2241:IU2241">
    <cfRule type="expression" dxfId="5829" priority="7628">
      <formula>#REF! = "produs"</formula>
    </cfRule>
    <cfRule type="expression" dxfId="5828" priority="7629">
      <formula>#REF! = "obiectiv"</formula>
    </cfRule>
  </conditionalFormatting>
  <conditionalFormatting sqref="W2249:IU2250 W2252:IU2257">
    <cfRule type="expression" dxfId="5827" priority="7624">
      <formula>#REF! = "produs"</formula>
    </cfRule>
    <cfRule type="expression" dxfId="5826" priority="7625">
      <formula>#REF! = "obiectiv"</formula>
    </cfRule>
  </conditionalFormatting>
  <conditionalFormatting sqref="K2249:K2250 K2252:K2257">
    <cfRule type="expression" dxfId="5825" priority="7622">
      <formula>#REF! = "produs"</formula>
    </cfRule>
    <cfRule type="expression" dxfId="5824" priority="7623">
      <formula>#REF! = "obiectiv"</formula>
    </cfRule>
  </conditionalFormatting>
  <conditionalFormatting sqref="J2249 J2256:J2257 J2254 J2252">
    <cfRule type="expression" dxfId="5823" priority="7620">
      <formula>#REF! = "produs"</formula>
    </cfRule>
    <cfRule type="expression" dxfId="5822" priority="7621">
      <formula>#REF! = "obiectiv"</formula>
    </cfRule>
  </conditionalFormatting>
  <conditionalFormatting sqref="Q2322:U2328">
    <cfRule type="expression" dxfId="5821" priority="7596">
      <formula>#REF! = "produs"</formula>
    </cfRule>
    <cfRule type="expression" dxfId="5820" priority="7597">
      <formula>#REF! = "obiectiv"</formula>
    </cfRule>
  </conditionalFormatting>
  <conditionalFormatting sqref="Q2240:U2246">
    <cfRule type="expression" dxfId="5819" priority="7594">
      <formula>#REF! = "produs"</formula>
    </cfRule>
    <cfRule type="expression" dxfId="5818" priority="7595">
      <formula>#REF! = "obiectiv"</formula>
    </cfRule>
  </conditionalFormatting>
  <conditionalFormatting sqref="Q2250:U2256">
    <cfRule type="expression" dxfId="5817" priority="7592">
      <formula>#REF! = "produs"</formula>
    </cfRule>
    <cfRule type="expression" dxfId="5816" priority="7593">
      <formula>#REF! = "obiectiv"</formula>
    </cfRule>
  </conditionalFormatting>
  <conditionalFormatting sqref="Q2248:U2248 Q2320:U2320 Q2237:U2238 Q2278:U2278 Q2309:U2310">
    <cfRule type="expression" dxfId="5815" priority="7590">
      <formula>#REF! = "produs"</formula>
    </cfRule>
    <cfRule type="expression" dxfId="5814" priority="7591">
      <formula>#REF! = "obiectiv"</formula>
    </cfRule>
  </conditionalFormatting>
  <conditionalFormatting sqref="G2310">
    <cfRule type="expression" dxfId="5813" priority="7588">
      <formula>#REF! = "produs"</formula>
    </cfRule>
    <cfRule type="expression" dxfId="5812" priority="7589">
      <formula>#REF! = "obiectiv"</formula>
    </cfRule>
  </conditionalFormatting>
  <conditionalFormatting sqref="J2248 J2238">
    <cfRule type="expression" dxfId="5811" priority="7600">
      <formula>#REF! = "produs"</formula>
    </cfRule>
    <cfRule type="expression" dxfId="5810" priority="7601">
      <formula>#REF! = "obiectiv"</formula>
    </cfRule>
  </conditionalFormatting>
  <conditionalFormatting sqref="Q2312:U2318">
    <cfRule type="expression" dxfId="5809" priority="7598">
      <formula>#REF! = "produs"</formula>
    </cfRule>
    <cfRule type="expression" dxfId="5808" priority="7599">
      <formula>#REF! = "obiectiv"</formula>
    </cfRule>
  </conditionalFormatting>
  <conditionalFormatting sqref="H2320">
    <cfRule type="expression" dxfId="5807" priority="7582">
      <formula>#REF! = "produs"</formula>
    </cfRule>
    <cfRule type="expression" dxfId="5806" priority="7583">
      <formula>#REF! = "obiectiv"</formula>
    </cfRule>
  </conditionalFormatting>
  <conditionalFormatting sqref="G2237">
    <cfRule type="expression" dxfId="5805" priority="7576">
      <formula>#REF! = "produs"</formula>
    </cfRule>
    <cfRule type="expression" dxfId="5804" priority="7577">
      <formula>#REF! = "obiectiv"</formula>
    </cfRule>
  </conditionalFormatting>
  <conditionalFormatting sqref="H2238">
    <cfRule type="expression" dxfId="5803" priority="7580">
      <formula>#REF! = "produs"</formula>
    </cfRule>
    <cfRule type="expression" dxfId="5802" priority="7581">
      <formula>#REF! = "obiectiv"</formula>
    </cfRule>
  </conditionalFormatting>
  <conditionalFormatting sqref="H2248">
    <cfRule type="expression" dxfId="5801" priority="7578">
      <formula>#REF! = "produs"</formula>
    </cfRule>
    <cfRule type="expression" dxfId="5800" priority="7579">
      <formula>#REF! = "obiectiv"</formula>
    </cfRule>
  </conditionalFormatting>
  <conditionalFormatting sqref="G2320">
    <cfRule type="expression" dxfId="5799" priority="7584">
      <formula>#REF! = "produs"</formula>
    </cfRule>
  </conditionalFormatting>
  <conditionalFormatting sqref="G2320">
    <cfRule type="expression" dxfId="5798" priority="7585">
      <formula>#REF! = "obiectiv"</formula>
    </cfRule>
  </conditionalFormatting>
  <conditionalFormatting sqref="K2258:IU2267">
    <cfRule type="expression" dxfId="5797" priority="7563">
      <formula>#REF! = "produs"</formula>
    </cfRule>
    <cfRule type="expression" dxfId="5796" priority="7564">
      <formula>#REF! = "obiectiv"</formula>
    </cfRule>
  </conditionalFormatting>
  <conditionalFormatting sqref="J2258:J2259 J2261:J2267">
    <cfRule type="expression" dxfId="5795" priority="7561">
      <formula>#REF! = "produs"</formula>
    </cfRule>
    <cfRule type="expression" dxfId="5794" priority="7562">
      <formula>#REF! = "obiectiv"</formula>
    </cfRule>
  </conditionalFormatting>
  <conditionalFormatting sqref="G2279">
    <cfRule type="expression" dxfId="5793" priority="7487">
      <formula>#REF! = "produs"</formula>
    </cfRule>
  </conditionalFormatting>
  <conditionalFormatting sqref="G2279">
    <cfRule type="expression" dxfId="5792" priority="7488">
      <formula>#REF! = "obiectiv"</formula>
    </cfRule>
  </conditionalFormatting>
  <conditionalFormatting sqref="J2261">
    <cfRule type="expression" dxfId="5791" priority="7539">
      <formula>#REF! = "produs"</formula>
    </cfRule>
    <cfRule type="expression" dxfId="5790" priority="7540">
      <formula>#REF! = "obiectiv"</formula>
    </cfRule>
  </conditionalFormatting>
  <conditionalFormatting sqref="J2265">
    <cfRule type="expression" dxfId="5789" priority="7549">
      <formula>#REF! = "produs"</formula>
    </cfRule>
    <cfRule type="expression" dxfId="5788" priority="7550">
      <formula>#REF! = "obiectiv"</formula>
    </cfRule>
  </conditionalFormatting>
  <conditionalFormatting sqref="W2259:IU2260 W2262:IU2267">
    <cfRule type="expression" dxfId="5787" priority="7557">
      <formula>#REF! = "produs"</formula>
    </cfRule>
    <cfRule type="expression" dxfId="5786" priority="7558">
      <formula>#REF! = "obiectiv"</formula>
    </cfRule>
  </conditionalFormatting>
  <conditionalFormatting sqref="K2259:K2260 K2262:K2267">
    <cfRule type="expression" dxfId="5785" priority="7555">
      <formula>#REF! = "produs"</formula>
    </cfRule>
    <cfRule type="expression" dxfId="5784" priority="7556">
      <formula>#REF! = "obiectiv"</formula>
    </cfRule>
  </conditionalFormatting>
  <conditionalFormatting sqref="J2259 J2266:J2267 J2264 J2262">
    <cfRule type="expression" dxfId="5783" priority="7553">
      <formula>#REF! = "produs"</formula>
    </cfRule>
    <cfRule type="expression" dxfId="5782" priority="7554">
      <formula>#REF! = "obiectiv"</formula>
    </cfRule>
  </conditionalFormatting>
  <conditionalFormatting sqref="L2267:U2267 L2266:P2266 L2262:P2263 L2259:U2259 L2260:P2260">
    <cfRule type="expression" dxfId="5781" priority="7551">
      <formula>#REF! = "produs"</formula>
    </cfRule>
    <cfRule type="expression" dxfId="5780" priority="7552">
      <formula>#REF! = "obiectiv"</formula>
    </cfRule>
  </conditionalFormatting>
  <conditionalFormatting sqref="J2286">
    <cfRule type="expression" dxfId="5779" priority="7477">
      <formula>#REF! = "produs"</formula>
    </cfRule>
    <cfRule type="expression" dxfId="5778" priority="7478">
      <formula>#REF! = "obiectiv"</formula>
    </cfRule>
  </conditionalFormatting>
  <conditionalFormatting sqref="L2264:P2264">
    <cfRule type="expression" dxfId="5777" priority="7545">
      <formula>#REF! = "produs"</formula>
    </cfRule>
    <cfRule type="expression" dxfId="5776" priority="7546">
      <formula>#REF! = "obiectiv"</formula>
    </cfRule>
  </conditionalFormatting>
  <conditionalFormatting sqref="Q1322:U1328">
    <cfRule type="expression" dxfId="5775" priority="7305">
      <formula>#REF! = "produs"</formula>
    </cfRule>
    <cfRule type="expression" dxfId="5774" priority="7306">
      <formula>#REF! = "obiectiv"</formula>
    </cfRule>
  </conditionalFormatting>
  <conditionalFormatting sqref="K2261:P2261 W2261:IU2261">
    <cfRule type="expression" dxfId="5773" priority="7541">
      <formula>#REF! = "produs"</formula>
    </cfRule>
    <cfRule type="expression" dxfId="5772" priority="7542">
      <formula>#REF! = "obiectiv"</formula>
    </cfRule>
  </conditionalFormatting>
  <conditionalFormatting sqref="J2258">
    <cfRule type="expression" dxfId="5771" priority="7537">
      <formula>#REF! = "produs"</formula>
    </cfRule>
    <cfRule type="expression" dxfId="5770" priority="7538">
      <formula>#REF! = "obiectiv"</formula>
    </cfRule>
  </conditionalFormatting>
  <conditionalFormatting sqref="J895">
    <cfRule type="expression" dxfId="5769" priority="6601">
      <formula>#REF! = "produs"</formula>
    </cfRule>
    <cfRule type="expression" dxfId="5768" priority="6602">
      <formula>#REF! = "obiectiv"</formula>
    </cfRule>
  </conditionalFormatting>
  <conditionalFormatting sqref="Q2258:U2258">
    <cfRule type="expression" dxfId="5767" priority="7533">
      <formula>#REF! = "produs"</formula>
    </cfRule>
    <cfRule type="expression" dxfId="5766" priority="7534">
      <formula>#REF! = "obiectiv"</formula>
    </cfRule>
  </conditionalFormatting>
  <conditionalFormatting sqref="G2258">
    <cfRule type="expression" dxfId="5765" priority="7559">
      <formula>#REF! = "produs"</formula>
    </cfRule>
  </conditionalFormatting>
  <conditionalFormatting sqref="G2258">
    <cfRule type="expression" dxfId="5764" priority="7560">
      <formula>#REF! = "obiectiv"</formula>
    </cfRule>
  </conditionalFormatting>
  <conditionalFormatting sqref="J1335">
    <cfRule type="expression" dxfId="5763" priority="6941">
      <formula>#REF! = "produs"</formula>
    </cfRule>
    <cfRule type="expression" dxfId="5762" priority="6942">
      <formula>#REF! = "obiectiv"</formula>
    </cfRule>
  </conditionalFormatting>
  <conditionalFormatting sqref="J2269 J2276:J2277 J2274 J2272">
    <cfRule type="expression" dxfId="5761" priority="7519">
      <formula>#REF! = "produs"</formula>
    </cfRule>
    <cfRule type="expression" dxfId="5760" priority="7520">
      <formula>#REF! = "obiectiv"</formula>
    </cfRule>
  </conditionalFormatting>
  <conditionalFormatting sqref="L1275:P1275">
    <cfRule type="expression" dxfId="5759" priority="7115">
      <formula>#REF! = "produs"</formula>
    </cfRule>
    <cfRule type="expression" dxfId="5758" priority="7116">
      <formula>#REF! = "obiectiv"</formula>
    </cfRule>
  </conditionalFormatting>
  <conditionalFormatting sqref="J1274">
    <cfRule type="expression" dxfId="5757" priority="7113">
      <formula>#REF! = "produs"</formula>
    </cfRule>
    <cfRule type="expression" dxfId="5756" priority="7114">
      <formula>#REF! = "obiectiv"</formula>
    </cfRule>
  </conditionalFormatting>
  <conditionalFormatting sqref="W2269:IU2270 W2272:IU2277">
    <cfRule type="expression" dxfId="5755" priority="7523">
      <formula>#REF! = "produs"</formula>
    </cfRule>
    <cfRule type="expression" dxfId="5754" priority="7524">
      <formula>#REF! = "obiectiv"</formula>
    </cfRule>
  </conditionalFormatting>
  <conditionalFormatting sqref="K1331:K1332 K1334:K1339">
    <cfRule type="expression" dxfId="5753" priority="6953">
      <formula>#REF! = "produs"</formula>
    </cfRule>
    <cfRule type="expression" dxfId="5752" priority="6954">
      <formula>#REF! = "obiectiv"</formula>
    </cfRule>
  </conditionalFormatting>
  <conditionalFormatting sqref="L1339:U1339 L1338:P1338 L1331:U1331 L1332:P1332 L1334:P1335">
    <cfRule type="expression" dxfId="5751" priority="6949">
      <formula>#REF! = "produs"</formula>
    </cfRule>
    <cfRule type="expression" dxfId="5750" priority="6950">
      <formula>#REF! = "obiectiv"</formula>
    </cfRule>
  </conditionalFormatting>
  <conditionalFormatting sqref="J1337">
    <cfRule type="expression" dxfId="5749" priority="6947">
      <formula>#REF! = "produs"</formula>
    </cfRule>
    <cfRule type="expression" dxfId="5748" priority="6948">
      <formula>#REF! = "obiectiv"</formula>
    </cfRule>
  </conditionalFormatting>
  <conditionalFormatting sqref="L1337:P1337">
    <cfRule type="expression" dxfId="5747" priority="6945">
      <formula>#REF! = "produs"</formula>
    </cfRule>
    <cfRule type="expression" dxfId="5746" priority="6946">
      <formula>#REF! = "obiectiv"</formula>
    </cfRule>
  </conditionalFormatting>
  <conditionalFormatting sqref="L1336:P1336">
    <cfRule type="expression" dxfId="5745" priority="6943">
      <formula>#REF! = "produs"</formula>
    </cfRule>
    <cfRule type="expression" dxfId="5744" priority="6944">
      <formula>#REF! = "obiectiv"</formula>
    </cfRule>
  </conditionalFormatting>
  <conditionalFormatting sqref="J2271">
    <cfRule type="expression" dxfId="5743" priority="7505">
      <formula>#REF! = "produs"</formula>
    </cfRule>
    <cfRule type="expression" dxfId="5742" priority="7506">
      <formula>#REF! = "obiectiv"</formula>
    </cfRule>
  </conditionalFormatting>
  <conditionalFormatting sqref="J2268">
    <cfRule type="expression" dxfId="5741" priority="7503">
      <formula>#REF! = "produs"</formula>
    </cfRule>
    <cfRule type="expression" dxfId="5740" priority="7504">
      <formula>#REF! = "obiectiv"</formula>
    </cfRule>
  </conditionalFormatting>
  <conditionalFormatting sqref="H2258">
    <cfRule type="expression" dxfId="5739" priority="7531">
      <formula>#REF! = "produs"</formula>
    </cfRule>
    <cfRule type="expression" dxfId="5738" priority="7532">
      <formula>#REF! = "obiectiv"</formula>
    </cfRule>
  </conditionalFormatting>
  <conditionalFormatting sqref="G2299">
    <cfRule type="expression" dxfId="5737" priority="7419">
      <formula>#REF! = "produs"</formula>
    </cfRule>
  </conditionalFormatting>
  <conditionalFormatting sqref="G2299">
    <cfRule type="expression" dxfId="5736" priority="7420">
      <formula>#REF! = "obiectiv"</formula>
    </cfRule>
  </conditionalFormatting>
  <conditionalFormatting sqref="H2268">
    <cfRule type="expression" dxfId="5735" priority="7497">
      <formula>#REF! = "produs"</formula>
    </cfRule>
    <cfRule type="expression" dxfId="5734" priority="7498">
      <formula>#REF! = "obiectiv"</formula>
    </cfRule>
  </conditionalFormatting>
  <conditionalFormatting sqref="K2268:IU2277">
    <cfRule type="expression" dxfId="5733" priority="7529">
      <formula>#REF! = "produs"</formula>
    </cfRule>
    <cfRule type="expression" dxfId="5732" priority="7530">
      <formula>#REF! = "obiectiv"</formula>
    </cfRule>
  </conditionalFormatting>
  <conditionalFormatting sqref="J2268:J2269 J2271:J2277">
    <cfRule type="expression" dxfId="5731" priority="7527">
      <formula>#REF! = "produs"</formula>
    </cfRule>
    <cfRule type="expression" dxfId="5730" priority="7528">
      <formula>#REF! = "obiectiv"</formula>
    </cfRule>
  </conditionalFormatting>
  <conditionalFormatting sqref="G2268">
    <cfRule type="expression" dxfId="5729" priority="7525">
      <formula>#REF! = "produs"</formula>
    </cfRule>
  </conditionalFormatting>
  <conditionalFormatting sqref="G2268">
    <cfRule type="expression" dxfId="5728" priority="7526">
      <formula>#REF! = "obiectiv"</formula>
    </cfRule>
  </conditionalFormatting>
  <conditionalFormatting sqref="Q1271:U1277">
    <cfRule type="expression" dxfId="5727" priority="7105">
      <formula>#REF! = "produs"</formula>
    </cfRule>
    <cfRule type="expression" dxfId="5726" priority="7106">
      <formula>#REF! = "obiectiv"</formula>
    </cfRule>
  </conditionalFormatting>
  <conditionalFormatting sqref="K1219:K1220 K1222:K1227">
    <cfRule type="expression" dxfId="5725" priority="7053">
      <formula>#REF! = "produs"</formula>
    </cfRule>
    <cfRule type="expression" dxfId="5724" priority="7054">
      <formula>#REF! = "obiectiv"</formula>
    </cfRule>
  </conditionalFormatting>
  <conditionalFormatting sqref="J1272">
    <cfRule type="expression" dxfId="5723" priority="7109">
      <formula>#REF! = "produs"</formula>
    </cfRule>
    <cfRule type="expression" dxfId="5722" priority="7110">
      <formula>#REF! = "obiectiv"</formula>
    </cfRule>
  </conditionalFormatting>
  <conditionalFormatting sqref="J1276">
    <cfRule type="expression" dxfId="5721" priority="7119">
      <formula>#REF! = "produs"</formula>
    </cfRule>
    <cfRule type="expression" dxfId="5720" priority="7120">
      <formula>#REF! = "obiectiv"</formula>
    </cfRule>
  </conditionalFormatting>
  <conditionalFormatting sqref="L1276:P1276">
    <cfRule type="expression" dxfId="5719" priority="7117">
      <formula>#REF! = "produs"</formula>
    </cfRule>
    <cfRule type="expression" dxfId="5718" priority="7118">
      <formula>#REF! = "obiectiv"</formula>
    </cfRule>
  </conditionalFormatting>
  <conditionalFormatting sqref="J1269">
    <cfRule type="expression" dxfId="5717" priority="7107">
      <formula>#REF! = "produs"</formula>
    </cfRule>
    <cfRule type="expression" dxfId="5716" priority="7108">
      <formula>#REF! = "obiectiv"</formula>
    </cfRule>
  </conditionalFormatting>
  <conditionalFormatting sqref="Q1269:U1269">
    <cfRule type="expression" dxfId="5715" priority="7103">
      <formula>#REF! = "produs"</formula>
    </cfRule>
    <cfRule type="expression" dxfId="5714" priority="7104">
      <formula>#REF! = "obiectiv"</formula>
    </cfRule>
  </conditionalFormatting>
  <conditionalFormatting sqref="Q2270:U2276">
    <cfRule type="expression" dxfId="5713" priority="7501">
      <formula>#REF! = "produs"</formula>
    </cfRule>
    <cfRule type="expression" dxfId="5712" priority="7502">
      <formula>#REF! = "obiectiv"</formula>
    </cfRule>
  </conditionalFormatting>
  <conditionalFormatting sqref="Q2268:U2268">
    <cfRule type="expression" dxfId="5711" priority="7499">
      <formula>#REF! = "produs"</formula>
    </cfRule>
    <cfRule type="expression" dxfId="5710" priority="7500">
      <formula>#REF! = "obiectiv"</formula>
    </cfRule>
  </conditionalFormatting>
  <conditionalFormatting sqref="Q2281:U2287">
    <cfRule type="expression" dxfId="5709" priority="7463">
      <formula>#REF! = "produs"</formula>
    </cfRule>
    <cfRule type="expression" dxfId="5708" priority="7464">
      <formula>#REF! = "obiectiv"</formula>
    </cfRule>
  </conditionalFormatting>
  <conditionalFormatting sqref="H2279">
    <cfRule type="expression" dxfId="5707" priority="7459">
      <formula>#REF! = "produs"</formula>
    </cfRule>
    <cfRule type="expression" dxfId="5706" priority="7460">
      <formula>#REF! = "obiectiv"</formula>
    </cfRule>
  </conditionalFormatting>
  <conditionalFormatting sqref="K2279:IU2288">
    <cfRule type="expression" dxfId="5705" priority="7491">
      <formula>#REF! = "produs"</formula>
    </cfRule>
    <cfRule type="expression" dxfId="5704" priority="7492">
      <formula>#REF! = "obiectiv"</formula>
    </cfRule>
  </conditionalFormatting>
  <conditionalFormatting sqref="J2279:J2280 J2282:J2288">
    <cfRule type="expression" dxfId="5703" priority="7489">
      <formula>#REF! = "produs"</formula>
    </cfRule>
    <cfRule type="expression" dxfId="5702" priority="7490">
      <formula>#REF! = "obiectiv"</formula>
    </cfRule>
  </conditionalFormatting>
  <conditionalFormatting sqref="G2289">
    <cfRule type="expression" dxfId="5701" priority="7453">
      <formula>#REF! = "produs"</formula>
    </cfRule>
  </conditionalFormatting>
  <conditionalFormatting sqref="G2289">
    <cfRule type="expression" dxfId="5700" priority="7454">
      <formula>#REF! = "obiectiv"</formula>
    </cfRule>
  </conditionalFormatting>
  <conditionalFormatting sqref="H1269">
    <cfRule type="expression" dxfId="5699" priority="7101">
      <formula>#REF! = "produs"</formula>
    </cfRule>
    <cfRule type="expression" dxfId="5698" priority="7102">
      <formula>#REF! = "obiectiv"</formula>
    </cfRule>
  </conditionalFormatting>
  <conditionalFormatting sqref="J2279">
    <cfRule type="expression" dxfId="5697" priority="7465">
      <formula>#REF! = "produs"</formula>
    </cfRule>
    <cfRule type="expression" dxfId="5696" priority="7466">
      <formula>#REF! = "obiectiv"</formula>
    </cfRule>
  </conditionalFormatting>
  <conditionalFormatting sqref="Q2279:U2279">
    <cfRule type="expression" dxfId="5695" priority="7461">
      <formula>#REF! = "produs"</formula>
    </cfRule>
    <cfRule type="expression" dxfId="5694" priority="7462">
      <formula>#REF! = "obiectiv"</formula>
    </cfRule>
  </conditionalFormatting>
  <conditionalFormatting sqref="Q2291:U2297">
    <cfRule type="expression" dxfId="5693" priority="7429">
      <formula>#REF! = "produs"</formula>
    </cfRule>
    <cfRule type="expression" dxfId="5692" priority="7430">
      <formula>#REF! = "obiectiv"</formula>
    </cfRule>
  </conditionalFormatting>
  <conditionalFormatting sqref="H2289">
    <cfRule type="expression" dxfId="5691" priority="7425">
      <formula>#REF! = "produs"</formula>
    </cfRule>
    <cfRule type="expression" dxfId="5690" priority="7426">
      <formula>#REF! = "obiectiv"</formula>
    </cfRule>
  </conditionalFormatting>
  <conditionalFormatting sqref="K2289:IU2298">
    <cfRule type="expression" dxfId="5689" priority="7457">
      <formula>#REF! = "produs"</formula>
    </cfRule>
    <cfRule type="expression" dxfId="5688" priority="7458">
      <formula>#REF! = "obiectiv"</formula>
    </cfRule>
  </conditionalFormatting>
  <conditionalFormatting sqref="J2289:J2290 J2292:J2298">
    <cfRule type="expression" dxfId="5687" priority="7455">
      <formula>#REF! = "produs"</formula>
    </cfRule>
    <cfRule type="expression" dxfId="5686" priority="7456">
      <formula>#REF! = "obiectiv"</formula>
    </cfRule>
  </conditionalFormatting>
  <conditionalFormatting sqref="J2292">
    <cfRule type="expression" dxfId="5685" priority="7433">
      <formula>#REF! = "produs"</formula>
    </cfRule>
    <cfRule type="expression" dxfId="5684" priority="7434">
      <formula>#REF! = "obiectiv"</formula>
    </cfRule>
  </conditionalFormatting>
  <conditionalFormatting sqref="J2296">
    <cfRule type="expression" dxfId="5683" priority="7443">
      <formula>#REF! = "produs"</formula>
    </cfRule>
    <cfRule type="expression" dxfId="5682" priority="7444">
      <formula>#REF! = "obiectiv"</formula>
    </cfRule>
  </conditionalFormatting>
  <conditionalFormatting sqref="W2290:IU2291 W2293:IU2298">
    <cfRule type="expression" dxfId="5681" priority="7451">
      <formula>#REF! = "produs"</formula>
    </cfRule>
    <cfRule type="expression" dxfId="5680" priority="7452">
      <formula>#REF! = "obiectiv"</formula>
    </cfRule>
  </conditionalFormatting>
  <conditionalFormatting sqref="K2290:K2291 K2293:K2298">
    <cfRule type="expression" dxfId="5679" priority="7449">
      <formula>#REF! = "produs"</formula>
    </cfRule>
    <cfRule type="expression" dxfId="5678" priority="7450">
      <formula>#REF! = "obiectiv"</formula>
    </cfRule>
  </conditionalFormatting>
  <conditionalFormatting sqref="J2290 J2297:J2298 J2295 J2293">
    <cfRule type="expression" dxfId="5677" priority="7447">
      <formula>#REF! = "produs"</formula>
    </cfRule>
    <cfRule type="expression" dxfId="5676" priority="7448">
      <formula>#REF! = "obiectiv"</formula>
    </cfRule>
  </conditionalFormatting>
  <conditionalFormatting sqref="L2298:U2298 L2293:P2294 L2290:U2290 L2291:P2291 L2297:P2297">
    <cfRule type="expression" dxfId="5675" priority="7445">
      <formula>#REF! = "produs"</formula>
    </cfRule>
    <cfRule type="expression" dxfId="5674" priority="7446">
      <formula>#REF! = "obiectiv"</formula>
    </cfRule>
  </conditionalFormatting>
  <conditionalFormatting sqref="L2296:P2296">
    <cfRule type="expression" dxfId="5673" priority="7441">
      <formula>#REF! = "produs"</formula>
    </cfRule>
    <cfRule type="expression" dxfId="5672" priority="7442">
      <formula>#REF! = "obiectiv"</formula>
    </cfRule>
  </conditionalFormatting>
  <conditionalFormatting sqref="L2295:P2295">
    <cfRule type="expression" dxfId="5671" priority="7439">
      <formula>#REF! = "produs"</formula>
    </cfRule>
    <cfRule type="expression" dxfId="5670" priority="7440">
      <formula>#REF! = "obiectiv"</formula>
    </cfRule>
  </conditionalFormatting>
  <conditionalFormatting sqref="J2294">
    <cfRule type="expression" dxfId="5669" priority="7437">
      <formula>#REF! = "produs"</formula>
    </cfRule>
    <cfRule type="expression" dxfId="5668" priority="7438">
      <formula>#REF! = "obiectiv"</formula>
    </cfRule>
  </conditionalFormatting>
  <conditionalFormatting sqref="K2292:P2292 W2292:IU2292">
    <cfRule type="expression" dxfId="5667" priority="7435">
      <formula>#REF! = "produs"</formula>
    </cfRule>
    <cfRule type="expression" dxfId="5666" priority="7436">
      <formula>#REF! = "obiectiv"</formula>
    </cfRule>
  </conditionalFormatting>
  <conditionalFormatting sqref="J2289">
    <cfRule type="expression" dxfId="5665" priority="7431">
      <formula>#REF! = "produs"</formula>
    </cfRule>
    <cfRule type="expression" dxfId="5664" priority="7432">
      <formula>#REF! = "obiectiv"</formula>
    </cfRule>
  </conditionalFormatting>
  <conditionalFormatting sqref="W2300:IU2301 W2303:IU2308">
    <cfRule type="expression" dxfId="5663" priority="7417">
      <formula>#REF! = "produs"</formula>
    </cfRule>
    <cfRule type="expression" dxfId="5662" priority="7418">
      <formula>#REF! = "obiectiv"</formula>
    </cfRule>
  </conditionalFormatting>
  <conditionalFormatting sqref="Q2289:U2289">
    <cfRule type="expression" dxfId="5661" priority="7427">
      <formula>#REF! = "produs"</formula>
    </cfRule>
    <cfRule type="expression" dxfId="5660" priority="7428">
      <formula>#REF! = "obiectiv"</formula>
    </cfRule>
  </conditionalFormatting>
  <conditionalFormatting sqref="J2300 J2307:J2308 J2305 J2303">
    <cfRule type="expression" dxfId="5659" priority="7413">
      <formula>#REF! = "produs"</formula>
    </cfRule>
    <cfRule type="expression" dxfId="5658" priority="7414">
      <formula>#REF! = "obiectiv"</formula>
    </cfRule>
  </conditionalFormatting>
  <conditionalFormatting sqref="K2299:IU2308">
    <cfRule type="expression" dxfId="5657" priority="7423">
      <formula>#REF! = "produs"</formula>
    </cfRule>
    <cfRule type="expression" dxfId="5656" priority="7424">
      <formula>#REF! = "obiectiv"</formula>
    </cfRule>
  </conditionalFormatting>
  <conditionalFormatting sqref="J2299:J2300 J2302:J2308">
    <cfRule type="expression" dxfId="5655" priority="7421">
      <formula>#REF! = "produs"</formula>
    </cfRule>
    <cfRule type="expression" dxfId="5654" priority="7422">
      <formula>#REF! = "obiectiv"</formula>
    </cfRule>
  </conditionalFormatting>
  <conditionalFormatting sqref="J2302">
    <cfRule type="expression" dxfId="5653" priority="7399">
      <formula>#REF! = "produs"</formula>
    </cfRule>
    <cfRule type="expression" dxfId="5652" priority="7400">
      <formula>#REF! = "obiectiv"</formula>
    </cfRule>
  </conditionalFormatting>
  <conditionalFormatting sqref="J2306">
    <cfRule type="expression" dxfId="5651" priority="7409">
      <formula>#REF! = "produs"</formula>
    </cfRule>
    <cfRule type="expression" dxfId="5650" priority="7410">
      <formula>#REF! = "obiectiv"</formula>
    </cfRule>
  </conditionalFormatting>
  <conditionalFormatting sqref="K2300:K2301 K2303:K2308">
    <cfRule type="expression" dxfId="5649" priority="7415">
      <formula>#REF! = "produs"</formula>
    </cfRule>
    <cfRule type="expression" dxfId="5648" priority="7416">
      <formula>#REF! = "obiectiv"</formula>
    </cfRule>
  </conditionalFormatting>
  <conditionalFormatting sqref="L2308:U2308 L2307:P2307 L2303:P2304 L2300:U2300 L2301:P2301">
    <cfRule type="expression" dxfId="5647" priority="7411">
      <formula>#REF! = "produs"</formula>
    </cfRule>
    <cfRule type="expression" dxfId="5646" priority="7412">
      <formula>#REF! = "obiectiv"</formula>
    </cfRule>
  </conditionalFormatting>
  <conditionalFormatting sqref="L2306:P2306">
    <cfRule type="expression" dxfId="5645" priority="7407">
      <formula>#REF! = "produs"</formula>
    </cfRule>
    <cfRule type="expression" dxfId="5644" priority="7408">
      <formula>#REF! = "obiectiv"</formula>
    </cfRule>
  </conditionalFormatting>
  <conditionalFormatting sqref="L2305:P2305">
    <cfRule type="expression" dxfId="5643" priority="7405">
      <formula>#REF! = "produs"</formula>
    </cfRule>
    <cfRule type="expression" dxfId="5642" priority="7406">
      <formula>#REF! = "obiectiv"</formula>
    </cfRule>
  </conditionalFormatting>
  <conditionalFormatting sqref="J2304">
    <cfRule type="expression" dxfId="5641" priority="7403">
      <formula>#REF! = "produs"</formula>
    </cfRule>
    <cfRule type="expression" dxfId="5640" priority="7404">
      <formula>#REF! = "obiectiv"</formula>
    </cfRule>
  </conditionalFormatting>
  <conditionalFormatting sqref="K2302:P2302 W2302:IU2302">
    <cfRule type="expression" dxfId="5639" priority="7401">
      <formula>#REF! = "produs"</formula>
    </cfRule>
    <cfRule type="expression" dxfId="5638" priority="7402">
      <formula>#REF! = "obiectiv"</formula>
    </cfRule>
  </conditionalFormatting>
  <conditionalFormatting sqref="J2299">
    <cfRule type="expression" dxfId="5637" priority="7397">
      <formula>#REF! = "produs"</formula>
    </cfRule>
    <cfRule type="expression" dxfId="5636" priority="7398">
      <formula>#REF! = "obiectiv"</formula>
    </cfRule>
  </conditionalFormatting>
  <conditionalFormatting sqref="Q2301:U2307">
    <cfRule type="expression" dxfId="5635" priority="7395">
      <formula>#REF! = "produs"</formula>
    </cfRule>
    <cfRule type="expression" dxfId="5634" priority="7396">
      <formula>#REF! = "obiectiv"</formula>
    </cfRule>
  </conditionalFormatting>
  <conditionalFormatting sqref="Q2299:U2299">
    <cfRule type="expression" dxfId="5633" priority="7393">
      <formula>#REF! = "produs"</formula>
    </cfRule>
    <cfRule type="expression" dxfId="5632" priority="7394">
      <formula>#REF! = "obiectiv"</formula>
    </cfRule>
  </conditionalFormatting>
  <conditionalFormatting sqref="H2299">
    <cfRule type="expression" dxfId="5631" priority="7391">
      <formula>#REF! = "produs"</formula>
    </cfRule>
    <cfRule type="expression" dxfId="5630" priority="7392">
      <formula>#REF! = "obiectiv"</formula>
    </cfRule>
  </conditionalFormatting>
  <conditionalFormatting sqref="K2310">
    <cfRule type="expression" dxfId="5629" priority="7385">
      <formula>#REF! = "produs"</formula>
    </cfRule>
    <cfRule type="expression" dxfId="5628" priority="7386">
      <formula>#REF! = "obiectiv"</formula>
    </cfRule>
  </conditionalFormatting>
  <conditionalFormatting sqref="L2310:P2310">
    <cfRule type="expression" dxfId="5627" priority="7383">
      <formula>#REF! = "produs"</formula>
    </cfRule>
    <cfRule type="expression" dxfId="5626" priority="7384">
      <formula>#REF! = "obiectiv"</formula>
    </cfRule>
  </conditionalFormatting>
  <conditionalFormatting sqref="K2316">
    <cfRule type="expression" dxfId="5625" priority="7381">
      <formula>#REF! = "produs"</formula>
    </cfRule>
    <cfRule type="expression" dxfId="5624" priority="7382">
      <formula>#REF! = "obiectiv"</formula>
    </cfRule>
  </conditionalFormatting>
  <conditionalFormatting sqref="L2316:P2316">
    <cfRule type="expression" dxfId="5623" priority="7379">
      <formula>#REF! = "produs"</formula>
    </cfRule>
    <cfRule type="expression" dxfId="5622" priority="7380">
      <formula>#REF! = "obiectiv"</formula>
    </cfRule>
  </conditionalFormatting>
  <conditionalFormatting sqref="H226">
    <cfRule type="expression" dxfId="5621" priority="7377">
      <formula>#REF! = "produs"</formula>
    </cfRule>
    <cfRule type="expression" dxfId="5620" priority="7378">
      <formula>#REF! = "obiectiv"</formula>
    </cfRule>
  </conditionalFormatting>
  <conditionalFormatting sqref="H236">
    <cfRule type="expression" dxfId="5619" priority="7375">
      <formula>#REF! = "produs"</formula>
    </cfRule>
    <cfRule type="expression" dxfId="5618" priority="7376">
      <formula>#REF! = "obiectiv"</formula>
    </cfRule>
  </conditionalFormatting>
  <conditionalFormatting sqref="F219:G219">
    <cfRule type="expression" dxfId="5617" priority="7373">
      <formula>#REF! = "produs"</formula>
    </cfRule>
    <cfRule type="expression" dxfId="5616" priority="7374">
      <formula>#REF! = "obiectiv"</formula>
    </cfRule>
  </conditionalFormatting>
  <conditionalFormatting sqref="L428:U428 Q427:U427 Q429:U430 L431:U446 Q447:U456 Q457:V457 L478:V478">
    <cfRule type="expression" dxfId="5615" priority="7371">
      <formula>#REF! = "produs"</formula>
    </cfRule>
    <cfRule type="expression" dxfId="5614" priority="7372">
      <formula>#REF! = "obiectiv"</formula>
    </cfRule>
  </conditionalFormatting>
  <conditionalFormatting sqref="L427:P427">
    <cfRule type="expression" dxfId="5613" priority="7369">
      <formula>#REF! = "produs"</formula>
    </cfRule>
    <cfRule type="expression" dxfId="5612" priority="7370">
      <formula>#REF! = "obiectiv"</formula>
    </cfRule>
  </conditionalFormatting>
  <conditionalFormatting sqref="K1145:IU1145">
    <cfRule type="expression" dxfId="5611" priority="7363">
      <formula>#REF! = "produs"</formula>
    </cfRule>
    <cfRule type="expression" dxfId="5610" priority="7364">
      <formula>#REF! = "obiectiv"</formula>
    </cfRule>
  </conditionalFormatting>
  <conditionalFormatting sqref="K1170 J1191:K1197 K1190 J1201:K1209 K1200 J1211:K1217 K1210 J1171:K1177 J1168:K1169 Q1168:IU1177 J1188:K1189 K1167:IU1167">
    <cfRule type="expression" dxfId="5609" priority="7361">
      <formula>#REF! = "produs"</formula>
    </cfRule>
    <cfRule type="expression" dxfId="5608" priority="7362">
      <formula>#REF! = "obiectiv"</formula>
    </cfRule>
  </conditionalFormatting>
  <conditionalFormatting sqref="J1195">
    <cfRule type="expression" dxfId="5607" priority="7351">
      <formula>#REF! = "produs"</formula>
    </cfRule>
    <cfRule type="expression" dxfId="5606" priority="7352">
      <formula>#REF! = "obiectiv"</formula>
    </cfRule>
  </conditionalFormatting>
  <conditionalFormatting sqref="J1191">
    <cfRule type="expression" dxfId="5605" priority="7341">
      <formula>#REF! = "produs"</formula>
    </cfRule>
    <cfRule type="expression" dxfId="5604" priority="7342">
      <formula>#REF! = "obiectiv"</formula>
    </cfRule>
  </conditionalFormatting>
  <conditionalFormatting sqref="J1189 J1196:J1197 J1194 J1192 J1201:J1209 J1211:J1217">
    <cfRule type="expression" dxfId="5603" priority="7355">
      <formula>#REF! = "produs"</formula>
    </cfRule>
    <cfRule type="expression" dxfId="5602" priority="7356">
      <formula>#REF! = "obiectiv"</formula>
    </cfRule>
  </conditionalFormatting>
  <conditionalFormatting sqref="J1193">
    <cfRule type="expression" dxfId="5601" priority="7345">
      <formula>#REF! = "produs"</formula>
    </cfRule>
    <cfRule type="expression" dxfId="5600" priority="7346">
      <formula>#REF! = "obiectiv"</formula>
    </cfRule>
  </conditionalFormatting>
  <conditionalFormatting sqref="W1189:IU1190">
    <cfRule type="expression" dxfId="5599" priority="7359">
      <formula>#REF! = "produs"</formula>
    </cfRule>
    <cfRule type="expression" dxfId="5598" priority="7360">
      <formula>#REF! = "obiectiv"</formula>
    </cfRule>
  </conditionalFormatting>
  <conditionalFormatting sqref="K1189:K1190">
    <cfRule type="expression" dxfId="5597" priority="7357">
      <formula>#REF! = "produs"</formula>
    </cfRule>
    <cfRule type="expression" dxfId="5596" priority="7358">
      <formula>#REF! = "obiectiv"</formula>
    </cfRule>
  </conditionalFormatting>
  <conditionalFormatting sqref="Q1189:U1189">
    <cfRule type="expression" dxfId="5595" priority="7353">
      <formula>#REF! = "produs"</formula>
    </cfRule>
    <cfRule type="expression" dxfId="5594" priority="7354">
      <formula>#REF! = "obiectiv"</formula>
    </cfRule>
  </conditionalFormatting>
  <conditionalFormatting sqref="J1305">
    <cfRule type="expression" dxfId="5593" priority="7279">
      <formula>#REF! = "produs"</formula>
    </cfRule>
    <cfRule type="expression" dxfId="5592" priority="7280">
      <formula>#REF! = "obiectiv"</formula>
    </cfRule>
  </conditionalFormatting>
  <conditionalFormatting sqref="K1303:P1303 W1303:IU1303">
    <cfRule type="expression" dxfId="5591" priority="7277">
      <formula>#REF! = "produs"</formula>
    </cfRule>
    <cfRule type="expression" dxfId="5590" priority="7278">
      <formula>#REF! = "obiectiv"</formula>
    </cfRule>
  </conditionalFormatting>
  <conditionalFormatting sqref="K1191 W1191:IU1191">
    <cfRule type="expression" dxfId="5589" priority="7343">
      <formula>#REF! = "produs"</formula>
    </cfRule>
    <cfRule type="expression" dxfId="5588" priority="7344">
      <formula>#REF! = "obiectiv"</formula>
    </cfRule>
  </conditionalFormatting>
  <conditionalFormatting sqref="J1188">
    <cfRule type="expression" dxfId="5587" priority="7339">
      <formula>#REF! = "produs"</formula>
    </cfRule>
    <cfRule type="expression" dxfId="5586" priority="7340">
      <formula>#REF! = "obiectiv"</formula>
    </cfRule>
  </conditionalFormatting>
  <conditionalFormatting sqref="Q1190:U1196">
    <cfRule type="expression" dxfId="5585" priority="7337">
      <formula>#REF! = "produs"</formula>
    </cfRule>
    <cfRule type="expression" dxfId="5584" priority="7338">
      <formula>#REF! = "obiectiv"</formula>
    </cfRule>
  </conditionalFormatting>
  <conditionalFormatting sqref="Q1188:U1188">
    <cfRule type="expression" dxfId="5583" priority="7335">
      <formula>#REF! = "produs"</formula>
    </cfRule>
    <cfRule type="expression" dxfId="5582" priority="7336">
      <formula>#REF! = "obiectiv"</formula>
    </cfRule>
  </conditionalFormatting>
  <conditionalFormatting sqref="H1188">
    <cfRule type="expression" dxfId="5581" priority="7333">
      <formula>#REF! = "produs"</formula>
    </cfRule>
    <cfRule type="expression" dxfId="5580" priority="7334">
      <formula>#REF! = "obiectiv"</formula>
    </cfRule>
  </conditionalFormatting>
  <conditionalFormatting sqref="G1188">
    <cfRule type="expression" dxfId="5579" priority="7331">
      <formula>#REF! = "produs"</formula>
    </cfRule>
    <cfRule type="expression" dxfId="5578" priority="7332">
      <formula>#REF! = "obiectiv"</formula>
    </cfRule>
  </conditionalFormatting>
  <conditionalFormatting sqref="J1310:IU1311 K1312:IU1312 K1322:IU1322 J1323:IU1329 J1313:IU1321 K1299:IU1299">
    <cfRule type="expression" dxfId="5577" priority="7329">
      <formula>#REF! = "produs"</formula>
    </cfRule>
    <cfRule type="expression" dxfId="5576" priority="7330">
      <formula>#REF! = "obiectiv"</formula>
    </cfRule>
  </conditionalFormatting>
  <conditionalFormatting sqref="J1323">
    <cfRule type="expression" dxfId="5575" priority="7309">
      <formula>#REF! = "produs"</formula>
    </cfRule>
    <cfRule type="expression" dxfId="5574" priority="7310">
      <formula>#REF! = "obiectiv"</formula>
    </cfRule>
  </conditionalFormatting>
  <conditionalFormatting sqref="J1327">
    <cfRule type="expression" dxfId="5573" priority="7319">
      <formula>#REF! = "produs"</formula>
    </cfRule>
    <cfRule type="expression" dxfId="5572" priority="7320">
      <formula>#REF! = "obiectiv"</formula>
    </cfRule>
  </conditionalFormatting>
  <conditionalFormatting sqref="J1321 J1328:J1329 J1326 J1324">
    <cfRule type="expression" dxfId="5571" priority="7323">
      <formula>#REF! = "produs"</formula>
    </cfRule>
    <cfRule type="expression" dxfId="5570" priority="7324">
      <formula>#REF! = "obiectiv"</formula>
    </cfRule>
  </conditionalFormatting>
  <conditionalFormatting sqref="J1325">
    <cfRule type="expression" dxfId="5569" priority="7313">
      <formula>#REF! = "produs"</formula>
    </cfRule>
    <cfRule type="expression" dxfId="5568" priority="7314">
      <formula>#REF! = "obiectiv"</formula>
    </cfRule>
  </conditionalFormatting>
  <conditionalFormatting sqref="W1321:IU1322 W1324:IU1329">
    <cfRule type="expression" dxfId="5567" priority="7327">
      <formula>#REF! = "produs"</formula>
    </cfRule>
    <cfRule type="expression" dxfId="5566" priority="7328">
      <formula>#REF! = "obiectiv"</formula>
    </cfRule>
  </conditionalFormatting>
  <conditionalFormatting sqref="K1321:K1322 K1324:K1329">
    <cfRule type="expression" dxfId="5565" priority="7325">
      <formula>#REF! = "produs"</formula>
    </cfRule>
    <cfRule type="expression" dxfId="5564" priority="7326">
      <formula>#REF! = "obiectiv"</formula>
    </cfRule>
  </conditionalFormatting>
  <conditionalFormatting sqref="L1329:U1329 L1328:P1328 L1321:U1321 L1322:P1322 L1324:P1325">
    <cfRule type="expression" dxfId="5563" priority="7321">
      <formula>#REF! = "produs"</formula>
    </cfRule>
    <cfRule type="expression" dxfId="5562" priority="7322">
      <formula>#REF! = "obiectiv"</formula>
    </cfRule>
  </conditionalFormatting>
  <conditionalFormatting sqref="L1327:P1327">
    <cfRule type="expression" dxfId="5561" priority="7317">
      <formula>#REF! = "produs"</formula>
    </cfRule>
    <cfRule type="expression" dxfId="5560" priority="7318">
      <formula>#REF! = "obiectiv"</formula>
    </cfRule>
  </conditionalFormatting>
  <conditionalFormatting sqref="L1326:P1326">
    <cfRule type="expression" dxfId="5559" priority="7315">
      <formula>#REF! = "produs"</formula>
    </cfRule>
    <cfRule type="expression" dxfId="5558" priority="7316">
      <formula>#REF! = "obiectiv"</formula>
    </cfRule>
  </conditionalFormatting>
  <conditionalFormatting sqref="K1323:P1323 W1323:IU1323">
    <cfRule type="expression" dxfId="5557" priority="7311">
      <formula>#REF! = "produs"</formula>
    </cfRule>
    <cfRule type="expression" dxfId="5556" priority="7312">
      <formula>#REF! = "obiectiv"</formula>
    </cfRule>
  </conditionalFormatting>
  <conditionalFormatting sqref="J1320">
    <cfRule type="expression" dxfId="5555" priority="7307">
      <formula>#REF! = "produs"</formula>
    </cfRule>
    <cfRule type="expression" dxfId="5554" priority="7308">
      <formula>#REF! = "obiectiv"</formula>
    </cfRule>
  </conditionalFormatting>
  <conditionalFormatting sqref="K1333:P1333 W1333:IU1333">
    <cfRule type="expression" dxfId="5553" priority="6939">
      <formula>#REF! = "produs"</formula>
    </cfRule>
    <cfRule type="expression" dxfId="5552" priority="6940">
      <formula>#REF! = "obiectiv"</formula>
    </cfRule>
  </conditionalFormatting>
  <conditionalFormatting sqref="Q1320:U1320">
    <cfRule type="expression" dxfId="5551" priority="7303">
      <formula>#REF! = "produs"</formula>
    </cfRule>
    <cfRule type="expression" dxfId="5550" priority="7304">
      <formula>#REF! = "obiectiv"</formula>
    </cfRule>
  </conditionalFormatting>
  <conditionalFormatting sqref="V1300:V1309">
    <cfRule type="expression" dxfId="5549" priority="7295">
      <formula>#REF! = "produs"</formula>
    </cfRule>
    <cfRule type="expression" dxfId="5548" priority="7296">
      <formula>#REF! = "obiectiv"</formula>
    </cfRule>
  </conditionalFormatting>
  <conditionalFormatting sqref="J1300:IU1301 J1303:IU1304 K1302:IU1302 J1306:IU1309 J1305:K1305 Q1305:IU1305">
    <cfRule type="expression" dxfId="5547" priority="7297">
      <formula>#REF! = "produs"</formula>
    </cfRule>
    <cfRule type="expression" dxfId="5546" priority="7298">
      <formula>#REF! = "obiectiv"</formula>
    </cfRule>
  </conditionalFormatting>
  <conditionalFormatting sqref="J1303">
    <cfRule type="expression" dxfId="5545" priority="7275">
      <formula>#REF! = "produs"</formula>
    </cfRule>
    <cfRule type="expression" dxfId="5544" priority="7276">
      <formula>#REF! = "obiectiv"</formula>
    </cfRule>
  </conditionalFormatting>
  <conditionalFormatting sqref="J1307">
    <cfRule type="expression" dxfId="5543" priority="7285">
      <formula>#REF! = "produs"</formula>
    </cfRule>
    <cfRule type="expression" dxfId="5542" priority="7286">
      <formula>#REF! = "obiectiv"</formula>
    </cfRule>
  </conditionalFormatting>
  <conditionalFormatting sqref="J1301 J1308:J1309 J1306 J1304">
    <cfRule type="expression" dxfId="5541" priority="7289">
      <formula>#REF! = "produs"</formula>
    </cfRule>
    <cfRule type="expression" dxfId="5540" priority="7290">
      <formula>#REF! = "obiectiv"</formula>
    </cfRule>
  </conditionalFormatting>
  <conditionalFormatting sqref="L10:P11">
    <cfRule type="expression" dxfId="5539" priority="6275">
      <formula>#REF! = "produs"</formula>
    </cfRule>
    <cfRule type="expression" dxfId="5538" priority="6276">
      <formula>#REF! = "obiectiv"</formula>
    </cfRule>
  </conditionalFormatting>
  <conditionalFormatting sqref="W1301:IU1302 W1304:IU1309">
    <cfRule type="expression" dxfId="5537" priority="7293">
      <formula>#REF! = "produs"</formula>
    </cfRule>
    <cfRule type="expression" dxfId="5536" priority="7294">
      <formula>#REF! = "obiectiv"</formula>
    </cfRule>
  </conditionalFormatting>
  <conditionalFormatting sqref="K1301:K1302 K1304:K1309">
    <cfRule type="expression" dxfId="5535" priority="7291">
      <formula>#REF! = "produs"</formula>
    </cfRule>
    <cfRule type="expression" dxfId="5534" priority="7292">
      <formula>#REF! = "obiectiv"</formula>
    </cfRule>
  </conditionalFormatting>
  <conditionalFormatting sqref="L1309:U1309 L1308:P1308 L1304:P1304 L1301:U1301 L1302:P1302">
    <cfRule type="expression" dxfId="5533" priority="7287">
      <formula>#REF! = "produs"</formula>
    </cfRule>
    <cfRule type="expression" dxfId="5532" priority="7288">
      <formula>#REF! = "obiectiv"</formula>
    </cfRule>
  </conditionalFormatting>
  <conditionalFormatting sqref="L1307:P1307">
    <cfRule type="expression" dxfId="5531" priority="7283">
      <formula>#REF! = "produs"</formula>
    </cfRule>
    <cfRule type="expression" dxfId="5530" priority="7284">
      <formula>#REF! = "obiectiv"</formula>
    </cfRule>
  </conditionalFormatting>
  <conditionalFormatting sqref="L1306:P1306">
    <cfRule type="expression" dxfId="5529" priority="7281">
      <formula>#REF! = "produs"</formula>
    </cfRule>
    <cfRule type="expression" dxfId="5528" priority="7282">
      <formula>#REF! = "obiectiv"</formula>
    </cfRule>
  </conditionalFormatting>
  <conditionalFormatting sqref="L12:P12">
    <cfRule type="expression" dxfId="5527" priority="6273">
      <formula>#REF! = "produs"</formula>
    </cfRule>
    <cfRule type="expression" dxfId="5526" priority="6274">
      <formula>#REF! = "obiectiv"</formula>
    </cfRule>
  </conditionalFormatting>
  <conditionalFormatting sqref="J1300">
    <cfRule type="expression" dxfId="5525" priority="7273">
      <formula>#REF! = "produs"</formula>
    </cfRule>
    <cfRule type="expression" dxfId="5524" priority="7274">
      <formula>#REF! = "obiectiv"</formula>
    </cfRule>
  </conditionalFormatting>
  <conditionalFormatting sqref="Q1302:U1308">
    <cfRule type="expression" dxfId="5523" priority="7271">
      <formula>#REF! = "produs"</formula>
    </cfRule>
    <cfRule type="expression" dxfId="5522" priority="7272">
      <formula>#REF! = "obiectiv"</formula>
    </cfRule>
  </conditionalFormatting>
  <conditionalFormatting sqref="Q1300:U1300">
    <cfRule type="expression" dxfId="5521" priority="7269">
      <formula>#REF! = "produs"</formula>
    </cfRule>
    <cfRule type="expression" dxfId="5520" priority="7270">
      <formula>#REF! = "obiectiv"</formula>
    </cfRule>
  </conditionalFormatting>
  <conditionalFormatting sqref="H1300">
    <cfRule type="expression" dxfId="5519" priority="7267">
      <formula>#REF! = "produs"</formula>
    </cfRule>
    <cfRule type="expression" dxfId="5518" priority="7268">
      <formula>#REF! = "obiectiv"</formula>
    </cfRule>
  </conditionalFormatting>
  <conditionalFormatting sqref="G1300">
    <cfRule type="expression" dxfId="5517" priority="7265">
      <formula>#REF! = "produs"</formula>
    </cfRule>
    <cfRule type="expression" dxfId="5516" priority="7266">
      <formula>#REF! = "obiectiv"</formula>
    </cfRule>
  </conditionalFormatting>
  <conditionalFormatting sqref="J1300:IU1301 J1303:IU1304 K1302:IU1302 J1306:IU1309 J1305:K1305 Q1305:IU1305">
    <cfRule type="expression" dxfId="5515" priority="7263">
      <formula>#REF! = "produs"</formula>
    </cfRule>
    <cfRule type="expression" dxfId="5514" priority="7264">
      <formula>#REF! = "obiectiv"</formula>
    </cfRule>
  </conditionalFormatting>
  <conditionalFormatting sqref="Q1281:U1287">
    <cfRule type="expression" dxfId="5513" priority="7073">
      <formula>#REF! = "produs"</formula>
    </cfRule>
    <cfRule type="expression" dxfId="5512" priority="7074">
      <formula>#REF! = "obiectiv"</formula>
    </cfRule>
  </conditionalFormatting>
  <conditionalFormatting sqref="G1650">
    <cfRule type="expression" dxfId="5511" priority="6301">
      <formula>#REF! = "produs"</formula>
    </cfRule>
    <cfRule type="expression" dxfId="5510" priority="6302">
      <formula>#REF! = "obiectiv"</formula>
    </cfRule>
  </conditionalFormatting>
  <conditionalFormatting sqref="J419 J409 J399 J357 J347 J337 J326 J315 J304 J294 J284 J273 J253 J243 J233 J223 J211 J201 J191 J170 J160">
    <cfRule type="expression" dxfId="5509" priority="6281">
      <formula>#REF! = "produs"</formula>
    </cfRule>
    <cfRule type="expression" dxfId="5508" priority="6282">
      <formula>#REF! = "obiectiv"</formula>
    </cfRule>
  </conditionalFormatting>
  <conditionalFormatting sqref="H1650">
    <cfRule type="expression" dxfId="5507" priority="6297">
      <formula>#REF! = "produs"</formula>
    </cfRule>
    <cfRule type="expression" dxfId="5506" priority="6298">
      <formula>#REF! = "obiectiv"</formula>
    </cfRule>
  </conditionalFormatting>
  <conditionalFormatting sqref="M1718">
    <cfRule type="expression" dxfId="5505" priority="6295">
      <formula>#REF! = "produs"</formula>
    </cfRule>
    <cfRule type="expression" dxfId="5504" priority="6296">
      <formula>#REF! = "obiectiv"</formula>
    </cfRule>
  </conditionalFormatting>
  <conditionalFormatting sqref="M1718">
    <cfRule type="expression" dxfId="5503" priority="6293">
      <formula>#REF! = "produs"</formula>
    </cfRule>
    <cfRule type="expression" dxfId="5502" priority="6294">
      <formula>#REF! = "obiectiv"</formula>
    </cfRule>
  </conditionalFormatting>
  <conditionalFormatting sqref="N1739">
    <cfRule type="expression" dxfId="5501" priority="6291">
      <formula>#REF! = "produs"</formula>
    </cfRule>
    <cfRule type="expression" dxfId="5500" priority="6292">
      <formula>#REF! = "obiectiv"</formula>
    </cfRule>
  </conditionalFormatting>
  <conditionalFormatting sqref="J1280 J1287:J1288 J1285 J1283">
    <cfRule type="expression" dxfId="5499" priority="7091">
      <formula>#REF! = "produs"</formula>
    </cfRule>
    <cfRule type="expression" dxfId="5498" priority="7092">
      <formula>#REF! = "obiectiv"</formula>
    </cfRule>
  </conditionalFormatting>
  <conditionalFormatting sqref="L1288:U1288 L1287:P1287 L1283:P1283 L1280:U1280 L1281:P1281">
    <cfRule type="expression" dxfId="5497" priority="7089">
      <formula>#REF! = "produs"</formula>
    </cfRule>
    <cfRule type="expression" dxfId="5496" priority="7090">
      <formula>#REF! = "obiectiv"</formula>
    </cfRule>
  </conditionalFormatting>
  <conditionalFormatting sqref="J149 J139 J129 J119 J109 J99 J89 J78 J68 J58 J48 J27 J17">
    <cfRule type="expression" dxfId="5495" priority="6283">
      <formula>#REF! = "produs"</formula>
    </cfRule>
    <cfRule type="expression" dxfId="5494" priority="6284">
      <formula>#REF! = "obiectiv"</formula>
    </cfRule>
  </conditionalFormatting>
  <conditionalFormatting sqref="J2322 J2312 J2301 J2291 J2281 J2270 J2260 J2250 J2240 J2229 J2219 J2207 J2197 J2187 J2177 J2167 J2156 J2146 J2124 J2114 J2104 J2094 J2084 J2074 J2062 J2052 J2042 J2031 J2021 J2011 J1834 J1824 J1753 J1743 J1733 J1713 J1703 J1693 J1662 J1652 J1642 J1632 J1622 J1612 J1602 J1591 J1581 J1531 J1520 J1500 J1478 J1468 J1458 J1447 J1437 J1424 J1414 J1404 J1383 J1363 J1343 J1332 J1322 J1312 J1302 J1291 J1281 J1271 J1261 J1251 J1231 J1220 J1210 J1200 J1190 J1170 J1148 J1127 J1117 J1107 J1097 J1077 J1067 J1047 J945 J935">
    <cfRule type="expression" dxfId="5493" priority="6277">
      <formula>#REF! = "produs"</formula>
    </cfRule>
    <cfRule type="expression" dxfId="5492" priority="6278">
      <formula>#REF! = "obiectiv"</formula>
    </cfRule>
  </conditionalFormatting>
  <conditionalFormatting sqref="J914 J902 J892 J882 J872 J862 J852 J842 J832 J822 J449 J439 J429">
    <cfRule type="expression" dxfId="5491" priority="6279">
      <formula>#REF! = "produs"</formula>
    </cfRule>
    <cfRule type="expression" dxfId="5490" priority="6280">
      <formula>#REF! = "obiectiv"</formula>
    </cfRule>
  </conditionalFormatting>
  <conditionalFormatting sqref="W1219:IU1220 W1222:IU1227">
    <cfRule type="expression" dxfId="5489" priority="7055">
      <formula>#REF! = "produs"</formula>
    </cfRule>
    <cfRule type="expression" dxfId="5488" priority="7056">
      <formula>#REF! = "obiectiv"</formula>
    </cfRule>
  </conditionalFormatting>
  <conditionalFormatting sqref="J1218:K1219 J1221:K1227 K1220 Q1218:IU1227">
    <cfRule type="expression" dxfId="5487" priority="7065">
      <formula>#REF! = "produs"</formula>
    </cfRule>
    <cfRule type="expression" dxfId="5486" priority="7066">
      <formula>#REF! = "obiectiv"</formula>
    </cfRule>
  </conditionalFormatting>
  <conditionalFormatting sqref="W1218:IU1227">
    <cfRule type="expression" dxfId="5485" priority="7063">
      <formula>#REF! = "produs"</formula>
    </cfRule>
    <cfRule type="expression" dxfId="5484" priority="7064">
      <formula>#REF! = "obiectiv"</formula>
    </cfRule>
  </conditionalFormatting>
  <conditionalFormatting sqref="W1280:IU1281 W1283:IU1288">
    <cfRule type="expression" dxfId="5483" priority="7095">
      <formula>#REF! = "produs"</formula>
    </cfRule>
    <cfRule type="expression" dxfId="5482" priority="7096">
      <formula>#REF! = "obiectiv"</formula>
    </cfRule>
  </conditionalFormatting>
  <conditionalFormatting sqref="L18:P18">
    <cfRule type="expression" dxfId="5481" priority="6269">
      <formula>#REF! = "produs"</formula>
    </cfRule>
    <cfRule type="expression" dxfId="5480" priority="6270">
      <formula>#REF! = "obiectiv"</formula>
    </cfRule>
  </conditionalFormatting>
  <conditionalFormatting sqref="J1286">
    <cfRule type="expression" dxfId="5479" priority="7087">
      <formula>#REF! = "produs"</formula>
    </cfRule>
    <cfRule type="expression" dxfId="5478" priority="7088">
      <formula>#REF! = "obiectiv"</formula>
    </cfRule>
  </conditionalFormatting>
  <conditionalFormatting sqref="G1269">
    <cfRule type="expression" dxfId="5477" priority="7099">
      <formula>#REF! = "produs"</formula>
    </cfRule>
    <cfRule type="expression" dxfId="5476" priority="7100">
      <formula>#REF! = "obiectiv"</formula>
    </cfRule>
  </conditionalFormatting>
  <conditionalFormatting sqref="J1284">
    <cfRule type="expression" dxfId="5475" priority="7081">
      <formula>#REF! = "produs"</formula>
    </cfRule>
    <cfRule type="expression" dxfId="5474" priority="7082">
      <formula>#REF! = "obiectiv"</formula>
    </cfRule>
  </conditionalFormatting>
  <conditionalFormatting sqref="L1285:P1285">
    <cfRule type="expression" dxfId="5473" priority="7083">
      <formula>#REF! = "produs"</formula>
    </cfRule>
    <cfRule type="expression" dxfId="5472" priority="7084">
      <formula>#REF! = "obiectiv"</formula>
    </cfRule>
  </conditionalFormatting>
  <conditionalFormatting sqref="I1065">
    <cfRule type="expression" dxfId="5471" priority="6801">
      <formula>#REF! = "produs"</formula>
    </cfRule>
    <cfRule type="expression" dxfId="5470" priority="6802">
      <formula>#REF! = "obiectiv"</formula>
    </cfRule>
  </conditionalFormatting>
  <conditionalFormatting sqref="K1282:P1282 W1282:IU1282">
    <cfRule type="expression" dxfId="5469" priority="7079">
      <formula>#REF! = "produs"</formula>
    </cfRule>
    <cfRule type="expression" dxfId="5468" priority="7080">
      <formula>#REF! = "obiectiv"</formula>
    </cfRule>
  </conditionalFormatting>
  <conditionalFormatting sqref="J1282">
    <cfRule type="expression" dxfId="5467" priority="7077">
      <formula>#REF! = "produs"</formula>
    </cfRule>
    <cfRule type="expression" dxfId="5466" priority="7078">
      <formula>#REF! = "obiectiv"</formula>
    </cfRule>
  </conditionalFormatting>
  <conditionalFormatting sqref="J1279">
    <cfRule type="expression" dxfId="5465" priority="7075">
      <formula>#REF! = "produs"</formula>
    </cfRule>
    <cfRule type="expression" dxfId="5464" priority="7076">
      <formula>#REF! = "obiectiv"</formula>
    </cfRule>
  </conditionalFormatting>
  <conditionalFormatting sqref="H1279">
    <cfRule type="expression" dxfId="5463" priority="7069">
      <formula>#REF! = "produs"</formula>
    </cfRule>
    <cfRule type="expression" dxfId="5462" priority="7070">
      <formula>#REF! = "obiectiv"</formula>
    </cfRule>
  </conditionalFormatting>
  <conditionalFormatting sqref="J1218:J1219 J1221:J1227">
    <cfRule type="expression" dxfId="5461" priority="7059">
      <formula>#REF! = "produs"</formula>
    </cfRule>
    <cfRule type="expression" dxfId="5460" priority="7060">
      <formula>#REF! = "obiectiv"</formula>
    </cfRule>
  </conditionalFormatting>
  <conditionalFormatting sqref="Q1279:U1279">
    <cfRule type="expression" dxfId="5459" priority="7071">
      <formula>#REF! = "produs"</formula>
    </cfRule>
    <cfRule type="expression" dxfId="5458" priority="7072">
      <formula>#REF! = "obiectiv"</formula>
    </cfRule>
  </conditionalFormatting>
  <conditionalFormatting sqref="G1279">
    <cfRule type="expression" dxfId="5457" priority="7067">
      <formula>#REF! = "produs"</formula>
    </cfRule>
    <cfRule type="expression" dxfId="5456" priority="7068">
      <formula>#REF! = "obiectiv"</formula>
    </cfRule>
  </conditionalFormatting>
  <conditionalFormatting sqref="K1218:K1227">
    <cfRule type="expression" dxfId="5455" priority="7061">
      <formula>#REF! = "produs"</formula>
    </cfRule>
    <cfRule type="expression" dxfId="5454" priority="7062">
      <formula>#REF! = "obiectiv"</formula>
    </cfRule>
  </conditionalFormatting>
  <conditionalFormatting sqref="Q1218:U1227">
    <cfRule type="expression" dxfId="5453" priority="7057">
      <formula>#REF! = "produs"</formula>
    </cfRule>
    <cfRule type="expression" dxfId="5452" priority="7058">
      <formula>#REF! = "obiectiv"</formula>
    </cfRule>
  </conditionalFormatting>
  <conditionalFormatting sqref="Q1218:U1227">
    <cfRule type="expression" dxfId="5451" priority="7017">
      <formula>#REF! = "produs"</formula>
    </cfRule>
    <cfRule type="expression" dxfId="5450" priority="7018">
      <formula>#REF! = "obiectiv"</formula>
    </cfRule>
  </conditionalFormatting>
  <conditionalFormatting sqref="J1219 J1226:J1227 J1224 J1222">
    <cfRule type="expression" dxfId="5449" priority="7051">
      <formula>#REF! = "produs"</formula>
    </cfRule>
    <cfRule type="expression" dxfId="5448" priority="7052">
      <formula>#REF! = "obiectiv"</formula>
    </cfRule>
  </conditionalFormatting>
  <conditionalFormatting sqref="Q1227:U1227 Q1219:U1219">
    <cfRule type="expression" dxfId="5447" priority="7049">
      <formula>#REF! = "produs"</formula>
    </cfRule>
    <cfRule type="expression" dxfId="5446" priority="7050">
      <formula>#REF! = "obiectiv"</formula>
    </cfRule>
  </conditionalFormatting>
  <conditionalFormatting sqref="J1225">
    <cfRule type="expression" dxfId="5445" priority="7047">
      <formula>#REF! = "produs"</formula>
    </cfRule>
    <cfRule type="expression" dxfId="5444" priority="7048">
      <formula>#REF! = "obiectiv"</formula>
    </cfRule>
  </conditionalFormatting>
  <conditionalFormatting sqref="J1289:IU1290 J1292:IU1293 K1291:IU1291 J1295:IU1298 J1294:K1294 Q1294:IU1294">
    <cfRule type="expression" dxfId="5443" priority="7015">
      <formula>#REF! = "produs"</formula>
    </cfRule>
    <cfRule type="expression" dxfId="5442" priority="7016">
      <formula>#REF! = "obiectiv"</formula>
    </cfRule>
  </conditionalFormatting>
  <conditionalFormatting sqref="W1289:IU1298">
    <cfRule type="expression" dxfId="5441" priority="7013">
      <formula>#REF! = "produs"</formula>
    </cfRule>
    <cfRule type="expression" dxfId="5440" priority="7014">
      <formula>#REF! = "obiectiv"</formula>
    </cfRule>
  </conditionalFormatting>
  <conditionalFormatting sqref="K1289:K1298">
    <cfRule type="expression" dxfId="5439" priority="7011">
      <formula>#REF! = "produs"</formula>
    </cfRule>
    <cfRule type="expression" dxfId="5438" priority="7012">
      <formula>#REF! = "obiectiv"</formula>
    </cfRule>
  </conditionalFormatting>
  <conditionalFormatting sqref="J1289:J1290 J1292:J1298">
    <cfRule type="expression" dxfId="5437" priority="7009">
      <formula>#REF! = "produs"</formula>
    </cfRule>
    <cfRule type="expression" dxfId="5436" priority="7010">
      <formula>#REF! = "obiectiv"</formula>
    </cfRule>
  </conditionalFormatting>
  <conditionalFormatting sqref="L1289:U1293 L1295:U1298 Q1294:U1294">
    <cfRule type="expression" dxfId="5435" priority="7007">
      <formula>#REF! = "produs"</formula>
    </cfRule>
    <cfRule type="expression" dxfId="5434" priority="7008">
      <formula>#REF! = "obiectiv"</formula>
    </cfRule>
  </conditionalFormatting>
  <conditionalFormatting sqref="J1147 J1154:J1155 J1152 J1150">
    <cfRule type="expression" dxfId="5433" priority="6769">
      <formula>#REF! = "produs"</formula>
    </cfRule>
    <cfRule type="expression" dxfId="5432" priority="6770">
      <formula>#REF! = "obiectiv"</formula>
    </cfRule>
  </conditionalFormatting>
  <conditionalFormatting sqref="Q1155:U1155 Q1147:U1147">
    <cfRule type="expression" dxfId="5431" priority="6767">
      <formula>#REF! = "produs"</formula>
    </cfRule>
    <cfRule type="expression" dxfId="5430" priority="6768">
      <formula>#REF! = "obiectiv"</formula>
    </cfRule>
  </conditionalFormatting>
  <conditionalFormatting sqref="J1269:IU1270 K1271:IU1271 J1272:IU1273 J1275:IU1278 J1274:K1274 Q1274:IU1274">
    <cfRule type="expression" dxfId="5429" priority="7129">
      <formula>#REF! = "produs"</formula>
    </cfRule>
    <cfRule type="expression" dxfId="5428" priority="7130">
      <formula>#REF! = "obiectiv"</formula>
    </cfRule>
  </conditionalFormatting>
  <conditionalFormatting sqref="J1270 J1277:J1278 J1275 J1273">
    <cfRule type="expression" dxfId="5427" priority="7123">
      <formula>#REF! = "produs"</formula>
    </cfRule>
    <cfRule type="expression" dxfId="5426" priority="7124">
      <formula>#REF! = "obiectiv"</formula>
    </cfRule>
  </conditionalFormatting>
  <conditionalFormatting sqref="W1270:IU1271 W1273:IU1278">
    <cfRule type="expression" dxfId="5425" priority="7127">
      <formula>#REF! = "produs"</formula>
    </cfRule>
    <cfRule type="expression" dxfId="5424" priority="7128">
      <formula>#REF! = "obiectiv"</formula>
    </cfRule>
  </conditionalFormatting>
  <conditionalFormatting sqref="K1270:K1271 K1273:K1278">
    <cfRule type="expression" dxfId="5423" priority="7125">
      <formula>#REF! = "produs"</formula>
    </cfRule>
    <cfRule type="expression" dxfId="5422" priority="7126">
      <formula>#REF! = "obiectiv"</formula>
    </cfRule>
  </conditionalFormatting>
  <conditionalFormatting sqref="J1146:J1147 J1149:J1155">
    <cfRule type="expression" dxfId="5421" priority="6779">
      <formula>#REF! = "produs"</formula>
    </cfRule>
    <cfRule type="expression" dxfId="5420" priority="6780">
      <formula>#REF! = "obiectiv"</formula>
    </cfRule>
  </conditionalFormatting>
  <conditionalFormatting sqref="K1272:P1272 W1272:IU1272">
    <cfRule type="expression" dxfId="5419" priority="7111">
      <formula>#REF! = "produs"</formula>
    </cfRule>
    <cfRule type="expression" dxfId="5418" priority="7112">
      <formula>#REF! = "obiectiv"</formula>
    </cfRule>
  </conditionalFormatting>
  <conditionalFormatting sqref="L313:P313">
    <cfRule type="expression" dxfId="5417" priority="6153">
      <formula>#REF! = "produs"</formula>
    </cfRule>
    <cfRule type="expression" dxfId="5416" priority="6154">
      <formula>#REF! = "obiectiv"</formula>
    </cfRule>
  </conditionalFormatting>
  <conditionalFormatting sqref="J1153">
    <cfRule type="expression" dxfId="5415" priority="6765">
      <formula>#REF! = "produs"</formula>
    </cfRule>
    <cfRule type="expression" dxfId="5414" priority="6766">
      <formula>#REF! = "obiectiv"</formula>
    </cfRule>
  </conditionalFormatting>
  <conditionalFormatting sqref="I1105">
    <cfRule type="expression" dxfId="5413" priority="6727">
      <formula>#REF! = "produs"</formula>
    </cfRule>
    <cfRule type="expression" dxfId="5412" priority="6728">
      <formula>#REF! = "obiectiv"</formula>
    </cfRule>
  </conditionalFormatting>
  <conditionalFormatting sqref="J1282:IU1283 K1281:IU1281 J1285:IU1288 J1284:K1284 Q1284:IU1284 J1279:IU1280">
    <cfRule type="expression" dxfId="5411" priority="7097">
      <formula>#REF! = "produs"</formula>
    </cfRule>
    <cfRule type="expression" dxfId="5410" priority="7098">
      <formula>#REF! = "obiectiv"</formula>
    </cfRule>
  </conditionalFormatting>
  <conditionalFormatting sqref="W1146:IU1155">
    <cfRule type="expression" dxfId="5409" priority="6783">
      <formula>#REF! = "produs"</formula>
    </cfRule>
    <cfRule type="expression" dxfId="5408" priority="6784">
      <formula>#REF! = "obiectiv"</formula>
    </cfRule>
  </conditionalFormatting>
  <conditionalFormatting sqref="V1146:V1155">
    <cfRule type="expression" dxfId="5407" priority="6793">
      <formula>#REF! = "produs"</formula>
    </cfRule>
    <cfRule type="expression" dxfId="5406" priority="6794">
      <formula>#REF! = "obiectiv"</formula>
    </cfRule>
  </conditionalFormatting>
  <conditionalFormatting sqref="L1047:P1047">
    <cfRule type="expression" dxfId="5405" priority="6707">
      <formula>#REF! = "produs"</formula>
    </cfRule>
    <cfRule type="expression" dxfId="5404" priority="6708">
      <formula>#REF! = "obiectiv"</formula>
    </cfRule>
  </conditionalFormatting>
  <conditionalFormatting sqref="J1146:J1147 J1149:J1155">
    <cfRule type="expression" dxfId="5403" priority="6787">
      <formula>#REF! = "produs"</formula>
    </cfRule>
    <cfRule type="expression" dxfId="5402" priority="6788">
      <formula>#REF! = "obiectiv"</formula>
    </cfRule>
  </conditionalFormatting>
  <conditionalFormatting sqref="J1151">
    <cfRule type="expression" dxfId="5401" priority="6759">
      <formula>#REF! = "produs"</formula>
    </cfRule>
    <cfRule type="expression" dxfId="5400" priority="6760">
      <formula>#REF! = "obiectiv"</formula>
    </cfRule>
  </conditionalFormatting>
  <conditionalFormatting sqref="K1280:K1281 K1283:K1288">
    <cfRule type="expression" dxfId="5399" priority="7093">
      <formula>#REF! = "produs"</formula>
    </cfRule>
    <cfRule type="expression" dxfId="5398" priority="7094">
      <formula>#REF! = "obiectiv"</formula>
    </cfRule>
  </conditionalFormatting>
  <conditionalFormatting sqref="J1146:K1147 J1149:K1155 K1148 Q1146:IU1155">
    <cfRule type="expression" dxfId="5397" priority="6795">
      <formula>#REF! = "produs"</formula>
    </cfRule>
    <cfRule type="expression" dxfId="5396" priority="6796">
      <formula>#REF! = "obiectiv"</formula>
    </cfRule>
  </conditionalFormatting>
  <conditionalFormatting sqref="L1286:P1286">
    <cfRule type="expression" dxfId="5395" priority="7085">
      <formula>#REF! = "produs"</formula>
    </cfRule>
    <cfRule type="expression" dxfId="5394" priority="7086">
      <formula>#REF! = "obiectiv"</formula>
    </cfRule>
  </conditionalFormatting>
  <conditionalFormatting sqref="K1146:K1155">
    <cfRule type="expression" dxfId="5393" priority="6789">
      <formula>#REF! = "produs"</formula>
    </cfRule>
    <cfRule type="expression" dxfId="5392" priority="6790">
      <formula>#REF! = "obiectiv"</formula>
    </cfRule>
  </conditionalFormatting>
  <conditionalFormatting sqref="Q1146:U1155">
    <cfRule type="expression" dxfId="5391" priority="6785">
      <formula>#REF! = "produs"</formula>
    </cfRule>
    <cfRule type="expression" dxfId="5390" priority="6786">
      <formula>#REF! = "obiectiv"</formula>
    </cfRule>
  </conditionalFormatting>
  <conditionalFormatting sqref="K1146:K1155">
    <cfRule type="expression" dxfId="5389" priority="6781">
      <formula>#REF! = "produs"</formula>
    </cfRule>
    <cfRule type="expression" dxfId="5388" priority="6782">
      <formula>#REF! = "obiectiv"</formula>
    </cfRule>
  </conditionalFormatting>
  <conditionalFormatting sqref="J1330:IU1331 K1332:IU1332 J1333:IU1339">
    <cfRule type="expression" dxfId="5387" priority="6925">
      <formula>#REF! = "produs"</formula>
    </cfRule>
    <cfRule type="expression" dxfId="5386" priority="6926">
      <formula>#REF! = "obiectiv"</formula>
    </cfRule>
  </conditionalFormatting>
  <conditionalFormatting sqref="Q1146:U1155">
    <cfRule type="expression" dxfId="5385" priority="6777">
      <formula>#REF! = "produs"</formula>
    </cfRule>
    <cfRule type="expression" dxfId="5384" priority="6778">
      <formula>#REF! = "obiectiv"</formula>
    </cfRule>
  </conditionalFormatting>
  <conditionalFormatting sqref="V1146:V1155">
    <cfRule type="expression" dxfId="5383" priority="6775">
      <formula>#REF! = "produs"</formula>
    </cfRule>
    <cfRule type="expression" dxfId="5382" priority="6776">
      <formula>#REF! = "obiectiv"</formula>
    </cfRule>
  </conditionalFormatting>
  <conditionalFormatting sqref="W1147:IU1148 W1150:IU1155">
    <cfRule type="expression" dxfId="5381" priority="6773">
      <formula>#REF! = "produs"</formula>
    </cfRule>
    <cfRule type="expression" dxfId="5380" priority="6774">
      <formula>#REF! = "obiectiv"</formula>
    </cfRule>
  </conditionalFormatting>
  <conditionalFormatting sqref="K1147:K1148 K1150:K1155">
    <cfRule type="expression" dxfId="5379" priority="6771">
      <formula>#REF! = "produs"</formula>
    </cfRule>
    <cfRule type="expression" dxfId="5378" priority="6772">
      <formula>#REF! = "obiectiv"</formula>
    </cfRule>
  </conditionalFormatting>
  <conditionalFormatting sqref="K1422:K1431">
    <cfRule type="expression" dxfId="5377" priority="6911">
      <formula>#REF! = "produs"</formula>
    </cfRule>
    <cfRule type="expression" dxfId="5376" priority="6912">
      <formula>#REF! = "obiectiv"</formula>
    </cfRule>
  </conditionalFormatting>
  <conditionalFormatting sqref="J1422:J1423 J1425:J1431">
    <cfRule type="expression" dxfId="5375" priority="6909">
      <formula>#REF! = "produs"</formula>
    </cfRule>
    <cfRule type="expression" dxfId="5374" priority="6910">
      <formula>#REF! = "obiectiv"</formula>
    </cfRule>
  </conditionalFormatting>
  <conditionalFormatting sqref="K1149 W1149:IU1149">
    <cfRule type="expression" dxfId="5373" priority="6757">
      <formula>#REF! = "produs"</formula>
    </cfRule>
    <cfRule type="expression" dxfId="5372" priority="6758">
      <formula>#REF! = "obiectiv"</formula>
    </cfRule>
  </conditionalFormatting>
  <conditionalFormatting sqref="J1221">
    <cfRule type="expression" dxfId="5371" priority="7037">
      <formula>#REF! = "produs"</formula>
    </cfRule>
    <cfRule type="expression" dxfId="5370" priority="7038">
      <formula>#REF! = "obiectiv"</formula>
    </cfRule>
  </conditionalFormatting>
  <conditionalFormatting sqref="J1146">
    <cfRule type="expression" dxfId="5369" priority="6753">
      <formula>#REF! = "produs"</formula>
    </cfRule>
    <cfRule type="expression" dxfId="5368" priority="6754">
      <formula>#REF! = "obiectiv"</formula>
    </cfRule>
  </conditionalFormatting>
  <conditionalFormatting sqref="J1223">
    <cfRule type="expression" dxfId="5367" priority="7041">
      <formula>#REF! = "produs"</formula>
    </cfRule>
    <cfRule type="expression" dxfId="5366" priority="7042">
      <formula>#REF! = "obiectiv"</formula>
    </cfRule>
  </conditionalFormatting>
  <conditionalFormatting sqref="Q1105:U1105">
    <cfRule type="expression" dxfId="5365" priority="6725">
      <formula>#REF! = "produs"</formula>
    </cfRule>
    <cfRule type="expression" dxfId="5364" priority="6726">
      <formula>#REF! = "obiectiv"</formula>
    </cfRule>
  </conditionalFormatting>
  <conditionalFormatting sqref="W1423:IU1424 W1426:IU1431">
    <cfRule type="expression" dxfId="5363" priority="6905">
      <formula>#REF! = "produs"</formula>
    </cfRule>
    <cfRule type="expression" dxfId="5362" priority="6906">
      <formula>#REF! = "obiectiv"</formula>
    </cfRule>
  </conditionalFormatting>
  <conditionalFormatting sqref="J1149">
    <cfRule type="expression" dxfId="5361" priority="6755">
      <formula>#REF! = "produs"</formula>
    </cfRule>
    <cfRule type="expression" dxfId="5360" priority="6756">
      <formula>#REF! = "obiectiv"</formula>
    </cfRule>
  </conditionalFormatting>
  <conditionalFormatting sqref="J1289:IU1290 J1292:IU1293 K1291:IU1291 J1295:IU1298 J1294:K1294 Q1294:IU1294">
    <cfRule type="expression" dxfId="5359" priority="6975">
      <formula>#REF! = "produs"</formula>
    </cfRule>
    <cfRule type="expression" dxfId="5358" priority="6976">
      <formula>#REF! = "obiectiv"</formula>
    </cfRule>
  </conditionalFormatting>
  <conditionalFormatting sqref="W1289:IU1298">
    <cfRule type="expression" dxfId="5357" priority="6973">
      <formula>#REF! = "produs"</formula>
    </cfRule>
    <cfRule type="expression" dxfId="5356" priority="6974">
      <formula>#REF! = "obiectiv"</formula>
    </cfRule>
  </conditionalFormatting>
  <conditionalFormatting sqref="K1221 W1221:IU1221">
    <cfRule type="expression" dxfId="5355" priority="7039">
      <formula>#REF! = "produs"</formula>
    </cfRule>
    <cfRule type="expression" dxfId="5354" priority="7040">
      <formula>#REF! = "obiectiv"</formula>
    </cfRule>
  </conditionalFormatting>
  <conditionalFormatting sqref="J1218">
    <cfRule type="expression" dxfId="5353" priority="7035">
      <formula>#REF! = "produs"</formula>
    </cfRule>
    <cfRule type="expression" dxfId="5352" priority="7036">
      <formula>#REF! = "obiectiv"</formula>
    </cfRule>
  </conditionalFormatting>
  <conditionalFormatting sqref="Q1220:U1226">
    <cfRule type="expression" dxfId="5351" priority="7033">
      <formula>#REF! = "produs"</formula>
    </cfRule>
    <cfRule type="expression" dxfId="5350" priority="7034">
      <formula>#REF! = "obiectiv"</formula>
    </cfRule>
  </conditionalFormatting>
  <conditionalFormatting sqref="Q1218:U1218">
    <cfRule type="expression" dxfId="5349" priority="7031">
      <formula>#REF! = "produs"</formula>
    </cfRule>
    <cfRule type="expression" dxfId="5348" priority="7032">
      <formula>#REF! = "obiectiv"</formula>
    </cfRule>
  </conditionalFormatting>
  <conditionalFormatting sqref="H1218">
    <cfRule type="expression" dxfId="5347" priority="7029">
      <formula>#REF! = "produs"</formula>
    </cfRule>
    <cfRule type="expression" dxfId="5346" priority="7030">
      <formula>#REF! = "obiectiv"</formula>
    </cfRule>
  </conditionalFormatting>
  <conditionalFormatting sqref="G1218">
    <cfRule type="expression" dxfId="5345" priority="7027">
      <formula>#REF! = "produs"</formula>
    </cfRule>
    <cfRule type="expression" dxfId="5344" priority="7028">
      <formula>#REF! = "obiectiv"</formula>
    </cfRule>
  </conditionalFormatting>
  <conditionalFormatting sqref="J1218:K1219 J1221:K1227 K1220 Q1218:IU1227">
    <cfRule type="expression" dxfId="5343" priority="7025">
      <formula>#REF! = "produs"</formula>
    </cfRule>
    <cfRule type="expression" dxfId="5342" priority="7026">
      <formula>#REF! = "obiectiv"</formula>
    </cfRule>
  </conditionalFormatting>
  <conditionalFormatting sqref="J1218:J1219 J1221:J1227">
    <cfRule type="expression" dxfId="5341" priority="7019">
      <formula>#REF! = "produs"</formula>
    </cfRule>
    <cfRule type="expression" dxfId="5340" priority="7020">
      <formula>#REF! = "obiectiv"</formula>
    </cfRule>
  </conditionalFormatting>
  <conditionalFormatting sqref="W1218:IU1227">
    <cfRule type="expression" dxfId="5339" priority="7023">
      <formula>#REF! = "produs"</formula>
    </cfRule>
    <cfRule type="expression" dxfId="5338" priority="7024">
      <formula>#REF! = "obiectiv"</formula>
    </cfRule>
  </conditionalFormatting>
  <conditionalFormatting sqref="K1218:K1227">
    <cfRule type="expression" dxfId="5337" priority="7021">
      <formula>#REF! = "produs"</formula>
    </cfRule>
    <cfRule type="expression" dxfId="5336" priority="7022">
      <formula>#REF! = "obiectiv"</formula>
    </cfRule>
  </conditionalFormatting>
  <conditionalFormatting sqref="J244">
    <cfRule type="expression" dxfId="5335" priority="6413">
      <formula>#REF! = "produs"</formula>
    </cfRule>
    <cfRule type="expression" dxfId="5334" priority="6414">
      <formula>#REF! = "obiectiv"</formula>
    </cfRule>
  </conditionalFormatting>
  <conditionalFormatting sqref="I1095">
    <cfRule type="expression" dxfId="5333" priority="6721">
      <formula>#REF! = "produs"</formula>
    </cfRule>
    <cfRule type="expression" dxfId="5332" priority="6722">
      <formula>#REF! = "obiectiv"</formula>
    </cfRule>
  </conditionalFormatting>
  <conditionalFormatting sqref="L1067:P1067">
    <cfRule type="expression" dxfId="5331" priority="6715">
      <formula>#REF! = "produs"</formula>
    </cfRule>
    <cfRule type="expression" dxfId="5330" priority="6716">
      <formula>#REF! = "obiectiv"</formula>
    </cfRule>
  </conditionalFormatting>
  <conditionalFormatting sqref="L1077:P1077">
    <cfRule type="expression" dxfId="5329" priority="6719">
      <formula>#REF! = "produs"</formula>
    </cfRule>
    <cfRule type="expression" dxfId="5328" priority="6720">
      <formula>#REF! = "obiectiv"</formula>
    </cfRule>
  </conditionalFormatting>
  <conditionalFormatting sqref="L1078:P1078">
    <cfRule type="expression" dxfId="5327" priority="6717">
      <formula>#REF! = "produs"</formula>
    </cfRule>
    <cfRule type="expression" dxfId="5326" priority="6718">
      <formula>#REF! = "obiectiv"</formula>
    </cfRule>
  </conditionalFormatting>
  <conditionalFormatting sqref="L1068:P1068">
    <cfRule type="expression" dxfId="5325" priority="6713">
      <formula>#REF! = "produs"</formula>
    </cfRule>
    <cfRule type="expression" dxfId="5324" priority="6714">
      <formula>#REF! = "obiectiv"</formula>
    </cfRule>
  </conditionalFormatting>
  <conditionalFormatting sqref="J1290 J1297:J1298 J1295 J1293">
    <cfRule type="expression" dxfId="5323" priority="7001">
      <formula>#REF! = "produs"</formula>
    </cfRule>
    <cfRule type="expression" dxfId="5322" priority="7002">
      <formula>#REF! = "obiectiv"</formula>
    </cfRule>
  </conditionalFormatting>
  <conditionalFormatting sqref="J1292">
    <cfRule type="expression" dxfId="5321" priority="6987">
      <formula>#REF! = "produs"</formula>
    </cfRule>
    <cfRule type="expression" dxfId="5320" priority="6988">
      <formula>#REF! = "obiectiv"</formula>
    </cfRule>
  </conditionalFormatting>
  <conditionalFormatting sqref="J1296">
    <cfRule type="expression" dxfId="5319" priority="6997">
      <formula>#REF! = "produs"</formula>
    </cfRule>
    <cfRule type="expression" dxfId="5318" priority="6998">
      <formula>#REF! = "obiectiv"</formula>
    </cfRule>
  </conditionalFormatting>
  <conditionalFormatting sqref="J1294">
    <cfRule type="expression" dxfId="5317" priority="6991">
      <formula>#REF! = "produs"</formula>
    </cfRule>
    <cfRule type="expression" dxfId="5316" priority="6992">
      <formula>#REF! = "obiectiv"</formula>
    </cfRule>
  </conditionalFormatting>
  <conditionalFormatting sqref="W1290:IU1291 W1293:IU1298">
    <cfRule type="expression" dxfId="5315" priority="7005">
      <formula>#REF! = "produs"</formula>
    </cfRule>
    <cfRule type="expression" dxfId="5314" priority="7006">
      <formula>#REF! = "obiectiv"</formula>
    </cfRule>
  </conditionalFormatting>
  <conditionalFormatting sqref="K1290:K1291 K1293:K1298">
    <cfRule type="expression" dxfId="5313" priority="7003">
      <formula>#REF! = "produs"</formula>
    </cfRule>
    <cfRule type="expression" dxfId="5312" priority="7004">
      <formula>#REF! = "obiectiv"</formula>
    </cfRule>
  </conditionalFormatting>
  <conditionalFormatting sqref="L1298:U1298 L1297:P1297 L1293:P1293 L1290:U1290 L1291:P1291">
    <cfRule type="expression" dxfId="5311" priority="6999">
      <formula>#REF! = "produs"</formula>
    </cfRule>
    <cfRule type="expression" dxfId="5310" priority="7000">
      <formula>#REF! = "obiectiv"</formula>
    </cfRule>
  </conditionalFormatting>
  <conditionalFormatting sqref="L1296:P1296">
    <cfRule type="expression" dxfId="5309" priority="6995">
      <formula>#REF! = "produs"</formula>
    </cfRule>
    <cfRule type="expression" dxfId="5308" priority="6996">
      <formula>#REF! = "obiectiv"</formula>
    </cfRule>
  </conditionalFormatting>
  <conditionalFormatting sqref="L1295:P1295">
    <cfRule type="expression" dxfId="5307" priority="6993">
      <formula>#REF! = "produs"</formula>
    </cfRule>
    <cfRule type="expression" dxfId="5306" priority="6994">
      <formula>#REF! = "obiectiv"</formula>
    </cfRule>
  </conditionalFormatting>
  <conditionalFormatting sqref="K1292:P1292 W1292:IU1292">
    <cfRule type="expression" dxfId="5305" priority="6989">
      <formula>#REF! = "produs"</formula>
    </cfRule>
    <cfRule type="expression" dxfId="5304" priority="6990">
      <formula>#REF! = "obiectiv"</formula>
    </cfRule>
  </conditionalFormatting>
  <conditionalFormatting sqref="J1289">
    <cfRule type="expression" dxfId="5303" priority="6985">
      <formula>#REF! = "produs"</formula>
    </cfRule>
    <cfRule type="expression" dxfId="5302" priority="6986">
      <formula>#REF! = "obiectiv"</formula>
    </cfRule>
  </conditionalFormatting>
  <conditionalFormatting sqref="Q1291:U1297">
    <cfRule type="expression" dxfId="5301" priority="6983">
      <formula>#REF! = "produs"</formula>
    </cfRule>
    <cfRule type="expression" dxfId="5300" priority="6984">
      <formula>#REF! = "obiectiv"</formula>
    </cfRule>
  </conditionalFormatting>
  <conditionalFormatting sqref="Q1289:U1289">
    <cfRule type="expression" dxfId="5299" priority="6981">
      <formula>#REF! = "produs"</formula>
    </cfRule>
    <cfRule type="expression" dxfId="5298" priority="6982">
      <formula>#REF! = "obiectiv"</formula>
    </cfRule>
  </conditionalFormatting>
  <conditionalFormatting sqref="H1289">
    <cfRule type="expression" dxfId="5297" priority="6979">
      <formula>#REF! = "produs"</formula>
    </cfRule>
    <cfRule type="expression" dxfId="5296" priority="6980">
      <formula>#REF! = "obiectiv"</formula>
    </cfRule>
  </conditionalFormatting>
  <conditionalFormatting sqref="G1289">
    <cfRule type="expression" dxfId="5295" priority="6977">
      <formula>#REF! = "produs"</formula>
    </cfRule>
    <cfRule type="expression" dxfId="5294" priority="6978">
      <formula>#REF! = "obiectiv"</formula>
    </cfRule>
  </conditionalFormatting>
  <conditionalFormatting sqref="J1427">
    <cfRule type="expression" dxfId="5293" priority="6891">
      <formula>#REF! = "produs"</formula>
    </cfRule>
    <cfRule type="expression" dxfId="5292" priority="6892">
      <formula>#REF! = "obiectiv"</formula>
    </cfRule>
  </conditionalFormatting>
  <conditionalFormatting sqref="J1289:J1290 J1292:J1298">
    <cfRule type="expression" dxfId="5291" priority="6969">
      <formula>#REF! = "produs"</formula>
    </cfRule>
    <cfRule type="expression" dxfId="5290" priority="6970">
      <formula>#REF! = "obiectiv"</formula>
    </cfRule>
  </conditionalFormatting>
  <conditionalFormatting sqref="W1330:IU1339">
    <cfRule type="expression" dxfId="5289" priority="6923">
      <formula>#REF! = "produs"</formula>
    </cfRule>
    <cfRule type="expression" dxfId="5288" priority="6924">
      <formula>#REF! = "obiectiv"</formula>
    </cfRule>
  </conditionalFormatting>
  <conditionalFormatting sqref="K1289:K1298">
    <cfRule type="expression" dxfId="5287" priority="6971">
      <formula>#REF! = "produs"</formula>
    </cfRule>
    <cfRule type="expression" dxfId="5286" priority="6972">
      <formula>#REF! = "obiectiv"</formula>
    </cfRule>
  </conditionalFormatting>
  <conditionalFormatting sqref="J1330:IU1331 K1332:IU1332 J1333:IU1339">
    <cfRule type="expression" dxfId="5285" priority="6965">
      <formula>#REF! = "produs"</formula>
    </cfRule>
    <cfRule type="expression" dxfId="5284" priority="6966">
      <formula>#REF! = "obiectiv"</formula>
    </cfRule>
  </conditionalFormatting>
  <conditionalFormatting sqref="J1330:J1331 J1333:J1339">
    <cfRule type="expression" dxfId="5283" priority="6959">
      <formula>#REF! = "produs"</formula>
    </cfRule>
    <cfRule type="expression" dxfId="5282" priority="6960">
      <formula>#REF! = "obiectiv"</formula>
    </cfRule>
  </conditionalFormatting>
  <conditionalFormatting sqref="W1330:IU1339">
    <cfRule type="expression" dxfId="5281" priority="6963">
      <formula>#REF! = "produs"</formula>
    </cfRule>
    <cfRule type="expression" dxfId="5280" priority="6964">
      <formula>#REF! = "obiectiv"</formula>
    </cfRule>
  </conditionalFormatting>
  <conditionalFormatting sqref="K1330:K1339">
    <cfRule type="expression" dxfId="5279" priority="6961">
      <formula>#REF! = "produs"</formula>
    </cfRule>
    <cfRule type="expression" dxfId="5278" priority="6962">
      <formula>#REF! = "obiectiv"</formula>
    </cfRule>
  </conditionalFormatting>
  <conditionalFormatting sqref="L1330:U1339">
    <cfRule type="expression" dxfId="5277" priority="6957">
      <formula>#REF! = "produs"</formula>
    </cfRule>
    <cfRule type="expression" dxfId="5276" priority="6958">
      <formula>#REF! = "obiectiv"</formula>
    </cfRule>
  </conditionalFormatting>
  <conditionalFormatting sqref="J1331 J1338:J1339 J1336 J1334">
    <cfRule type="expression" dxfId="5275" priority="6951">
      <formula>#REF! = "produs"</formula>
    </cfRule>
    <cfRule type="expression" dxfId="5274" priority="6952">
      <formula>#REF! = "obiectiv"</formula>
    </cfRule>
  </conditionalFormatting>
  <conditionalFormatting sqref="J1333">
    <cfRule type="expression" dxfId="5273" priority="6937">
      <formula>#REF! = "produs"</formula>
    </cfRule>
    <cfRule type="expression" dxfId="5272" priority="6938">
      <formula>#REF! = "obiectiv"</formula>
    </cfRule>
  </conditionalFormatting>
  <conditionalFormatting sqref="W900:IU909">
    <cfRule type="expression" dxfId="5271" priority="6581">
      <formula>#REF! = "produs"</formula>
    </cfRule>
    <cfRule type="expression" dxfId="5270" priority="6582">
      <formula>#REF! = "obiectiv"</formula>
    </cfRule>
  </conditionalFormatting>
  <conditionalFormatting sqref="Q900:U900 L901:U909">
    <cfRule type="expression" dxfId="5269" priority="6575">
      <formula>#REF! = "produs"</formula>
    </cfRule>
    <cfRule type="expression" dxfId="5268" priority="6576">
      <formula>#REF! = "obiectiv"</formula>
    </cfRule>
  </conditionalFormatting>
  <conditionalFormatting sqref="W1331:IU1332 W1334:IU1339">
    <cfRule type="expression" dxfId="5267" priority="6955">
      <formula>#REF! = "produs"</formula>
    </cfRule>
    <cfRule type="expression" dxfId="5266" priority="6956">
      <formula>#REF! = "obiectiv"</formula>
    </cfRule>
  </conditionalFormatting>
  <conditionalFormatting sqref="H890">
    <cfRule type="expression" dxfId="5265" priority="6587">
      <formula>#REF! = "produs"</formula>
    </cfRule>
    <cfRule type="expression" dxfId="5264" priority="6588">
      <formula>#REF! = "obiectiv"</formula>
    </cfRule>
  </conditionalFormatting>
  <conditionalFormatting sqref="V900:V909">
    <cfRule type="expression" dxfId="5263" priority="6583">
      <formula>#REF! = "produs"</formula>
    </cfRule>
    <cfRule type="expression" dxfId="5262" priority="6584">
      <formula>#REF! = "obiectiv"</formula>
    </cfRule>
  </conditionalFormatting>
  <conditionalFormatting sqref="K900:K909">
    <cfRule type="expression" dxfId="5261" priority="6579">
      <formula>#REF! = "produs"</formula>
    </cfRule>
    <cfRule type="expression" dxfId="5260" priority="6580">
      <formula>#REF! = "obiectiv"</formula>
    </cfRule>
  </conditionalFormatting>
  <conditionalFormatting sqref="J900:J901 J903:J909">
    <cfRule type="expression" dxfId="5259" priority="6577">
      <formula>#REF! = "produs"</formula>
    </cfRule>
    <cfRule type="expression" dxfId="5258" priority="6578">
      <formula>#REF! = "obiectiv"</formula>
    </cfRule>
  </conditionalFormatting>
  <conditionalFormatting sqref="J1330">
    <cfRule type="expression" dxfId="5257" priority="6935">
      <formula>#REF! = "produs"</formula>
    </cfRule>
    <cfRule type="expression" dxfId="5256" priority="6936">
      <formula>#REF! = "obiectiv"</formula>
    </cfRule>
  </conditionalFormatting>
  <conditionalFormatting sqref="Q1332:U1338">
    <cfRule type="expression" dxfId="5255" priority="6933">
      <formula>#REF! = "produs"</formula>
    </cfRule>
    <cfRule type="expression" dxfId="5254" priority="6934">
      <formula>#REF! = "obiectiv"</formula>
    </cfRule>
  </conditionalFormatting>
  <conditionalFormatting sqref="Q1330:U1330">
    <cfRule type="expression" dxfId="5253" priority="6931">
      <formula>#REF! = "produs"</formula>
    </cfRule>
    <cfRule type="expression" dxfId="5252" priority="6932">
      <formula>#REF! = "obiectiv"</formula>
    </cfRule>
  </conditionalFormatting>
  <conditionalFormatting sqref="H1330">
    <cfRule type="expression" dxfId="5251" priority="6929">
      <formula>#REF! = "produs"</formula>
    </cfRule>
    <cfRule type="expression" dxfId="5250" priority="6930">
      <formula>#REF! = "obiectiv"</formula>
    </cfRule>
  </conditionalFormatting>
  <conditionalFormatting sqref="G1330">
    <cfRule type="expression" dxfId="5249" priority="6927">
      <formula>#REF! = "produs"</formula>
    </cfRule>
    <cfRule type="expression" dxfId="5248" priority="6928">
      <formula>#REF! = "obiectiv"</formula>
    </cfRule>
  </conditionalFormatting>
  <conditionalFormatting sqref="J1330:J1331 J1333:J1339">
    <cfRule type="expression" dxfId="5247" priority="6919">
      <formula>#REF! = "produs"</formula>
    </cfRule>
    <cfRule type="expression" dxfId="5246" priority="6920">
      <formula>#REF! = "obiectiv"</formula>
    </cfRule>
  </conditionalFormatting>
  <conditionalFormatting sqref="K1425:P1425 W1425:IU1425">
    <cfRule type="expression" dxfId="5245" priority="6889">
      <formula>#REF! = "produs"</formula>
    </cfRule>
    <cfRule type="expression" dxfId="5244" priority="6890">
      <formula>#REF! = "obiectiv"</formula>
    </cfRule>
  </conditionalFormatting>
  <conditionalFormatting sqref="K1330:K1339">
    <cfRule type="expression" dxfId="5243" priority="6921">
      <formula>#REF! = "produs"</formula>
    </cfRule>
    <cfRule type="expression" dxfId="5242" priority="6922">
      <formula>#REF! = "obiectiv"</formula>
    </cfRule>
  </conditionalFormatting>
  <conditionalFormatting sqref="L1330:U1339">
    <cfRule type="expression" dxfId="5241" priority="6917">
      <formula>#REF! = "produs"</formula>
    </cfRule>
    <cfRule type="expression" dxfId="5240" priority="6918">
      <formula>#REF! = "obiectiv"</formula>
    </cfRule>
  </conditionalFormatting>
  <conditionalFormatting sqref="J1422:IU1423 J1425:IU1431 K1424:IU1424">
    <cfRule type="expression" dxfId="5239" priority="6915">
      <formula>#REF! = "produs"</formula>
    </cfRule>
    <cfRule type="expression" dxfId="5238" priority="6916">
      <formula>#REF! = "obiectiv"</formula>
    </cfRule>
  </conditionalFormatting>
  <conditionalFormatting sqref="W1422:IU1431">
    <cfRule type="expression" dxfId="5237" priority="6913">
      <formula>#REF! = "produs"</formula>
    </cfRule>
    <cfRule type="expression" dxfId="5236" priority="6914">
      <formula>#REF! = "obiectiv"</formula>
    </cfRule>
  </conditionalFormatting>
  <conditionalFormatting sqref="L1422:U1431">
    <cfRule type="expression" dxfId="5235" priority="6907">
      <formula>#REF! = "produs"</formula>
    </cfRule>
    <cfRule type="expression" dxfId="5234" priority="6908">
      <formula>#REF! = "obiectiv"</formula>
    </cfRule>
  </conditionalFormatting>
  <conditionalFormatting sqref="J1423 J1430:J1431 J1428 J1426">
    <cfRule type="expression" dxfId="5233" priority="6901">
      <formula>#REF! = "produs"</formula>
    </cfRule>
    <cfRule type="expression" dxfId="5232" priority="6902">
      <formula>#REF! = "obiectiv"</formula>
    </cfRule>
  </conditionalFormatting>
  <conditionalFormatting sqref="J1425">
    <cfRule type="expression" dxfId="5231" priority="6887">
      <formula>#REF! = "produs"</formula>
    </cfRule>
    <cfRule type="expression" dxfId="5230" priority="6888">
      <formula>#REF! = "obiectiv"</formula>
    </cfRule>
  </conditionalFormatting>
  <conditionalFormatting sqref="J1429">
    <cfRule type="expression" dxfId="5229" priority="6897">
      <formula>#REF! = "produs"</formula>
    </cfRule>
    <cfRule type="expression" dxfId="5228" priority="6898">
      <formula>#REF! = "obiectiv"</formula>
    </cfRule>
  </conditionalFormatting>
  <conditionalFormatting sqref="J944 J951:J952 J949 J947">
    <cfRule type="expression" dxfId="5227" priority="6859">
      <formula>#REF! = "produs"</formula>
    </cfRule>
    <cfRule type="expression" dxfId="5226" priority="6860">
      <formula>#REF! = "obiectiv"</formula>
    </cfRule>
  </conditionalFormatting>
  <conditionalFormatting sqref="K1423:K1424 K1426:K1431">
    <cfRule type="expression" dxfId="5225" priority="6903">
      <formula>#REF! = "produs"</formula>
    </cfRule>
    <cfRule type="expression" dxfId="5224" priority="6904">
      <formula>#REF! = "obiectiv"</formula>
    </cfRule>
  </conditionalFormatting>
  <conditionalFormatting sqref="L1431:U1431 L1430:P1430 L1426:P1427 L1423:U1423 L1424:P1424">
    <cfRule type="expression" dxfId="5223" priority="6899">
      <formula>#REF! = "produs"</formula>
    </cfRule>
    <cfRule type="expression" dxfId="5222" priority="6900">
      <formula>#REF! = "obiectiv"</formula>
    </cfRule>
  </conditionalFormatting>
  <conditionalFormatting sqref="L1429:P1429">
    <cfRule type="expression" dxfId="5221" priority="6895">
      <formula>#REF! = "produs"</formula>
    </cfRule>
    <cfRule type="expression" dxfId="5220" priority="6896">
      <formula>#REF! = "obiectiv"</formula>
    </cfRule>
  </conditionalFormatting>
  <conditionalFormatting sqref="L1428:P1428">
    <cfRule type="expression" dxfId="5219" priority="6893">
      <formula>#REF! = "produs"</formula>
    </cfRule>
    <cfRule type="expression" dxfId="5218" priority="6894">
      <formula>#REF! = "obiectiv"</formula>
    </cfRule>
  </conditionalFormatting>
  <conditionalFormatting sqref="Q952:U952 Q944:U944">
    <cfRule type="expression" dxfId="5217" priority="6857">
      <formula>#REF! = "produs"</formula>
    </cfRule>
    <cfRule type="expression" dxfId="5216" priority="6858">
      <formula>#REF! = "obiectiv"</formula>
    </cfRule>
  </conditionalFormatting>
  <conditionalFormatting sqref="J1422">
    <cfRule type="expression" dxfId="5215" priority="6885">
      <formula>#REF! = "produs"</formula>
    </cfRule>
    <cfRule type="expression" dxfId="5214" priority="6886">
      <formula>#REF! = "obiectiv"</formula>
    </cfRule>
  </conditionalFormatting>
  <conditionalFormatting sqref="Q1424:U1430">
    <cfRule type="expression" dxfId="5213" priority="6883">
      <formula>#REF! = "produs"</formula>
    </cfRule>
    <cfRule type="expression" dxfId="5212" priority="6884">
      <formula>#REF! = "obiectiv"</formula>
    </cfRule>
  </conditionalFormatting>
  <conditionalFormatting sqref="Q1422:U1422">
    <cfRule type="expression" dxfId="5211" priority="6881">
      <formula>#REF! = "produs"</formula>
    </cfRule>
    <cfRule type="expression" dxfId="5210" priority="6882">
      <formula>#REF! = "obiectiv"</formula>
    </cfRule>
  </conditionalFormatting>
  <conditionalFormatting sqref="H1422">
    <cfRule type="expression" dxfId="5209" priority="6879">
      <formula>#REF! = "produs"</formula>
    </cfRule>
    <cfRule type="expression" dxfId="5208" priority="6880">
      <formula>#REF! = "obiectiv"</formula>
    </cfRule>
  </conditionalFormatting>
  <conditionalFormatting sqref="G1422">
    <cfRule type="expression" dxfId="5207" priority="6877">
      <formula>#REF! = "produs"</formula>
    </cfRule>
    <cfRule type="expression" dxfId="5206" priority="6878">
      <formula>#REF! = "obiectiv"</formula>
    </cfRule>
  </conditionalFormatting>
  <conditionalFormatting sqref="J1422:IU1423 J1425:IU1431 K1424:IU1424">
    <cfRule type="expression" dxfId="5205" priority="6875">
      <formula>#REF! = "produs"</formula>
    </cfRule>
    <cfRule type="expression" dxfId="5204" priority="6876">
      <formula>#REF! = "obiectiv"</formula>
    </cfRule>
  </conditionalFormatting>
  <conditionalFormatting sqref="J1422:J1423 J1425:J1431">
    <cfRule type="expression" dxfId="5203" priority="6869">
      <formula>#REF! = "produs"</formula>
    </cfRule>
    <cfRule type="expression" dxfId="5202" priority="6870">
      <formula>#REF! = "obiectiv"</formula>
    </cfRule>
  </conditionalFormatting>
  <conditionalFormatting sqref="W1422:IU1431">
    <cfRule type="expression" dxfId="5201" priority="6873">
      <formula>#REF! = "produs"</formula>
    </cfRule>
    <cfRule type="expression" dxfId="5200" priority="6874">
      <formula>#REF! = "obiectiv"</formula>
    </cfRule>
  </conditionalFormatting>
  <conditionalFormatting sqref="K1422:K1431">
    <cfRule type="expression" dxfId="5199" priority="6871">
      <formula>#REF! = "produs"</formula>
    </cfRule>
    <cfRule type="expression" dxfId="5198" priority="6872">
      <formula>#REF! = "obiectiv"</formula>
    </cfRule>
  </conditionalFormatting>
  <conditionalFormatting sqref="L1422:U1431">
    <cfRule type="expression" dxfId="5197" priority="6867">
      <formula>#REF! = "produs"</formula>
    </cfRule>
    <cfRule type="expression" dxfId="5196" priority="6868">
      <formula>#REF! = "obiectiv"</formula>
    </cfRule>
  </conditionalFormatting>
  <conditionalFormatting sqref="V943:V952">
    <cfRule type="expression" dxfId="5195" priority="6865">
      <formula>#REF! = "produs"</formula>
    </cfRule>
    <cfRule type="expression" dxfId="5194" priority="6866">
      <formula>#REF! = "obiectiv"</formula>
    </cfRule>
  </conditionalFormatting>
  <conditionalFormatting sqref="J950">
    <cfRule type="expression" dxfId="5193" priority="6855">
      <formula>#REF! = "produs"</formula>
    </cfRule>
    <cfRule type="expression" dxfId="5192" priority="6856">
      <formula>#REF! = "obiectiv"</formula>
    </cfRule>
  </conditionalFormatting>
  <conditionalFormatting sqref="L848:P848">
    <cfRule type="expression" dxfId="5191" priority="6523">
      <formula>#REF! = "produs"</formula>
    </cfRule>
    <cfRule type="expression" dxfId="5190" priority="6524">
      <formula>#REF! = "obiectiv"</formula>
    </cfRule>
  </conditionalFormatting>
  <conditionalFormatting sqref="J946">
    <cfRule type="expression" dxfId="5189" priority="6845">
      <formula>#REF! = "produs"</formula>
    </cfRule>
    <cfRule type="expression" dxfId="5188" priority="6846">
      <formula>#REF! = "obiectiv"</formula>
    </cfRule>
  </conditionalFormatting>
  <conditionalFormatting sqref="J948">
    <cfRule type="expression" dxfId="5187" priority="6849">
      <formula>#REF! = "produs"</formula>
    </cfRule>
    <cfRule type="expression" dxfId="5186" priority="6850">
      <formula>#REF! = "obiectiv"</formula>
    </cfRule>
  </conditionalFormatting>
  <conditionalFormatting sqref="W944:IU945 W947:IU952">
    <cfRule type="expression" dxfId="5185" priority="6863">
      <formula>#REF! = "produs"</formula>
    </cfRule>
    <cfRule type="expression" dxfId="5184" priority="6864">
      <formula>#REF! = "obiectiv"</formula>
    </cfRule>
  </conditionalFormatting>
  <conditionalFormatting sqref="K947:K952 K944:K945">
    <cfRule type="expression" dxfId="5183" priority="6861">
      <formula>#REF! = "produs"</formula>
    </cfRule>
    <cfRule type="expression" dxfId="5182" priority="6862">
      <formula>#REF! = "obiectiv"</formula>
    </cfRule>
  </conditionalFormatting>
  <conditionalFormatting sqref="Q943:U943">
    <cfRule type="expression" dxfId="5181" priority="6839">
      <formula>#REF! = "produs"</formula>
    </cfRule>
    <cfRule type="expression" dxfId="5180" priority="6840">
      <formula>#REF! = "obiectiv"</formula>
    </cfRule>
  </conditionalFormatting>
  <conditionalFormatting sqref="H943">
    <cfRule type="expression" dxfId="5179" priority="6837">
      <formula>#REF! = "produs"</formula>
    </cfRule>
    <cfRule type="expression" dxfId="5178" priority="6838">
      <formula>#REF! = "obiectiv"</formula>
    </cfRule>
  </conditionalFormatting>
  <conditionalFormatting sqref="K946 W946:IU946">
    <cfRule type="expression" dxfId="5177" priority="6847">
      <formula>#REF! = "produs"</formula>
    </cfRule>
    <cfRule type="expression" dxfId="5176" priority="6848">
      <formula>#REF! = "obiectiv"</formula>
    </cfRule>
  </conditionalFormatting>
  <conditionalFormatting sqref="J943">
    <cfRule type="expression" dxfId="5175" priority="6843">
      <formula>#REF! = "produs"</formula>
    </cfRule>
    <cfRule type="expression" dxfId="5174" priority="6844">
      <formula>#REF! = "obiectiv"</formula>
    </cfRule>
  </conditionalFormatting>
  <conditionalFormatting sqref="Q945:U951">
    <cfRule type="expression" dxfId="5173" priority="6841">
      <formula>#REF! = "produs"</formula>
    </cfRule>
    <cfRule type="expression" dxfId="5172" priority="6842">
      <formula>#REF! = "obiectiv"</formula>
    </cfRule>
  </conditionalFormatting>
  <conditionalFormatting sqref="L1048:P1048">
    <cfRule type="expression" dxfId="5171" priority="6705">
      <formula>#REF! = "produs"</formula>
    </cfRule>
    <cfRule type="expression" dxfId="5170" priority="6706">
      <formula>#REF! = "obiectiv"</formula>
    </cfRule>
  </conditionalFormatting>
  <conditionalFormatting sqref="L889:U889 L888:P888 L881:U881 L884:P885 L882:P882">
    <cfRule type="expression" dxfId="5169" priority="6653">
      <formula>#REF! = "produs"</formula>
    </cfRule>
    <cfRule type="expression" dxfId="5168" priority="6654">
      <formula>#REF! = "obiectiv"</formula>
    </cfRule>
  </conditionalFormatting>
  <conditionalFormatting sqref="V933:V942">
    <cfRule type="expression" dxfId="5167" priority="6833">
      <formula>#REF! = "produs"</formula>
    </cfRule>
    <cfRule type="expression" dxfId="5166" priority="6834">
      <formula>#REF! = "obiectiv"</formula>
    </cfRule>
  </conditionalFormatting>
  <conditionalFormatting sqref="Q1146:U1146">
    <cfRule type="expression" dxfId="5165" priority="6749">
      <formula>#REF! = "produs"</formula>
    </cfRule>
    <cfRule type="expression" dxfId="5164" priority="6750">
      <formula>#REF! = "obiectiv"</formula>
    </cfRule>
  </conditionalFormatting>
  <conditionalFormatting sqref="J940">
    <cfRule type="expression" dxfId="5163" priority="6823">
      <formula>#REF! = "produs"</formula>
    </cfRule>
    <cfRule type="expression" dxfId="5162" priority="6824">
      <formula>#REF! = "obiectiv"</formula>
    </cfRule>
  </conditionalFormatting>
  <conditionalFormatting sqref="J934 J941:J942 J939 J937">
    <cfRule type="expression" dxfId="5161" priority="6827">
      <formula>#REF! = "produs"</formula>
    </cfRule>
    <cfRule type="expression" dxfId="5160" priority="6828">
      <formula>#REF! = "obiectiv"</formula>
    </cfRule>
  </conditionalFormatting>
  <conditionalFormatting sqref="J936">
    <cfRule type="expression" dxfId="5159" priority="6813">
      <formula>#REF! = "produs"</formula>
    </cfRule>
    <cfRule type="expression" dxfId="5158" priority="6814">
      <formula>#REF! = "obiectiv"</formula>
    </cfRule>
  </conditionalFormatting>
  <conditionalFormatting sqref="J938">
    <cfRule type="expression" dxfId="5157" priority="6817">
      <formula>#REF! = "produs"</formula>
    </cfRule>
    <cfRule type="expression" dxfId="5156" priority="6818">
      <formula>#REF! = "obiectiv"</formula>
    </cfRule>
  </conditionalFormatting>
  <conditionalFormatting sqref="W934:IU935 W937:IU942">
    <cfRule type="expression" dxfId="5155" priority="6831">
      <formula>#REF! = "produs"</formula>
    </cfRule>
    <cfRule type="expression" dxfId="5154" priority="6832">
      <formula>#REF! = "obiectiv"</formula>
    </cfRule>
  </conditionalFormatting>
  <conditionalFormatting sqref="K935 K937:K942">
    <cfRule type="expression" dxfId="5153" priority="6829">
      <formula>#REF! = "produs"</formula>
    </cfRule>
    <cfRule type="expression" dxfId="5152" priority="6830">
      <formula>#REF! = "obiectiv"</formula>
    </cfRule>
  </conditionalFormatting>
  <conditionalFormatting sqref="L942:U942 L941:P941 L937:P938 L934:U934 L935:P935">
    <cfRule type="expression" dxfId="5151" priority="6825">
      <formula>#REF! = "produs"</formula>
    </cfRule>
    <cfRule type="expression" dxfId="5150" priority="6826">
      <formula>#REF! = "obiectiv"</formula>
    </cfRule>
  </conditionalFormatting>
  <conditionalFormatting sqref="L940:P940">
    <cfRule type="expression" dxfId="5149" priority="6821">
      <formula>#REF! = "produs"</formula>
    </cfRule>
    <cfRule type="expression" dxfId="5148" priority="6822">
      <formula>#REF! = "obiectiv"</formula>
    </cfRule>
  </conditionalFormatting>
  <conditionalFormatting sqref="L939:P939">
    <cfRule type="expression" dxfId="5147" priority="6819">
      <formula>#REF! = "produs"</formula>
    </cfRule>
    <cfRule type="expression" dxfId="5146" priority="6820">
      <formula>#REF! = "obiectiv"</formula>
    </cfRule>
  </conditionalFormatting>
  <conditionalFormatting sqref="K936:P936 W936:IU936">
    <cfRule type="expression" dxfId="5145" priority="6815">
      <formula>#REF! = "produs"</formula>
    </cfRule>
    <cfRule type="expression" dxfId="5144" priority="6816">
      <formula>#REF! = "obiectiv"</formula>
    </cfRule>
  </conditionalFormatting>
  <conditionalFormatting sqref="J933">
    <cfRule type="expression" dxfId="5143" priority="6811">
      <formula>#REF! = "produs"</formula>
    </cfRule>
    <cfRule type="expression" dxfId="5142" priority="6812">
      <formula>#REF! = "obiectiv"</formula>
    </cfRule>
  </conditionalFormatting>
  <conditionalFormatting sqref="Q935:U941">
    <cfRule type="expression" dxfId="5141" priority="6809">
      <formula>#REF! = "produs"</formula>
    </cfRule>
    <cfRule type="expression" dxfId="5140" priority="6810">
      <formula>#REF! = "obiectiv"</formula>
    </cfRule>
  </conditionalFormatting>
  <conditionalFormatting sqref="Q933:U933">
    <cfRule type="expression" dxfId="5139" priority="6807">
      <formula>#REF! = "produs"</formula>
    </cfRule>
    <cfRule type="expression" dxfId="5138" priority="6808">
      <formula>#REF! = "obiectiv"</formula>
    </cfRule>
  </conditionalFormatting>
  <conditionalFormatting sqref="H933">
    <cfRule type="expression" dxfId="5137" priority="6805">
      <formula>#REF! = "produs"</formula>
    </cfRule>
    <cfRule type="expression" dxfId="5136" priority="6806">
      <formula>#REF! = "obiectiv"</formula>
    </cfRule>
  </conditionalFormatting>
  <conditionalFormatting sqref="G933">
    <cfRule type="expression" dxfId="5135" priority="6803">
      <formula>#REF! = "produs"</formula>
    </cfRule>
    <cfRule type="expression" dxfId="5134" priority="6804">
      <formula>#REF! = "obiectiv"</formula>
    </cfRule>
  </conditionalFormatting>
  <conditionalFormatting sqref="L843:P843">
    <cfRule type="expression" dxfId="5133" priority="6527">
      <formula>#REF! = "produs"</formula>
    </cfRule>
    <cfRule type="expression" dxfId="5132" priority="6528">
      <formula>#REF! = "obiectiv"</formula>
    </cfRule>
  </conditionalFormatting>
  <conditionalFormatting sqref="I1075">
    <cfRule type="expression" dxfId="5131" priority="6799">
      <formula>#REF! = "produs"</formula>
    </cfRule>
    <cfRule type="expression" dxfId="5130" priority="6800">
      <formula>#REF! = "obiectiv"</formula>
    </cfRule>
  </conditionalFormatting>
  <conditionalFormatting sqref="Q1148:U1154">
    <cfRule type="expression" dxfId="5129" priority="6751">
      <formula>#REF! = "produs"</formula>
    </cfRule>
    <cfRule type="expression" dxfId="5128" priority="6752">
      <formula>#REF! = "obiectiv"</formula>
    </cfRule>
  </conditionalFormatting>
  <conditionalFormatting sqref="W1146:IU1155">
    <cfRule type="expression" dxfId="5127" priority="6791">
      <formula>#REF! = "produs"</formula>
    </cfRule>
    <cfRule type="expression" dxfId="5126" priority="6792">
      <formula>#REF! = "obiectiv"</formula>
    </cfRule>
  </conditionalFormatting>
  <conditionalFormatting sqref="L833:P833">
    <cfRule type="expression" dxfId="5125" priority="6515">
      <formula>#REF! = "produs"</formula>
    </cfRule>
    <cfRule type="expression" dxfId="5124" priority="6516">
      <formula>#REF! = "obiectiv"</formula>
    </cfRule>
  </conditionalFormatting>
  <conditionalFormatting sqref="J887">
    <cfRule type="expression" dxfId="5123" priority="6651">
      <formula>#REF! = "produs"</formula>
    </cfRule>
    <cfRule type="expression" dxfId="5122" priority="6652">
      <formula>#REF! = "obiectiv"</formula>
    </cfRule>
  </conditionalFormatting>
  <conditionalFormatting sqref="I1115">
    <cfRule type="expression" dxfId="5121" priority="6743">
      <formula>#REF! = "produs"</formula>
    </cfRule>
    <cfRule type="expression" dxfId="5120" priority="6744">
      <formula>#REF! = "obiectiv"</formula>
    </cfRule>
  </conditionalFormatting>
  <conditionalFormatting sqref="G1146">
    <cfRule type="expression" dxfId="5119" priority="6747">
      <formula>#REF! = "produs"</formula>
    </cfRule>
    <cfRule type="expression" dxfId="5118" priority="6748">
      <formula>#REF! = "obiectiv"</formula>
    </cfRule>
  </conditionalFormatting>
  <conditionalFormatting sqref="H1146">
    <cfRule type="expression" dxfId="5117" priority="6745">
      <formula>#REF! = "produs"</formula>
    </cfRule>
    <cfRule type="expression" dxfId="5116" priority="6746">
      <formula>#REF! = "obiectiv"</formula>
    </cfRule>
  </conditionalFormatting>
  <conditionalFormatting sqref="K1105:P1110">
    <cfRule type="expression" dxfId="5115" priority="6741">
      <formula>#REF! = "produs"</formula>
    </cfRule>
    <cfRule type="expression" dxfId="5114" priority="6742">
      <formula>#REF! = "obiectiv"</formula>
    </cfRule>
  </conditionalFormatting>
  <conditionalFormatting sqref="L1105:P1105 K1105:K1110">
    <cfRule type="expression" dxfId="5113" priority="6739">
      <formula>#REF! = "produs"</formula>
    </cfRule>
    <cfRule type="expression" dxfId="5112" priority="6740">
      <formula>#REF! = "obiectiv"</formula>
    </cfRule>
  </conditionalFormatting>
  <conditionalFormatting sqref="Q1117:U1123">
    <cfRule type="expression" dxfId="5111" priority="6723">
      <formula>#REF! = "produs"</formula>
    </cfRule>
    <cfRule type="expression" dxfId="5110" priority="6724">
      <formula>#REF! = "obiectiv"</formula>
    </cfRule>
  </conditionalFormatting>
  <conditionalFormatting sqref="I1125">
    <cfRule type="expression" dxfId="5109" priority="6729">
      <formula>#REF! = "produs"</formula>
    </cfRule>
    <cfRule type="expression" dxfId="5108" priority="6730">
      <formula>#REF! = "obiectiv"</formula>
    </cfRule>
  </conditionalFormatting>
  <conditionalFormatting sqref="L1106:P1107 L1109:P1110">
    <cfRule type="expression" dxfId="5107" priority="6733">
      <formula>#REF! = "produs"</formula>
    </cfRule>
    <cfRule type="expression" dxfId="5106" priority="6734">
      <formula>#REF! = "obiectiv"</formula>
    </cfRule>
  </conditionalFormatting>
  <conditionalFormatting sqref="L1105:P1110">
    <cfRule type="expression" dxfId="5105" priority="6737">
      <formula>#REF! = "produs"</formula>
    </cfRule>
    <cfRule type="expression" dxfId="5104" priority="6738">
      <formula>#REF! = "obiectiv"</formula>
    </cfRule>
  </conditionalFormatting>
  <conditionalFormatting sqref="K1106:K1107 K1109:K1110">
    <cfRule type="expression" dxfId="5103" priority="6735">
      <formula>#REF! = "produs"</formula>
    </cfRule>
    <cfRule type="expression" dxfId="5102" priority="6736">
      <formula>#REF! = "obiectiv"</formula>
    </cfRule>
  </conditionalFormatting>
  <conditionalFormatting sqref="K1108:P1108">
    <cfRule type="expression" dxfId="5101" priority="6731">
      <formula>#REF! = "produs"</formula>
    </cfRule>
    <cfRule type="expression" dxfId="5100" priority="6732">
      <formula>#REF! = "obiectiv"</formula>
    </cfRule>
  </conditionalFormatting>
  <conditionalFormatting sqref="L885:P885">
    <cfRule type="expression" dxfId="5099" priority="6629">
      <formula>#REF! = "produs"</formula>
    </cfRule>
    <cfRule type="expression" dxfId="5098" priority="6630">
      <formula>#REF! = "obiectiv"</formula>
    </cfRule>
  </conditionalFormatting>
  <conditionalFormatting sqref="L880:P880">
    <cfRule type="expression" dxfId="5097" priority="6627">
      <formula>#REF! = "produs"</formula>
    </cfRule>
    <cfRule type="expression" dxfId="5096" priority="6628">
      <formula>#REF! = "obiectiv"</formula>
    </cfRule>
  </conditionalFormatting>
  <conditionalFormatting sqref="L837:P837">
    <cfRule type="expression" dxfId="5095" priority="6513">
      <formula>#REF! = "produs"</formula>
    </cfRule>
    <cfRule type="expression" dxfId="5094" priority="6514">
      <formula>#REF! = "obiectiv"</formula>
    </cfRule>
  </conditionalFormatting>
  <conditionalFormatting sqref="L316:P316">
    <cfRule type="expression" dxfId="5093" priority="6145">
      <formula>#REF! = "produs"</formula>
    </cfRule>
    <cfRule type="expression" dxfId="5092" priority="6146">
      <formula>#REF! = "obiectiv"</formula>
    </cfRule>
  </conditionalFormatting>
  <conditionalFormatting sqref="L429:P429">
    <cfRule type="expression" dxfId="5091" priority="6507">
      <formula>#REF! = "produs"</formula>
    </cfRule>
    <cfRule type="expression" dxfId="5090" priority="6508">
      <formula>#REF! = "obiectiv"</formula>
    </cfRule>
  </conditionalFormatting>
  <conditionalFormatting sqref="L430:P430">
    <cfRule type="expression" dxfId="5089" priority="6505">
      <formula>#REF! = "produs"</formula>
    </cfRule>
    <cfRule type="expression" dxfId="5088" priority="6506">
      <formula>#REF! = "obiectiv"</formula>
    </cfRule>
  </conditionalFormatting>
  <conditionalFormatting sqref="H422">
    <cfRule type="expression" dxfId="5087" priority="6501">
      <formula>#REF! = "produs"</formula>
    </cfRule>
    <cfRule type="expression" dxfId="5086" priority="6502">
      <formula>#REF! = "obiectiv"</formula>
    </cfRule>
  </conditionalFormatting>
  <conditionalFormatting sqref="H412">
    <cfRule type="expression" dxfId="5085" priority="6499">
      <formula>#REF! = "produs"</formula>
    </cfRule>
    <cfRule type="expression" dxfId="5084" priority="6500">
      <formula>#REF! = "obiectiv"</formula>
    </cfRule>
  </conditionalFormatting>
  <conditionalFormatting sqref="I417:I426">
    <cfRule type="expression" dxfId="5083" priority="6493">
      <formula>#REF! = "produs"</formula>
    </cfRule>
    <cfRule type="expression" dxfId="5082" priority="6494">
      <formula>#REF! = "obiectiv"</formula>
    </cfRule>
  </conditionalFormatting>
  <conditionalFormatting sqref="I147">
    <cfRule type="expression" dxfId="5081" priority="6125">
      <formula>#REF! = "produs"</formula>
    </cfRule>
    <cfRule type="expression" dxfId="5080" priority="6126">
      <formula>#REF! = "obiectiv"</formula>
    </cfRule>
  </conditionalFormatting>
  <conditionalFormatting sqref="L335:P335">
    <cfRule type="expression" dxfId="5079" priority="6123">
      <formula>#REF! = "produs"</formula>
    </cfRule>
    <cfRule type="expression" dxfId="5078" priority="6124">
      <formula>#REF! = "obiectiv"</formula>
    </cfRule>
  </conditionalFormatting>
  <conditionalFormatting sqref="P1450">
    <cfRule type="expression" dxfId="5077" priority="6121">
      <formula>#REF! = "produs"</formula>
    </cfRule>
    <cfRule type="expression" dxfId="5076" priority="6122">
      <formula>#REF! = "obiectiv"</formula>
    </cfRule>
  </conditionalFormatting>
  <conditionalFormatting sqref="L2144:N2144">
    <cfRule type="expression" dxfId="5075" priority="6119">
      <formula>#REF! = "produs"</formula>
    </cfRule>
    <cfRule type="expression" dxfId="5074" priority="6120">
      <formula>#REF! = "obiectiv"</formula>
    </cfRule>
  </conditionalFormatting>
  <conditionalFormatting sqref="L1071:P1072">
    <cfRule type="expression" dxfId="5073" priority="6711">
      <formula>#REF! = "produs"</formula>
    </cfRule>
    <cfRule type="expression" dxfId="5072" priority="6712">
      <formula>#REF! = "obiectiv"</formula>
    </cfRule>
  </conditionalFormatting>
  <conditionalFormatting sqref="L1051:N1052">
    <cfRule type="expression" dxfId="5071" priority="6709">
      <formula>#REF! = "produs"</formula>
    </cfRule>
    <cfRule type="expression" dxfId="5070" priority="6710">
      <formula>#REF! = "obiectiv"</formula>
    </cfRule>
  </conditionalFormatting>
  <conditionalFormatting sqref="J881 J888:J889 J886 J884">
    <cfRule type="expression" dxfId="5069" priority="6655">
      <formula>#REF! = "produs"</formula>
    </cfRule>
    <cfRule type="expression" dxfId="5068" priority="6656">
      <formula>#REF! = "obiectiv"</formula>
    </cfRule>
  </conditionalFormatting>
  <conditionalFormatting sqref="L863:P863">
    <cfRule type="expression" dxfId="5067" priority="6531">
      <formula>#REF! = "produs"</formula>
    </cfRule>
    <cfRule type="expression" dxfId="5066" priority="6532">
      <formula>#REF! = "obiectiv"</formula>
    </cfRule>
  </conditionalFormatting>
  <conditionalFormatting sqref="L852:P852">
    <cfRule type="expression" dxfId="5065" priority="6539">
      <formula>#REF! = "produs"</formula>
    </cfRule>
    <cfRule type="expression" dxfId="5064" priority="6540">
      <formula>#REF! = "obiectiv"</formula>
    </cfRule>
  </conditionalFormatting>
  <conditionalFormatting sqref="L853:P853">
    <cfRule type="expression" dxfId="5063" priority="6537">
      <formula>#REF! = "produs"</formula>
    </cfRule>
    <cfRule type="expression" dxfId="5062" priority="6538">
      <formula>#REF! = "obiectiv"</formula>
    </cfRule>
  </conditionalFormatting>
  <conditionalFormatting sqref="L862:P862">
    <cfRule type="expression" dxfId="5061" priority="6533">
      <formula>#REF! = "produs"</formula>
    </cfRule>
    <cfRule type="expression" dxfId="5060" priority="6534">
      <formula>#REF! = "obiectiv"</formula>
    </cfRule>
  </conditionalFormatting>
  <conditionalFormatting sqref="L842:P842">
    <cfRule type="expression" dxfId="5059" priority="6529">
      <formula>#REF! = "produs"</formula>
    </cfRule>
    <cfRule type="expression" dxfId="5058" priority="6530">
      <formula>#REF! = "obiectiv"</formula>
    </cfRule>
  </conditionalFormatting>
  <conditionalFormatting sqref="L832:P832">
    <cfRule type="expression" dxfId="5057" priority="6517">
      <formula>#REF! = "produs"</formula>
    </cfRule>
    <cfRule type="expression" dxfId="5056" priority="6518">
      <formula>#REF! = "obiectiv"</formula>
    </cfRule>
  </conditionalFormatting>
  <conditionalFormatting sqref="L320:N320">
    <cfRule type="expression" dxfId="5055" priority="6149">
      <formula>#REF! = "produs"</formula>
    </cfRule>
    <cfRule type="expression" dxfId="5054" priority="6150">
      <formula>#REF! = "obiectiv"</formula>
    </cfRule>
  </conditionalFormatting>
  <conditionalFormatting sqref="L875:P875">
    <cfRule type="expression" dxfId="5053" priority="6671">
      <formula>#REF! = "produs"</formula>
    </cfRule>
    <cfRule type="expression" dxfId="5052" priority="6672">
      <formula>#REF! = "obiectiv"</formula>
    </cfRule>
  </conditionalFormatting>
  <conditionalFormatting sqref="V880:V889">
    <cfRule type="expression" dxfId="5051" priority="6669">
      <formula>#REF! = "produs"</formula>
    </cfRule>
    <cfRule type="expression" dxfId="5050" priority="6670">
      <formula>#REF! = "obiectiv"</formula>
    </cfRule>
  </conditionalFormatting>
  <conditionalFormatting sqref="L890:U899">
    <cfRule type="expression" dxfId="5049" priority="6617">
      <formula>#REF! = "produs"</formula>
    </cfRule>
    <cfRule type="expression" dxfId="5048" priority="6618">
      <formula>#REF! = "obiectiv"</formula>
    </cfRule>
  </conditionalFormatting>
  <conditionalFormatting sqref="J880:J881 J883:J889">
    <cfRule type="expression" dxfId="5047" priority="6663">
      <formula>#REF! = "produs"</formula>
    </cfRule>
    <cfRule type="expression" dxfId="5046" priority="6664">
      <formula>#REF! = "obiectiv"</formula>
    </cfRule>
  </conditionalFormatting>
  <conditionalFormatting sqref="J883">
    <cfRule type="expression" dxfId="5045" priority="6641">
      <formula>#REF! = "produs"</formula>
    </cfRule>
    <cfRule type="expression" dxfId="5044" priority="6642">
      <formula>#REF! = "obiectiv"</formula>
    </cfRule>
  </conditionalFormatting>
  <conditionalFormatting sqref="W880:IU889">
    <cfRule type="expression" dxfId="5043" priority="6667">
      <formula>#REF! = "produs"</formula>
    </cfRule>
    <cfRule type="expression" dxfId="5042" priority="6668">
      <formula>#REF! = "obiectiv"</formula>
    </cfRule>
  </conditionalFormatting>
  <conditionalFormatting sqref="K880 K882:K889">
    <cfRule type="expression" dxfId="5041" priority="6665">
      <formula>#REF! = "produs"</formula>
    </cfRule>
    <cfRule type="expression" dxfId="5040" priority="6666">
      <formula>#REF! = "obiectiv"</formula>
    </cfRule>
  </conditionalFormatting>
  <conditionalFormatting sqref="Q880:U880 L881:U889">
    <cfRule type="expression" dxfId="5039" priority="6661">
      <formula>#REF! = "produs"</formula>
    </cfRule>
    <cfRule type="expression" dxfId="5038" priority="6662">
      <formula>#REF! = "obiectiv"</formula>
    </cfRule>
  </conditionalFormatting>
  <conditionalFormatting sqref="K904:K909 K901:K902">
    <cfRule type="expression" dxfId="5037" priority="6571">
      <formula>#REF! = "produs"</formula>
    </cfRule>
    <cfRule type="expression" dxfId="5036" priority="6572">
      <formula>#REF! = "obiectiv"</formula>
    </cfRule>
  </conditionalFormatting>
  <conditionalFormatting sqref="J885">
    <cfRule type="expression" dxfId="5035" priority="6645">
      <formula>#REF! = "produs"</formula>
    </cfRule>
    <cfRule type="expression" dxfId="5034" priority="6646">
      <formula>#REF! = "obiectiv"</formula>
    </cfRule>
  </conditionalFormatting>
  <conditionalFormatting sqref="W881:IU882 W884:IU889">
    <cfRule type="expression" dxfId="5033" priority="6659">
      <formula>#REF! = "produs"</formula>
    </cfRule>
    <cfRule type="expression" dxfId="5032" priority="6660">
      <formula>#REF! = "obiectiv"</formula>
    </cfRule>
  </conditionalFormatting>
  <conditionalFormatting sqref="K882 K884:K889">
    <cfRule type="expression" dxfId="5031" priority="6657">
      <formula>#REF! = "produs"</formula>
    </cfRule>
    <cfRule type="expression" dxfId="5030" priority="6658">
      <formula>#REF! = "obiectiv"</formula>
    </cfRule>
  </conditionalFormatting>
  <conditionalFormatting sqref="J901 J908:J909 J906 J904">
    <cfRule type="expression" dxfId="5029" priority="6569">
      <formula>#REF! = "produs"</formula>
    </cfRule>
    <cfRule type="expression" dxfId="5028" priority="6570">
      <formula>#REF! = "obiectiv"</formula>
    </cfRule>
  </conditionalFormatting>
  <conditionalFormatting sqref="L887:P887">
    <cfRule type="expression" dxfId="5027" priority="6649">
      <formula>#REF! = "produs"</formula>
    </cfRule>
    <cfRule type="expression" dxfId="5026" priority="6650">
      <formula>#REF! = "obiectiv"</formula>
    </cfRule>
  </conditionalFormatting>
  <conditionalFormatting sqref="L886:P886">
    <cfRule type="expression" dxfId="5025" priority="6647">
      <formula>#REF! = "produs"</formula>
    </cfRule>
    <cfRule type="expression" dxfId="5024" priority="6648">
      <formula>#REF! = "obiectiv"</formula>
    </cfRule>
  </conditionalFormatting>
  <conditionalFormatting sqref="W883:IU883 K883:P883">
    <cfRule type="expression" dxfId="5023" priority="6643">
      <formula>#REF! = "produs"</formula>
    </cfRule>
    <cfRule type="expression" dxfId="5022" priority="6644">
      <formula>#REF! = "obiectiv"</formula>
    </cfRule>
  </conditionalFormatting>
  <conditionalFormatting sqref="J880">
    <cfRule type="expression" dxfId="5021" priority="6639">
      <formula>#REF! = "produs"</formula>
    </cfRule>
    <cfRule type="expression" dxfId="5020" priority="6640">
      <formula>#REF! = "obiectiv"</formula>
    </cfRule>
  </conditionalFormatting>
  <conditionalFormatting sqref="Q882:U888">
    <cfRule type="expression" dxfId="5019" priority="6637">
      <formula>#REF! = "produs"</formula>
    </cfRule>
    <cfRule type="expression" dxfId="5018" priority="6638">
      <formula>#REF! = "obiectiv"</formula>
    </cfRule>
  </conditionalFormatting>
  <conditionalFormatting sqref="Q880:U880">
    <cfRule type="expression" dxfId="5017" priority="6635">
      <formula>#REF! = "produs"</formula>
    </cfRule>
    <cfRule type="expression" dxfId="5016" priority="6636">
      <formula>#REF! = "obiectiv"</formula>
    </cfRule>
  </conditionalFormatting>
  <conditionalFormatting sqref="G880">
    <cfRule type="expression" dxfId="5015" priority="6633">
      <formula>#REF! = "produs"</formula>
    </cfRule>
    <cfRule type="expression" dxfId="5014" priority="6634">
      <formula>#REF! = "obiectiv"</formula>
    </cfRule>
  </conditionalFormatting>
  <conditionalFormatting sqref="H880">
    <cfRule type="expression" dxfId="5013" priority="6631">
      <formula>#REF! = "produs"</formula>
    </cfRule>
    <cfRule type="expression" dxfId="5012" priority="6632">
      <formula>#REF! = "obiectiv"</formula>
    </cfRule>
  </conditionalFormatting>
  <conditionalFormatting sqref="J890">
    <cfRule type="expression" dxfId="5011" priority="6595">
      <formula>#REF! = "produs"</formula>
    </cfRule>
    <cfRule type="expression" dxfId="5010" priority="6596">
      <formula>#REF! = "obiectiv"</formula>
    </cfRule>
  </conditionalFormatting>
  <conditionalFormatting sqref="Q892:U898">
    <cfRule type="expression" dxfId="5009" priority="6593">
      <formula>#REF! = "produs"</formula>
    </cfRule>
    <cfRule type="expression" dxfId="5008" priority="6594">
      <formula>#REF! = "obiectiv"</formula>
    </cfRule>
  </conditionalFormatting>
  <conditionalFormatting sqref="V890:V899">
    <cfRule type="expression" dxfId="5007" priority="6625">
      <formula>#REF! = "produs"</formula>
    </cfRule>
    <cfRule type="expression" dxfId="5006" priority="6626">
      <formula>#REF! = "obiectiv"</formula>
    </cfRule>
  </conditionalFormatting>
  <conditionalFormatting sqref="J897">
    <cfRule type="expression" dxfId="5005" priority="6607">
      <formula>#REF! = "produs"</formula>
    </cfRule>
    <cfRule type="expression" dxfId="5004" priority="6608">
      <formula>#REF! = "obiectiv"</formula>
    </cfRule>
  </conditionalFormatting>
  <conditionalFormatting sqref="J890:J891 J893:J899">
    <cfRule type="expression" dxfId="5003" priority="6619">
      <formula>#REF! = "produs"</formula>
    </cfRule>
    <cfRule type="expression" dxfId="5002" priority="6620">
      <formula>#REF! = "obiectiv"</formula>
    </cfRule>
  </conditionalFormatting>
  <conditionalFormatting sqref="J893">
    <cfRule type="expression" dxfId="5001" priority="6597">
      <formula>#REF! = "produs"</formula>
    </cfRule>
    <cfRule type="expression" dxfId="5000" priority="6598">
      <formula>#REF! = "obiectiv"</formula>
    </cfRule>
  </conditionalFormatting>
  <conditionalFormatting sqref="W890:IU899">
    <cfRule type="expression" dxfId="4999" priority="6623">
      <formula>#REF! = "produs"</formula>
    </cfRule>
    <cfRule type="expression" dxfId="4998" priority="6624">
      <formula>#REF! = "obiectiv"</formula>
    </cfRule>
  </conditionalFormatting>
  <conditionalFormatting sqref="K890 K892:K899">
    <cfRule type="expression" dxfId="4997" priority="6621">
      <formula>#REF! = "produs"</formula>
    </cfRule>
    <cfRule type="expression" dxfId="4996" priority="6622">
      <formula>#REF! = "obiectiv"</formula>
    </cfRule>
  </conditionalFormatting>
  <conditionalFormatting sqref="L895:P895">
    <cfRule type="expression" dxfId="4995" priority="6585">
      <formula>#REF! = "produs"</formula>
    </cfRule>
    <cfRule type="expression" dxfId="4994" priority="6586">
      <formula>#REF! = "obiectiv"</formula>
    </cfRule>
  </conditionalFormatting>
  <conditionalFormatting sqref="J891 J898:J899 J896 J894">
    <cfRule type="expression" dxfId="4993" priority="6611">
      <formula>#REF! = "produs"</formula>
    </cfRule>
    <cfRule type="expression" dxfId="4992" priority="6612">
      <formula>#REF! = "obiectiv"</formula>
    </cfRule>
  </conditionalFormatting>
  <conditionalFormatting sqref="W891:IU892 W894:IU899">
    <cfRule type="expression" dxfId="4991" priority="6615">
      <formula>#REF! = "produs"</formula>
    </cfRule>
    <cfRule type="expression" dxfId="4990" priority="6616">
      <formula>#REF! = "obiectiv"</formula>
    </cfRule>
  </conditionalFormatting>
  <conditionalFormatting sqref="K892 K894:K899">
    <cfRule type="expression" dxfId="4989" priority="6613">
      <formula>#REF! = "produs"</formula>
    </cfRule>
    <cfRule type="expression" dxfId="4988" priority="6614">
      <formula>#REF! = "obiectiv"</formula>
    </cfRule>
  </conditionalFormatting>
  <conditionalFormatting sqref="L899:U899 L898:P898 L891:U891 L894:P895 L892:P892">
    <cfRule type="expression" dxfId="4987" priority="6609">
      <formula>#REF! = "produs"</formula>
    </cfRule>
    <cfRule type="expression" dxfId="4986" priority="6610">
      <formula>#REF! = "obiectiv"</formula>
    </cfRule>
  </conditionalFormatting>
  <conditionalFormatting sqref="L897:P897">
    <cfRule type="expression" dxfId="4985" priority="6605">
      <formula>#REF! = "produs"</formula>
    </cfRule>
    <cfRule type="expression" dxfId="4984" priority="6606">
      <formula>#REF! = "obiectiv"</formula>
    </cfRule>
  </conditionalFormatting>
  <conditionalFormatting sqref="L896:P896">
    <cfRule type="expression" dxfId="4983" priority="6603">
      <formula>#REF! = "produs"</formula>
    </cfRule>
    <cfRule type="expression" dxfId="4982" priority="6604">
      <formula>#REF! = "obiectiv"</formula>
    </cfRule>
  </conditionalFormatting>
  <conditionalFormatting sqref="W893:IU893 K893:P893">
    <cfRule type="expression" dxfId="4981" priority="6599">
      <formula>#REF! = "produs"</formula>
    </cfRule>
    <cfRule type="expression" dxfId="4980" priority="6600">
      <formula>#REF! = "obiectiv"</formula>
    </cfRule>
  </conditionalFormatting>
  <conditionalFormatting sqref="L907:P907">
    <cfRule type="expression" dxfId="4979" priority="6563">
      <formula>#REF! = "produs"</formula>
    </cfRule>
    <cfRule type="expression" dxfId="4978" priority="6564">
      <formula>#REF! = "obiectiv"</formula>
    </cfRule>
  </conditionalFormatting>
  <conditionalFormatting sqref="L906:P906">
    <cfRule type="expression" dxfId="4977" priority="6561">
      <formula>#REF! = "produs"</formula>
    </cfRule>
    <cfRule type="expression" dxfId="4976" priority="6562">
      <formula>#REF! = "obiectiv"</formula>
    </cfRule>
  </conditionalFormatting>
  <conditionalFormatting sqref="Q890:U890">
    <cfRule type="expression" dxfId="4975" priority="6591">
      <formula>#REF! = "produs"</formula>
    </cfRule>
    <cfRule type="expression" dxfId="4974" priority="6592">
      <formula>#REF! = "obiectiv"</formula>
    </cfRule>
  </conditionalFormatting>
  <conditionalFormatting sqref="G890">
    <cfRule type="expression" dxfId="4973" priority="6589">
      <formula>#REF! = "produs"</formula>
    </cfRule>
    <cfRule type="expression" dxfId="4972" priority="6590">
      <formula>#REF! = "obiectiv"</formula>
    </cfRule>
  </conditionalFormatting>
  <conditionalFormatting sqref="J907">
    <cfRule type="expression" dxfId="4971" priority="6565">
      <formula>#REF! = "produs"</formula>
    </cfRule>
    <cfRule type="expression" dxfId="4970" priority="6566">
      <formula>#REF! = "obiectiv"</formula>
    </cfRule>
  </conditionalFormatting>
  <conditionalFormatting sqref="J903">
    <cfRule type="expression" dxfId="4969" priority="6555">
      <formula>#REF! = "produs"</formula>
    </cfRule>
    <cfRule type="expression" dxfId="4968" priority="6556">
      <formula>#REF! = "obiectiv"</formula>
    </cfRule>
  </conditionalFormatting>
  <conditionalFormatting sqref="L283:P284">
    <cfRule type="expression" dxfId="4967" priority="6391">
      <formula>#REF! = "produs"</formula>
    </cfRule>
    <cfRule type="expression" dxfId="4966" priority="6392">
      <formula>#REF! = "obiectiv"</formula>
    </cfRule>
  </conditionalFormatting>
  <conditionalFormatting sqref="J905">
    <cfRule type="expression" dxfId="4965" priority="6559">
      <formula>#REF! = "produs"</formula>
    </cfRule>
    <cfRule type="expression" dxfId="4964" priority="6560">
      <formula>#REF! = "obiectiv"</formula>
    </cfRule>
  </conditionalFormatting>
  <conditionalFormatting sqref="W901:IU902 W904:IU909">
    <cfRule type="expression" dxfId="4963" priority="6573">
      <formula>#REF! = "produs"</formula>
    </cfRule>
    <cfRule type="expression" dxfId="4962" priority="6574">
      <formula>#REF! = "obiectiv"</formula>
    </cfRule>
  </conditionalFormatting>
  <conditionalFormatting sqref="L909:U909 L908:P908 L901:U901 L904:P905 L902:P902">
    <cfRule type="expression" dxfId="4961" priority="6567">
      <formula>#REF! = "produs"</formula>
    </cfRule>
    <cfRule type="expression" dxfId="4960" priority="6568">
      <formula>#REF! = "obiectiv"</formula>
    </cfRule>
  </conditionalFormatting>
  <conditionalFormatting sqref="W903:IU903 K903:P903">
    <cfRule type="expression" dxfId="4959" priority="6557">
      <formula>#REF! = "produs"</formula>
    </cfRule>
    <cfRule type="expression" dxfId="4958" priority="6558">
      <formula>#REF! = "obiectiv"</formula>
    </cfRule>
  </conditionalFormatting>
  <conditionalFormatting sqref="J900">
    <cfRule type="expression" dxfId="4957" priority="6553">
      <formula>#REF! = "produs"</formula>
    </cfRule>
    <cfRule type="expression" dxfId="4956" priority="6554">
      <formula>#REF! = "obiectiv"</formula>
    </cfRule>
  </conditionalFormatting>
  <conditionalFormatting sqref="Q902:U908">
    <cfRule type="expression" dxfId="4955" priority="6551">
      <formula>#REF! = "produs"</formula>
    </cfRule>
    <cfRule type="expression" dxfId="4954" priority="6552">
      <formula>#REF! = "obiectiv"</formula>
    </cfRule>
  </conditionalFormatting>
  <conditionalFormatting sqref="Q900:U900">
    <cfRule type="expression" dxfId="4953" priority="6549">
      <formula>#REF! = "produs"</formula>
    </cfRule>
    <cfRule type="expression" dxfId="4952" priority="6550">
      <formula>#REF! = "obiectiv"</formula>
    </cfRule>
  </conditionalFormatting>
  <conditionalFormatting sqref="G900">
    <cfRule type="expression" dxfId="4951" priority="6547">
      <formula>#REF! = "produs"</formula>
    </cfRule>
    <cfRule type="expression" dxfId="4950" priority="6548">
      <formula>#REF! = "obiectiv"</formula>
    </cfRule>
  </conditionalFormatting>
  <conditionalFormatting sqref="H900">
    <cfRule type="expression" dxfId="4949" priority="6545">
      <formula>#REF! = "produs"</formula>
    </cfRule>
    <cfRule type="expression" dxfId="4948" priority="6546">
      <formula>#REF! = "obiectiv"</formula>
    </cfRule>
  </conditionalFormatting>
  <conditionalFormatting sqref="L905:P905">
    <cfRule type="expression" dxfId="4947" priority="6543">
      <formula>#REF! = "produs"</formula>
    </cfRule>
    <cfRule type="expression" dxfId="4946" priority="6544">
      <formula>#REF! = "obiectiv"</formula>
    </cfRule>
  </conditionalFormatting>
  <conditionalFormatting sqref="L900:P900">
    <cfRule type="expression" dxfId="4945" priority="6541">
      <formula>#REF! = "produs"</formula>
    </cfRule>
    <cfRule type="expression" dxfId="4944" priority="6542">
      <formula>#REF! = "obiectiv"</formula>
    </cfRule>
  </conditionalFormatting>
  <conditionalFormatting sqref="L856:P857">
    <cfRule type="expression" dxfId="4943" priority="6535">
      <formula>#REF! = "produs"</formula>
    </cfRule>
    <cfRule type="expression" dxfId="4942" priority="6536">
      <formula>#REF! = "obiectiv"</formula>
    </cfRule>
  </conditionalFormatting>
  <conditionalFormatting sqref="L847:P847">
    <cfRule type="expression" dxfId="4941" priority="6525">
      <formula>#REF! = "produs"</formula>
    </cfRule>
    <cfRule type="expression" dxfId="4940" priority="6526">
      <formula>#REF! = "obiectiv"</formula>
    </cfRule>
  </conditionalFormatting>
  <conditionalFormatting sqref="O320:P320">
    <cfRule type="expression" dxfId="4939" priority="6141">
      <formula>#REF! = "produs"</formula>
    </cfRule>
    <cfRule type="expression" dxfId="4938" priority="6142">
      <formula>#REF! = "obiectiv"</formula>
    </cfRule>
  </conditionalFormatting>
  <conditionalFormatting sqref="W1611:IU1612 W1614:IU1619">
    <cfRule type="expression" dxfId="4937" priority="6385">
      <formula>#REF! = "produs"</formula>
    </cfRule>
    <cfRule type="expression" dxfId="4936" priority="6386">
      <formula>#REF! = "obiectiv"</formula>
    </cfRule>
  </conditionalFormatting>
  <conditionalFormatting sqref="L285:P285">
    <cfRule type="expression" dxfId="4935" priority="6389">
      <formula>#REF! = "produs"</formula>
    </cfRule>
    <cfRule type="expression" dxfId="4934" priority="6390">
      <formula>#REF! = "obiectiv"</formula>
    </cfRule>
  </conditionalFormatting>
  <conditionalFormatting sqref="L1657:P1657">
    <cfRule type="expression" dxfId="4933" priority="6341">
      <formula>#REF! = "produs"</formula>
    </cfRule>
    <cfRule type="expression" dxfId="4932" priority="6342">
      <formula>#REF! = "obiectiv"</formula>
    </cfRule>
  </conditionalFormatting>
  <conditionalFormatting sqref="L1656:P1656">
    <cfRule type="expression" dxfId="4931" priority="6339">
      <formula>#REF! = "produs"</formula>
    </cfRule>
    <cfRule type="expression" dxfId="4930" priority="6340">
      <formula>#REF! = "obiectiv"</formula>
    </cfRule>
  </conditionalFormatting>
  <conditionalFormatting sqref="H241">
    <cfRule type="expression" dxfId="4929" priority="6405">
      <formula>#REF! = "produs"</formula>
    </cfRule>
    <cfRule type="expression" dxfId="4928" priority="6406">
      <formula>#REF! = "obiectiv"</formula>
    </cfRule>
  </conditionalFormatting>
  <conditionalFormatting sqref="H246">
    <cfRule type="expression" dxfId="4927" priority="6403">
      <formula>#REF! = "produs"</formula>
    </cfRule>
    <cfRule type="expression" dxfId="4926" priority="6404">
      <formula>#REF! = "obiectiv"</formula>
    </cfRule>
  </conditionalFormatting>
  <conditionalFormatting sqref="G324">
    <cfRule type="expression" dxfId="4925" priority="6117">
      <formula>#REF! = "produs"</formula>
    </cfRule>
    <cfRule type="expression" dxfId="4924" priority="6118">
      <formula>#REF! = "obiectiv"</formula>
    </cfRule>
  </conditionalFormatting>
  <conditionalFormatting sqref="Q243:U249">
    <cfRule type="expression" dxfId="4923" priority="6411">
      <formula>#REF! = "produs"</formula>
    </cfRule>
    <cfRule type="expression" dxfId="4922" priority="6412">
      <formula>#REF! = "obiectiv"</formula>
    </cfRule>
  </conditionalFormatting>
  <conditionalFormatting sqref="L282:P282">
    <cfRule type="expression" dxfId="4921" priority="6393">
      <formula>#REF! = "produs"</formula>
    </cfRule>
    <cfRule type="expression" dxfId="4920" priority="6394">
      <formula>#REF! = "obiectiv"</formula>
    </cfRule>
  </conditionalFormatting>
  <conditionalFormatting sqref="J1611 J1618:J1619 J1616 J1614">
    <cfRule type="expression" dxfId="4919" priority="6381">
      <formula>#REF! = "produs"</formula>
    </cfRule>
    <cfRule type="expression" dxfId="4918" priority="6382">
      <formula>#REF! = "obiectiv"</formula>
    </cfRule>
  </conditionalFormatting>
  <conditionalFormatting sqref="K1611:K1612 K1614:K1619">
    <cfRule type="expression" dxfId="4917" priority="6383">
      <formula>#REF! = "produs"</formula>
    </cfRule>
    <cfRule type="expression" dxfId="4916" priority="6384">
      <formula>#REF! = "obiectiv"</formula>
    </cfRule>
  </conditionalFormatting>
  <conditionalFormatting sqref="L1617:P1617">
    <cfRule type="expression" dxfId="4915" priority="6375">
      <formula>#REF! = "produs"</formula>
    </cfRule>
    <cfRule type="expression" dxfId="4914" priority="6376">
      <formula>#REF! = "obiectiv"</formula>
    </cfRule>
  </conditionalFormatting>
  <conditionalFormatting sqref="L1616:P1616">
    <cfRule type="expression" dxfId="4913" priority="6373">
      <formula>#REF! = "produs"</formula>
    </cfRule>
    <cfRule type="expression" dxfId="4912" priority="6374">
      <formula>#REF! = "obiectiv"</formula>
    </cfRule>
  </conditionalFormatting>
  <conditionalFormatting sqref="W245:IU250 W241:IU243">
    <cfRule type="expression" dxfId="4911" priority="6437">
      <formula>#REF! = "produs"</formula>
    </cfRule>
    <cfRule type="expression" dxfId="4910" priority="6438">
      <formula>#REF! = "obiectiv"</formula>
    </cfRule>
  </conditionalFormatting>
  <conditionalFormatting sqref="J241">
    <cfRule type="expression" dxfId="4909" priority="6435">
      <formula>#REF! = "produs"</formula>
    </cfRule>
    <cfRule type="expression" dxfId="4908" priority="6436">
      <formula>#REF! = "obiectiv"</formula>
    </cfRule>
  </conditionalFormatting>
  <conditionalFormatting sqref="J242 J249:J250 J247 J245">
    <cfRule type="expression" dxfId="4907" priority="6429">
      <formula>#REF! = "produs"</formula>
    </cfRule>
    <cfRule type="expression" dxfId="4906" priority="6430">
      <formula>#REF! = "obiectiv"</formula>
    </cfRule>
  </conditionalFormatting>
  <conditionalFormatting sqref="Q250:U250 Q242:U242">
    <cfRule type="expression" dxfId="4905" priority="6427">
      <formula>#REF! = "produs"</formula>
    </cfRule>
    <cfRule type="expression" dxfId="4904" priority="6428">
      <formula>#REF! = "obiectiv"</formula>
    </cfRule>
  </conditionalFormatting>
  <conditionalFormatting sqref="J248">
    <cfRule type="expression" dxfId="4903" priority="6425">
      <formula>#REF! = "produs"</formula>
    </cfRule>
    <cfRule type="expression" dxfId="4902" priority="6426">
      <formula>#REF! = "obiectiv"</formula>
    </cfRule>
  </conditionalFormatting>
  <conditionalFormatting sqref="W1661:IU1662 W1664:IU1669">
    <cfRule type="expression" dxfId="4901" priority="6331">
      <formula>#REF! = "produs"</formula>
    </cfRule>
    <cfRule type="expression" dxfId="4900" priority="6332">
      <formula>#REF! = "obiectiv"</formula>
    </cfRule>
  </conditionalFormatting>
  <conditionalFormatting sqref="K1661:K1662 K1664:K1669">
    <cfRule type="expression" dxfId="4899" priority="6329">
      <formula>#REF! = "produs"</formula>
    </cfRule>
    <cfRule type="expression" dxfId="4898" priority="6330">
      <formula>#REF! = "obiectiv"</formula>
    </cfRule>
  </conditionalFormatting>
  <conditionalFormatting sqref="J246">
    <cfRule type="expression" dxfId="4897" priority="6417">
      <formula>#REF! = "produs"</formula>
    </cfRule>
    <cfRule type="expression" dxfId="4896" priority="6418">
      <formula>#REF! = "obiectiv"</formula>
    </cfRule>
  </conditionalFormatting>
  <conditionalFormatting sqref="V241:V250">
    <cfRule type="expression" dxfId="4895" priority="6419">
      <formula>#REF! = "produs"</formula>
    </cfRule>
    <cfRule type="expression" dxfId="4894" priority="6420">
      <formula>#REF! = "obiectiv"</formula>
    </cfRule>
  </conditionalFormatting>
  <conditionalFormatting sqref="W244:IU244">
    <cfRule type="expression" dxfId="4893" priority="6415">
      <formula>#REF! = "produs"</formula>
    </cfRule>
    <cfRule type="expression" dxfId="4892" priority="6416">
      <formula>#REF! = "obiectiv"</formula>
    </cfRule>
  </conditionalFormatting>
  <conditionalFormatting sqref="Q241:U241">
    <cfRule type="expression" dxfId="4891" priority="6409">
      <formula>#REF! = "produs"</formula>
    </cfRule>
    <cfRule type="expression" dxfId="4890" priority="6410">
      <formula>#REF! = "obiectiv"</formula>
    </cfRule>
  </conditionalFormatting>
  <conditionalFormatting sqref="G241">
    <cfRule type="expression" dxfId="4889" priority="6407">
      <formula>#REF! = "produs"</formula>
    </cfRule>
    <cfRule type="expression" dxfId="4888" priority="6408">
      <formula>#REF! = "obiectiv"</formula>
    </cfRule>
  </conditionalFormatting>
  <conditionalFormatting sqref="L1619:U1619 L1618:P1618 L1614:P1615 L1611:U1611 L1612:P1612">
    <cfRule type="expression" dxfId="4887" priority="6379">
      <formula>#REF! = "produs"</formula>
    </cfRule>
    <cfRule type="expression" dxfId="4886" priority="6380">
      <formula>#REF! = "obiectiv"</formula>
    </cfRule>
  </conditionalFormatting>
  <conditionalFormatting sqref="J1655">
    <cfRule type="expression" dxfId="4885" priority="6337">
      <formula>#REF! = "produs"</formula>
    </cfRule>
    <cfRule type="expression" dxfId="4884" priority="6338">
      <formula>#REF! = "obiectiv"</formula>
    </cfRule>
  </conditionalFormatting>
  <conditionalFormatting sqref="L271:P271">
    <cfRule type="expression" dxfId="4883" priority="6397">
      <formula>#REF! = "produs"</formula>
    </cfRule>
    <cfRule type="expression" dxfId="4882" priority="6398">
      <formula>#REF! = "obiectiv"</formula>
    </cfRule>
  </conditionalFormatting>
  <conditionalFormatting sqref="H287">
    <cfRule type="expression" dxfId="4881" priority="6395">
      <formula>#REF! = "produs"</formula>
    </cfRule>
    <cfRule type="expression" dxfId="4880" priority="6396">
      <formula>#REF! = "obiectiv"</formula>
    </cfRule>
  </conditionalFormatting>
  <conditionalFormatting sqref="J1613">
    <cfRule type="expression" dxfId="4879" priority="6367">
      <formula>#REF! = "produs"</formula>
    </cfRule>
    <cfRule type="expression" dxfId="4878" priority="6368">
      <formula>#REF! = "obiectiv"</formula>
    </cfRule>
  </conditionalFormatting>
  <conditionalFormatting sqref="J1617">
    <cfRule type="expression" dxfId="4877" priority="6377">
      <formula>#REF! = "produs"</formula>
    </cfRule>
    <cfRule type="expression" dxfId="4876" priority="6378">
      <formula>#REF! = "obiectiv"</formula>
    </cfRule>
  </conditionalFormatting>
  <conditionalFormatting sqref="J1615">
    <cfRule type="expression" dxfId="4875" priority="6371">
      <formula>#REF! = "produs"</formula>
    </cfRule>
    <cfRule type="expression" dxfId="4874" priority="6372">
      <formula>#REF! = "obiectiv"</formula>
    </cfRule>
  </conditionalFormatting>
  <conditionalFormatting sqref="L1669:U1669 L1668:P1668 L1664:P1665 L1661:U1661 L1662:P1662">
    <cfRule type="expression" dxfId="4873" priority="6325">
      <formula>#REF! = "produs"</formula>
    </cfRule>
    <cfRule type="expression" dxfId="4872" priority="6326">
      <formula>#REF! = "obiectiv"</formula>
    </cfRule>
  </conditionalFormatting>
  <conditionalFormatting sqref="K1653:P1653 W1653:IU1653">
    <cfRule type="expression" dxfId="4871" priority="6335">
      <formula>#REF! = "produs"</formula>
    </cfRule>
    <cfRule type="expression" dxfId="4870" priority="6336">
      <formula>#REF! = "obiectiv"</formula>
    </cfRule>
  </conditionalFormatting>
  <conditionalFormatting sqref="K1613:P1613 W1613:IU1613">
    <cfRule type="expression" dxfId="4869" priority="6369">
      <formula>#REF! = "produs"</formula>
    </cfRule>
    <cfRule type="expression" dxfId="4868" priority="6370">
      <formula>#REF! = "obiectiv"</formula>
    </cfRule>
  </conditionalFormatting>
  <conditionalFormatting sqref="J1610">
    <cfRule type="expression" dxfId="4867" priority="6365">
      <formula>#REF! = "produs"</formula>
    </cfRule>
    <cfRule type="expression" dxfId="4866" priority="6366">
      <formula>#REF! = "obiectiv"</formula>
    </cfRule>
  </conditionalFormatting>
  <conditionalFormatting sqref="Q1612:U1618">
    <cfRule type="expression" dxfId="4865" priority="6363">
      <formula>#REF! = "produs"</formula>
    </cfRule>
    <cfRule type="expression" dxfId="4864" priority="6364">
      <formula>#REF! = "obiectiv"</formula>
    </cfRule>
  </conditionalFormatting>
  <conditionalFormatting sqref="Q1610:U1610">
    <cfRule type="expression" dxfId="4863" priority="6361">
      <formula>#REF! = "produs"</formula>
    </cfRule>
    <cfRule type="expression" dxfId="4862" priority="6362">
      <formula>#REF! = "obiectiv"</formula>
    </cfRule>
  </conditionalFormatting>
  <conditionalFormatting sqref="H1610">
    <cfRule type="expression" dxfId="4861" priority="6359">
      <formula>#REF! = "produs"</formula>
    </cfRule>
    <cfRule type="expression" dxfId="4860" priority="6360">
      <formula>#REF! = "obiectiv"</formula>
    </cfRule>
  </conditionalFormatting>
  <conditionalFormatting sqref="G1610">
    <cfRule type="expression" dxfId="4859" priority="6357">
      <formula>#REF! = "produs"</formula>
    </cfRule>
    <cfRule type="expression" dxfId="4858" priority="6358">
      <formula>#REF! = "obiectiv"</formula>
    </cfRule>
  </conditionalFormatting>
  <conditionalFormatting sqref="H1630">
    <cfRule type="expression" dxfId="4857" priority="6355">
      <formula>#REF! = "produs"</formula>
    </cfRule>
    <cfRule type="expression" dxfId="4856" priority="6356">
      <formula>#REF! = "obiectiv"</formula>
    </cfRule>
  </conditionalFormatting>
  <conditionalFormatting sqref="L33:P33 L29:P30 L26:P27">
    <cfRule type="expression" dxfId="4855" priority="5497">
      <formula>#REF! = "produs"</formula>
    </cfRule>
    <cfRule type="expression" dxfId="4854" priority="5498">
      <formula>#REF! = "obiectiv"</formula>
    </cfRule>
  </conditionalFormatting>
  <conditionalFormatting sqref="W1651:IU1652 W1654:IU1659">
    <cfRule type="expression" dxfId="4853" priority="6351">
      <formula>#REF! = "produs"</formula>
    </cfRule>
    <cfRule type="expression" dxfId="4852" priority="6352">
      <formula>#REF! = "obiectiv"</formula>
    </cfRule>
  </conditionalFormatting>
  <conditionalFormatting sqref="J1667">
    <cfRule type="expression" dxfId="4851" priority="6323">
      <formula>#REF! = "produs"</formula>
    </cfRule>
    <cfRule type="expression" dxfId="4850" priority="6324">
      <formula>#REF! = "obiectiv"</formula>
    </cfRule>
  </conditionalFormatting>
  <conditionalFormatting sqref="J1651 J1658:J1659 J1656 J1654">
    <cfRule type="expression" dxfId="4849" priority="6347">
      <formula>#REF! = "produs"</formula>
    </cfRule>
    <cfRule type="expression" dxfId="4848" priority="6348">
      <formula>#REF! = "obiectiv"</formula>
    </cfRule>
  </conditionalFormatting>
  <conditionalFormatting sqref="J1653">
    <cfRule type="expression" dxfId="4847" priority="6333">
      <formula>#REF! = "produs"</formula>
    </cfRule>
    <cfRule type="expression" dxfId="4846" priority="6334">
      <formula>#REF! = "obiectiv"</formula>
    </cfRule>
  </conditionalFormatting>
  <conditionalFormatting sqref="J1661 J1668:J1669 J1666 J1664">
    <cfRule type="expression" dxfId="4845" priority="6327">
      <formula>#REF! = "produs"</formula>
    </cfRule>
    <cfRule type="expression" dxfId="4844" priority="6328">
      <formula>#REF! = "obiectiv"</formula>
    </cfRule>
  </conditionalFormatting>
  <conditionalFormatting sqref="J1663">
    <cfRule type="expression" dxfId="4843" priority="6313">
      <formula>#REF! = "produs"</formula>
    </cfRule>
    <cfRule type="expression" dxfId="4842" priority="6314">
      <formula>#REF! = "obiectiv"</formula>
    </cfRule>
  </conditionalFormatting>
  <conditionalFormatting sqref="J1665">
    <cfRule type="expression" dxfId="4841" priority="6317">
      <formula>#REF! = "produs"</formula>
    </cfRule>
    <cfRule type="expression" dxfId="4840" priority="6318">
      <formula>#REF! = "obiectiv"</formula>
    </cfRule>
  </conditionalFormatting>
  <conditionalFormatting sqref="J1657">
    <cfRule type="expression" dxfId="4839" priority="6343">
      <formula>#REF! = "produs"</formula>
    </cfRule>
    <cfRule type="expression" dxfId="4838" priority="6344">
      <formula>#REF! = "obiectiv"</formula>
    </cfRule>
  </conditionalFormatting>
  <conditionalFormatting sqref="K1651:K1652 K1654:K1659">
    <cfRule type="expression" dxfId="4837" priority="6349">
      <formula>#REF! = "produs"</formula>
    </cfRule>
    <cfRule type="expression" dxfId="4836" priority="6350">
      <formula>#REF! = "obiectiv"</formula>
    </cfRule>
  </conditionalFormatting>
  <conditionalFormatting sqref="L1659:U1659 L1658:P1658 L1654:P1655 L1651:U1651 L1652:P1652">
    <cfRule type="expression" dxfId="4835" priority="6345">
      <formula>#REF! = "produs"</formula>
    </cfRule>
    <cfRule type="expression" dxfId="4834" priority="6346">
      <formula>#REF! = "obiectiv"</formula>
    </cfRule>
  </conditionalFormatting>
  <conditionalFormatting sqref="L134:P134">
    <cfRule type="expression" dxfId="4833" priority="6223">
      <formula>#REF! = "produs"</formula>
    </cfRule>
    <cfRule type="expression" dxfId="4832" priority="6224">
      <formula>#REF! = "obiectiv"</formula>
    </cfRule>
  </conditionalFormatting>
  <conditionalFormatting sqref="L133:P133">
    <cfRule type="expression" dxfId="4831" priority="6221">
      <formula>#REF! = "produs"</formula>
    </cfRule>
    <cfRule type="expression" dxfId="4830" priority="6222">
      <formula>#REF! = "obiectiv"</formula>
    </cfRule>
  </conditionalFormatting>
  <conditionalFormatting sqref="W35:IU44">
    <cfRule type="expression" dxfId="4829" priority="5483">
      <formula>#REF! = "produs"</formula>
    </cfRule>
    <cfRule type="expression" dxfId="4828" priority="5484">
      <formula>#REF! = "obiectiv"</formula>
    </cfRule>
  </conditionalFormatting>
  <conditionalFormatting sqref="J35">
    <cfRule type="expression" dxfId="4827" priority="5481">
      <formula>#REF! = "produs"</formula>
    </cfRule>
    <cfRule type="expression" dxfId="4826" priority="5482">
      <formula>#REF! = "obiectiv"</formula>
    </cfRule>
  </conditionalFormatting>
  <conditionalFormatting sqref="L1667:P1667">
    <cfRule type="expression" dxfId="4825" priority="6321">
      <formula>#REF! = "produs"</formula>
    </cfRule>
    <cfRule type="expression" dxfId="4824" priority="6322">
      <formula>#REF! = "obiectiv"</formula>
    </cfRule>
  </conditionalFormatting>
  <conditionalFormatting sqref="K35:K44">
    <cfRule type="expression" dxfId="4823" priority="5477">
      <formula>#REF! = "produs"</formula>
    </cfRule>
    <cfRule type="expression" dxfId="4822" priority="5478">
      <formula>#REF! = "obiectiv"</formula>
    </cfRule>
  </conditionalFormatting>
  <conditionalFormatting sqref="L1666:P1666">
    <cfRule type="expression" dxfId="4821" priority="6319">
      <formula>#REF! = "produs"</formula>
    </cfRule>
    <cfRule type="expression" dxfId="4820" priority="6320">
      <formula>#REF! = "obiectiv"</formula>
    </cfRule>
  </conditionalFormatting>
  <conditionalFormatting sqref="K1663:P1663 W1663:IU1663">
    <cfRule type="expression" dxfId="4819" priority="6315">
      <formula>#REF! = "produs"</formula>
    </cfRule>
    <cfRule type="expression" dxfId="4818" priority="6316">
      <formula>#REF! = "obiectiv"</formula>
    </cfRule>
  </conditionalFormatting>
  <conditionalFormatting sqref="J1660 J1650">
    <cfRule type="expression" dxfId="4817" priority="6311">
      <formula>#REF! = "produs"</formula>
    </cfRule>
    <cfRule type="expression" dxfId="4816" priority="6312">
      <formula>#REF! = "obiectiv"</formula>
    </cfRule>
  </conditionalFormatting>
  <conditionalFormatting sqref="Q1652:U1658">
    <cfRule type="expression" dxfId="4815" priority="6309">
      <formula>#REF! = "produs"</formula>
    </cfRule>
    <cfRule type="expression" dxfId="4814" priority="6310">
      <formula>#REF! = "obiectiv"</formula>
    </cfRule>
  </conditionalFormatting>
  <conditionalFormatting sqref="Q1662:U1668">
    <cfRule type="expression" dxfId="4813" priority="6307">
      <formula>#REF! = "produs"</formula>
    </cfRule>
    <cfRule type="expression" dxfId="4812" priority="6308">
      <formula>#REF! = "obiectiv"</formula>
    </cfRule>
  </conditionalFormatting>
  <conditionalFormatting sqref="H1660">
    <cfRule type="expression" dxfId="4811" priority="6303">
      <formula>#REF! = "produs"</formula>
    </cfRule>
    <cfRule type="expression" dxfId="4810" priority="6304">
      <formula>#REF! = "obiectiv"</formula>
    </cfRule>
  </conditionalFormatting>
  <conditionalFormatting sqref="Q1660:U1660 Q1650:U1650">
    <cfRule type="expression" dxfId="4809" priority="6305">
      <formula>#REF! = "produs"</formula>
    </cfRule>
    <cfRule type="expression" dxfId="4808" priority="6306">
      <formula>#REF! = "obiectiv"</formula>
    </cfRule>
  </conditionalFormatting>
  <conditionalFormatting sqref="L32:P32">
    <cfRule type="expression" dxfId="4807" priority="5495">
      <formula>#REF! = "produs"</formula>
    </cfRule>
    <cfRule type="expression" dxfId="4806" priority="5496">
      <formula>#REF! = "obiectiv"</formula>
    </cfRule>
  </conditionalFormatting>
  <conditionalFormatting sqref="G1660">
    <cfRule type="expression" dxfId="4805" priority="6299">
      <formula>#REF! = "produs"</formula>
    </cfRule>
    <cfRule type="expression" dxfId="4804" priority="6300">
      <formula>#REF! = "obiectiv"</formula>
    </cfRule>
  </conditionalFormatting>
  <conditionalFormatting sqref="L135:P136 L128:P129 L131:P132">
    <cfRule type="expression" dxfId="4803" priority="6225">
      <formula>#REF! = "produs"</formula>
    </cfRule>
    <cfRule type="expression" dxfId="4802" priority="6226">
      <formula>#REF! = "obiectiv"</formula>
    </cfRule>
  </conditionalFormatting>
  <conditionalFormatting sqref="L1758:P1758">
    <cfRule type="expression" dxfId="4801" priority="6289">
      <formula>#REF! = "produs"</formula>
    </cfRule>
    <cfRule type="expression" dxfId="4800" priority="6290">
      <formula>#REF! = "obiectiv"</formula>
    </cfRule>
  </conditionalFormatting>
  <conditionalFormatting sqref="L1832:P1832">
    <cfRule type="expression" dxfId="4799" priority="6287">
      <formula>#REF! = "produs"</formula>
    </cfRule>
    <cfRule type="expression" dxfId="4798" priority="6288">
      <formula>#REF! = "obiectiv"</formula>
    </cfRule>
  </conditionalFormatting>
  <conditionalFormatting sqref="L1840:P1840">
    <cfRule type="expression" dxfId="4797" priority="6285">
      <formula>#REF! = "produs"</formula>
    </cfRule>
    <cfRule type="expression" dxfId="4796" priority="6286">
      <formula>#REF! = "obiectiv"</formula>
    </cfRule>
  </conditionalFormatting>
  <conditionalFormatting sqref="K35">
    <cfRule type="expression" dxfId="4795" priority="5479">
      <formula>#REF! = "produs"</formula>
    </cfRule>
    <cfRule type="expression" dxfId="4794" priority="5480">
      <formula>#REF! = "obiectiv"</formula>
    </cfRule>
  </conditionalFormatting>
  <conditionalFormatting sqref="L147:P147">
    <cfRule type="expression" dxfId="4793" priority="6205">
      <formula>#REF! = "produs"</formula>
    </cfRule>
    <cfRule type="expression" dxfId="4792" priority="6206">
      <formula>#REF! = "obiectiv"</formula>
    </cfRule>
  </conditionalFormatting>
  <conditionalFormatting sqref="L166:P167 L162:P162 L159:P160 L163">
    <cfRule type="expression" dxfId="4791" priority="6203">
      <formula>#REF! = "produs"</formula>
    </cfRule>
    <cfRule type="expression" dxfId="4790" priority="6204">
      <formula>#REF! = "obiectiv"</formula>
    </cfRule>
  </conditionalFormatting>
  <conditionalFormatting sqref="L164:P164">
    <cfRule type="expression" dxfId="4789" priority="6199">
      <formula>#REF! = "produs"</formula>
    </cfRule>
    <cfRule type="expression" dxfId="4788" priority="6200">
      <formula>#REF! = "obiectiv"</formula>
    </cfRule>
  </conditionalFormatting>
  <conditionalFormatting sqref="N163:P163">
    <cfRule type="expression" dxfId="4787" priority="6195">
      <formula>#REF! = "produs"</formula>
    </cfRule>
    <cfRule type="expression" dxfId="4786" priority="6196">
      <formula>#REF! = "obiectiv"</formula>
    </cfRule>
  </conditionalFormatting>
  <conditionalFormatting sqref="M163">
    <cfRule type="expression" dxfId="4785" priority="6193">
      <formula>#REF! = "produs"</formula>
    </cfRule>
    <cfRule type="expression" dxfId="4784" priority="6194">
      <formula>#REF! = "obiectiv"</formula>
    </cfRule>
  </conditionalFormatting>
  <conditionalFormatting sqref="O161:P161">
    <cfRule type="expression" dxfId="4783" priority="6191">
      <formula>#REF! = "produs"</formula>
    </cfRule>
    <cfRule type="expression" dxfId="4782" priority="6192">
      <formula>#REF! = "obiectiv"</formula>
    </cfRule>
  </conditionalFormatting>
  <conditionalFormatting sqref="Q35:U44">
    <cfRule type="expression" dxfId="4781" priority="5473">
      <formula>#REF! = "produs"</formula>
    </cfRule>
    <cfRule type="expression" dxfId="4780" priority="5474">
      <formula>#REF! = "obiectiv"</formula>
    </cfRule>
  </conditionalFormatting>
  <conditionalFormatting sqref="J36 J43:J44 J41 J39">
    <cfRule type="expression" dxfId="4779" priority="5469">
      <formula>#REF! = "produs"</formula>
    </cfRule>
    <cfRule type="expression" dxfId="4778" priority="5470">
      <formula>#REF! = "obiectiv"</formula>
    </cfRule>
  </conditionalFormatting>
  <conditionalFormatting sqref="L161:N161">
    <cfRule type="expression" dxfId="4777" priority="6197">
      <formula>#REF! = "produs"</formula>
    </cfRule>
    <cfRule type="expression" dxfId="4776" priority="6198">
      <formula>#REF! = "obiectiv"</formula>
    </cfRule>
  </conditionalFormatting>
  <conditionalFormatting sqref="H35">
    <cfRule type="expression" dxfId="4775" priority="5449">
      <formula>#REF! = "produs"</formula>
    </cfRule>
    <cfRule type="expression" dxfId="4774" priority="5450">
      <formula>#REF! = "obiectiv"</formula>
    </cfRule>
  </conditionalFormatting>
  <conditionalFormatting sqref="L165:P165">
    <cfRule type="expression" dxfId="4773" priority="6201">
      <formula>#REF! = "produs"</formula>
    </cfRule>
    <cfRule type="expression" dxfId="4772" priority="6202">
      <formula>#REF! = "obiectiv"</formula>
    </cfRule>
  </conditionalFormatting>
  <conditionalFormatting sqref="L43:P43 L39:P40 L36:P37">
    <cfRule type="expression" dxfId="4771" priority="5443">
      <formula>#REF! = "produs"</formula>
    </cfRule>
    <cfRule type="expression" dxfId="4770" priority="5444">
      <formula>#REF! = "obiectiv"</formula>
    </cfRule>
  </conditionalFormatting>
  <conditionalFormatting sqref="L330:P330">
    <cfRule type="expression" dxfId="4769" priority="5111">
      <formula>#REF! = "produs"</formula>
    </cfRule>
    <cfRule type="expression" dxfId="4768" priority="5112">
      <formula>#REF! = "obiectiv"</formula>
    </cfRule>
  </conditionalFormatting>
  <conditionalFormatting sqref="L362:P362">
    <cfRule type="expression" dxfId="4767" priority="5091">
      <formula>#REF! = "produs"</formula>
    </cfRule>
    <cfRule type="expression" dxfId="4766" priority="5092">
      <formula>#REF! = "obiectiv"</formula>
    </cfRule>
  </conditionalFormatting>
  <conditionalFormatting sqref="K38 W38:IU38">
    <cfRule type="expression" dxfId="4765" priority="5459">
      <formula>#REF! = "produs"</formula>
    </cfRule>
    <cfRule type="expression" dxfId="4764" priority="5460">
      <formula>#REF! = "obiectiv"</formula>
    </cfRule>
  </conditionalFormatting>
  <conditionalFormatting sqref="L31:N31">
    <cfRule type="expression" dxfId="4763" priority="5493">
      <formula>#REF! = "produs"</formula>
    </cfRule>
    <cfRule type="expression" dxfId="4762" priority="5494">
      <formula>#REF! = "obiectiv"</formula>
    </cfRule>
  </conditionalFormatting>
  <conditionalFormatting sqref="L28:P28">
    <cfRule type="expression" dxfId="4761" priority="5491">
      <formula>#REF! = "produs"</formula>
    </cfRule>
    <cfRule type="expression" dxfId="4760" priority="5492">
      <formula>#REF! = "obiectiv"</formula>
    </cfRule>
  </conditionalFormatting>
  <conditionalFormatting sqref="L127:P127">
    <cfRule type="expression" dxfId="4759" priority="6219">
      <formula>#REF! = "produs"</formula>
    </cfRule>
    <cfRule type="expression" dxfId="4758" priority="6220">
      <formula>#REF! = "obiectiv"</formula>
    </cfRule>
  </conditionalFormatting>
  <conditionalFormatting sqref="L130:P130">
    <cfRule type="expression" dxfId="4757" priority="6217">
      <formula>#REF! = "produs"</formula>
    </cfRule>
    <cfRule type="expression" dxfId="4756" priority="6218">
      <formula>#REF! = "obiectiv"</formula>
    </cfRule>
  </conditionalFormatting>
  <conditionalFormatting sqref="L358:P358">
    <cfRule type="expression" dxfId="4755" priority="5089">
      <formula>#REF! = "produs"</formula>
    </cfRule>
    <cfRule type="expression" dxfId="4754" priority="5090">
      <formula>#REF! = "obiectiv"</formula>
    </cfRule>
  </conditionalFormatting>
  <conditionalFormatting sqref="L42:P42">
    <cfRule type="expression" dxfId="4753" priority="5441">
      <formula>#REF! = "produs"</formula>
    </cfRule>
    <cfRule type="expression" dxfId="4752" priority="5442">
      <formula>#REF! = "obiectiv"</formula>
    </cfRule>
  </conditionalFormatting>
  <conditionalFormatting sqref="J35:J36 J38:J44">
    <cfRule type="expression" dxfId="4751" priority="5475">
      <formula>#REF! = "produs"</formula>
    </cfRule>
    <cfRule type="expression" dxfId="4750" priority="5476">
      <formula>#REF! = "obiectiv"</formula>
    </cfRule>
  </conditionalFormatting>
  <conditionalFormatting sqref="L38:P38">
    <cfRule type="expression" dxfId="4749" priority="5437">
      <formula>#REF! = "produs"</formula>
    </cfRule>
    <cfRule type="expression" dxfId="4748" priority="5438">
      <formula>#REF! = "obiectiv"</formula>
    </cfRule>
  </conditionalFormatting>
  <conditionalFormatting sqref="L174:P174">
    <cfRule type="expression" dxfId="4747" priority="6185">
      <formula>#REF! = "produs"</formula>
    </cfRule>
    <cfRule type="expression" dxfId="4746" priority="6186">
      <formula>#REF! = "obiectiv"</formula>
    </cfRule>
  </conditionalFormatting>
  <conditionalFormatting sqref="L175:P175">
    <cfRule type="expression" dxfId="4745" priority="6187">
      <formula>#REF! = "produs"</formula>
    </cfRule>
    <cfRule type="expression" dxfId="4744" priority="6188">
      <formula>#REF! = "obiectiv"</formula>
    </cfRule>
  </conditionalFormatting>
  <conditionalFormatting sqref="L176:P176 L172:P172 L170:P170">
    <cfRule type="expression" dxfId="4743" priority="6189">
      <formula>#REF! = "produs"</formula>
    </cfRule>
    <cfRule type="expression" dxfId="4742" priority="6190">
      <formula>#REF! = "obiectiv"</formula>
    </cfRule>
  </conditionalFormatting>
  <conditionalFormatting sqref="L171:P171">
    <cfRule type="expression" dxfId="4741" priority="6183">
      <formula>#REF! = "produs"</formula>
    </cfRule>
    <cfRule type="expression" dxfId="4740" priority="6184">
      <formula>#REF! = "obiectiv"</formula>
    </cfRule>
  </conditionalFormatting>
  <conditionalFormatting sqref="G189">
    <cfRule type="expression" dxfId="4739" priority="6181">
      <formula>#REF! = "produs"</formula>
    </cfRule>
    <cfRule type="expression" dxfId="4738" priority="6182">
      <formula>#REF! = "obiectiv"</formula>
    </cfRule>
  </conditionalFormatting>
  <conditionalFormatting sqref="L325:P326 L332:P333 L328:P329">
    <cfRule type="expression" dxfId="4737" priority="5115">
      <formula>#REF! = "produs"</formula>
    </cfRule>
    <cfRule type="expression" dxfId="4736" priority="5116">
      <formula>#REF! = "obiectiv"</formula>
    </cfRule>
  </conditionalFormatting>
  <conditionalFormatting sqref="L331:P331">
    <cfRule type="expression" dxfId="4735" priority="5113">
      <formula>#REF! = "produs"</formula>
    </cfRule>
    <cfRule type="expression" dxfId="4734" priority="5114">
      <formula>#REF! = "obiectiv"</formula>
    </cfRule>
  </conditionalFormatting>
  <conditionalFormatting sqref="L327:P327">
    <cfRule type="expression" dxfId="4733" priority="5109">
      <formula>#REF! = "produs"</formula>
    </cfRule>
    <cfRule type="expression" dxfId="4732" priority="5110">
      <formula>#REF! = "obiectiv"</formula>
    </cfRule>
  </conditionalFormatting>
  <conditionalFormatting sqref="L324:P324">
    <cfRule type="expression" dxfId="4731" priority="5107">
      <formula>#REF! = "produs"</formula>
    </cfRule>
    <cfRule type="expression" dxfId="4730" priority="5108">
      <formula>#REF! = "obiectiv"</formula>
    </cfRule>
  </conditionalFormatting>
  <conditionalFormatting sqref="L345:P354">
    <cfRule type="expression" dxfId="4729" priority="5105">
      <formula>#REF! = "produs"</formula>
    </cfRule>
    <cfRule type="expression" dxfId="4728" priority="5106">
      <formula>#REF! = "obiectiv"</formula>
    </cfRule>
  </conditionalFormatting>
  <conditionalFormatting sqref="G209">
    <cfRule type="expression" dxfId="4727" priority="6167">
      <formula>#REF! = "produs"</formula>
    </cfRule>
    <cfRule type="expression" dxfId="4726" priority="6168">
      <formula>#REF! = "obiectiv"</formula>
    </cfRule>
  </conditionalFormatting>
  <conditionalFormatting sqref="L295:P295">
    <cfRule type="expression" dxfId="4725" priority="5119">
      <formula>#REF! = "produs"</formula>
    </cfRule>
    <cfRule type="expression" dxfId="4724" priority="5120">
      <formula>#REF! = "obiectiv"</formula>
    </cfRule>
  </conditionalFormatting>
  <conditionalFormatting sqref="L319:P319">
    <cfRule type="expression" dxfId="4723" priority="5117">
      <formula>#REF! = "produs"</formula>
    </cfRule>
    <cfRule type="expression" dxfId="4722" priority="5118">
      <formula>#REF! = "obiectiv"</formula>
    </cfRule>
  </conditionalFormatting>
  <conditionalFormatting sqref="J1378">
    <cfRule type="expression" dxfId="4721" priority="5659">
      <formula>#REF! = "produs"</formula>
    </cfRule>
    <cfRule type="expression" dxfId="4720" priority="5660">
      <formula>#REF! = "obiectiv"</formula>
    </cfRule>
  </conditionalFormatting>
  <conditionalFormatting sqref="L321:P322 L314:P315 L317:P318">
    <cfRule type="expression" dxfId="4719" priority="6151">
      <formula>#REF! = "produs"</formula>
    </cfRule>
    <cfRule type="expression" dxfId="4718" priority="6152">
      <formula>#REF! = "obiectiv"</formula>
    </cfRule>
  </conditionalFormatting>
  <conditionalFormatting sqref="L363:P364 L356:P357 L359:P360">
    <cfRule type="expression" dxfId="4717" priority="5093">
      <formula>#REF! = "produs"</formula>
    </cfRule>
    <cfRule type="expression" dxfId="4716" priority="5094">
      <formula>#REF! = "obiectiv"</formula>
    </cfRule>
  </conditionalFormatting>
  <conditionalFormatting sqref="G35">
    <cfRule type="expression" dxfId="4715" priority="5451">
      <formula>#REF! = "produs"</formula>
    </cfRule>
    <cfRule type="expression" dxfId="4714" priority="5452">
      <formula>#REF! = "obiectiv"</formula>
    </cfRule>
  </conditionalFormatting>
  <conditionalFormatting sqref="G355">
    <cfRule type="expression" dxfId="4713" priority="6111">
      <formula>#REF! = "produs"</formula>
    </cfRule>
    <cfRule type="expression" dxfId="4712" priority="6112">
      <formula>#REF! = "obiectiv"</formula>
    </cfRule>
  </conditionalFormatting>
  <conditionalFormatting sqref="L298:P298">
    <cfRule type="expression" dxfId="4711" priority="5121">
      <formula>#REF! = "produs"</formula>
    </cfRule>
    <cfRule type="expression" dxfId="4710" priority="5122">
      <formula>#REF! = "obiectiv"</formula>
    </cfRule>
  </conditionalFormatting>
  <conditionalFormatting sqref="L345:P354">
    <cfRule type="expression" dxfId="4709" priority="5103">
      <formula>#REF! = "produs"</formula>
    </cfRule>
    <cfRule type="expression" dxfId="4708" priority="5104">
      <formula>#REF! = "obiectiv"</formula>
    </cfRule>
  </conditionalFormatting>
  <conditionalFormatting sqref="L353:P354 L349:P350 L346:P347">
    <cfRule type="expression" dxfId="4707" priority="5101">
      <formula>#REF! = "produs"</formula>
    </cfRule>
    <cfRule type="expression" dxfId="4706" priority="5102">
      <formula>#REF! = "obiectiv"</formula>
    </cfRule>
  </conditionalFormatting>
  <conditionalFormatting sqref="L352:P352">
    <cfRule type="expression" dxfId="4705" priority="5099">
      <formula>#REF! = "produs"</formula>
    </cfRule>
    <cfRule type="expression" dxfId="4704" priority="5100">
      <formula>#REF! = "obiectiv"</formula>
    </cfRule>
  </conditionalFormatting>
  <conditionalFormatting sqref="L292:P292">
    <cfRule type="expression" dxfId="4703" priority="5127">
      <formula>#REF! = "produs"</formula>
    </cfRule>
    <cfRule type="expression" dxfId="4702" priority="5128">
      <formula>#REF! = "obiectiv"</formula>
    </cfRule>
  </conditionalFormatting>
  <conditionalFormatting sqref="L300:P301 L293:P294 L296:P297">
    <cfRule type="expression" dxfId="4701" priority="5125">
      <formula>#REF! = "produs"</formula>
    </cfRule>
    <cfRule type="expression" dxfId="4700" priority="5126">
      <formula>#REF! = "obiectiv"</formula>
    </cfRule>
  </conditionalFormatting>
  <conditionalFormatting sqref="L299:P299">
    <cfRule type="expression" dxfId="4699" priority="5123">
      <formula>#REF! = "produs"</formula>
    </cfRule>
    <cfRule type="expression" dxfId="4698" priority="5124">
      <formula>#REF! = "obiectiv"</formula>
    </cfRule>
  </conditionalFormatting>
  <conditionalFormatting sqref="G2082 G2092">
    <cfRule type="expression" dxfId="4697" priority="5615">
      <formula>#REF! = "produs"</formula>
    </cfRule>
    <cfRule type="expression" dxfId="4696" priority="5616">
      <formula>#REF! = "obiectiv"</formula>
    </cfRule>
  </conditionalFormatting>
  <conditionalFormatting sqref="Q2132:U2132">
    <cfRule type="expression" dxfId="4695" priority="5583">
      <formula>#REF! = "produs"</formula>
    </cfRule>
    <cfRule type="expression" dxfId="4694" priority="5584">
      <formula>#REF! = "obiectiv"</formula>
    </cfRule>
  </conditionalFormatting>
  <conditionalFormatting sqref="L351:P351">
    <cfRule type="expression" dxfId="4693" priority="5097">
      <formula>#REF! = "produs"</formula>
    </cfRule>
    <cfRule type="expression" dxfId="4692" priority="5098">
      <formula>#REF! = "obiectiv"</formula>
    </cfRule>
  </conditionalFormatting>
  <conditionalFormatting sqref="L348:P348">
    <cfRule type="expression" dxfId="4691" priority="5095">
      <formula>#REF! = "produs"</formula>
    </cfRule>
    <cfRule type="expression" dxfId="4690" priority="5096">
      <formula>#REF! = "obiectiv"</formula>
    </cfRule>
  </conditionalFormatting>
  <conditionalFormatting sqref="L44:P44">
    <cfRule type="expression" dxfId="4689" priority="5433">
      <formula>#REF! = "produs"</formula>
    </cfRule>
    <cfRule type="expression" dxfId="4688" priority="5434">
      <formula>#REF! = "obiectiv"</formula>
    </cfRule>
  </conditionalFormatting>
  <conditionalFormatting sqref="O41:P41">
    <cfRule type="expression" dxfId="4687" priority="5435">
      <formula>#REF! = "produs"</formula>
    </cfRule>
    <cfRule type="expression" dxfId="4686" priority="5436">
      <formula>#REF! = "obiectiv"</formula>
    </cfRule>
  </conditionalFormatting>
  <conditionalFormatting sqref="L54:P55 L50:P50 L47:P48">
    <cfRule type="expression" dxfId="4685" priority="5431">
      <formula>#REF! = "produs"</formula>
    </cfRule>
    <cfRule type="expression" dxfId="4684" priority="5432">
      <formula>#REF! = "obiectiv"</formula>
    </cfRule>
  </conditionalFormatting>
  <conditionalFormatting sqref="L1380:U1380 L1379:P1379 L1372:U1372 L1373:P1373 L1375:P1376">
    <cfRule type="expression" dxfId="4683" priority="5661">
      <formula>#REF! = "produs"</formula>
    </cfRule>
    <cfRule type="expression" dxfId="4682" priority="5662">
      <formula>#REF! = "obiectiv"</formula>
    </cfRule>
  </conditionalFormatting>
  <conditionalFormatting sqref="L2056:P2056">
    <cfRule type="expression" dxfId="4681" priority="5623">
      <formula>#REF! = "produs"</formula>
    </cfRule>
    <cfRule type="expression" dxfId="4680" priority="5624">
      <formula>#REF! = "obiectiv"</formula>
    </cfRule>
  </conditionalFormatting>
  <conditionalFormatting sqref="L121:P122 L125:P126 L118:P119">
    <cfRule type="expression" dxfId="4679" priority="5363">
      <formula>#REF! = "produs"</formula>
    </cfRule>
    <cfRule type="expression" dxfId="4678" priority="5364">
      <formula>#REF! = "obiectiv"</formula>
    </cfRule>
  </conditionalFormatting>
  <conditionalFormatting sqref="H2132">
    <cfRule type="expression" dxfId="4677" priority="5581">
      <formula>#REF! = "produs"</formula>
    </cfRule>
    <cfRule type="expression" dxfId="4676" priority="5582">
      <formula>#REF! = "obiectiv"</formula>
    </cfRule>
  </conditionalFormatting>
  <conditionalFormatting sqref="J2134">
    <cfRule type="expression" dxfId="4675" priority="5579">
      <formula>#REF! = "produs"</formula>
    </cfRule>
    <cfRule type="expression" dxfId="4674" priority="5580">
      <formula>#REF! = "obiectiv"</formula>
    </cfRule>
  </conditionalFormatting>
  <conditionalFormatting sqref="G2102">
    <cfRule type="expression" dxfId="4673" priority="5613">
      <formula>#REF! = "produs"</formula>
    </cfRule>
    <cfRule type="expression" dxfId="4672" priority="5614">
      <formula>#REF! = "obiectiv"</formula>
    </cfRule>
  </conditionalFormatting>
  <conditionalFormatting sqref="Q2134:U2140">
    <cfRule type="expression" dxfId="4671" priority="5585">
      <formula>#REF! = "produs"</formula>
    </cfRule>
    <cfRule type="expression" dxfId="4670" priority="5586">
      <formula>#REF! = "obiectiv"</formula>
    </cfRule>
  </conditionalFormatting>
  <conditionalFormatting sqref="L2139:P2139">
    <cfRule type="expression" dxfId="4669" priority="5595">
      <formula>#REF! = "produs"</formula>
    </cfRule>
    <cfRule type="expression" dxfId="4668" priority="5596">
      <formula>#REF! = "obiectiv"</formula>
    </cfRule>
  </conditionalFormatting>
  <conditionalFormatting sqref="J2137">
    <cfRule type="expression" dxfId="4667" priority="5591">
      <formula>#REF! = "produs"</formula>
    </cfRule>
    <cfRule type="expression" dxfId="4666" priority="5592">
      <formula>#REF! = "obiectiv"</formula>
    </cfRule>
  </conditionalFormatting>
  <conditionalFormatting sqref="G2132">
    <cfRule type="expression" dxfId="4665" priority="5577">
      <formula>#REF! = "produs"</formula>
    </cfRule>
    <cfRule type="expression" dxfId="4664" priority="5578">
      <formula>#REF! = "obiectiv"</formula>
    </cfRule>
  </conditionalFormatting>
  <conditionalFormatting sqref="G2122">
    <cfRule type="expression" dxfId="4663" priority="5609">
      <formula>#REF! = "produs"</formula>
    </cfRule>
    <cfRule type="expression" dxfId="4662" priority="5610">
      <formula>#REF! = "obiectiv"</formula>
    </cfRule>
  </conditionalFormatting>
  <conditionalFormatting sqref="W2133:IU2134 W2136:IU2141">
    <cfRule type="expression" dxfId="4661" priority="5605">
      <formula>#REF! = "produs"</formula>
    </cfRule>
    <cfRule type="expression" dxfId="4660" priority="5606">
      <formula>#REF! = "obiectiv"</formula>
    </cfRule>
  </conditionalFormatting>
  <conditionalFormatting sqref="G2112">
    <cfRule type="expression" dxfId="4659" priority="5611">
      <formula>#REF! = "produs"</formula>
    </cfRule>
    <cfRule type="expression" dxfId="4658" priority="5612">
      <formula>#REF! = "obiectiv"</formula>
    </cfRule>
  </conditionalFormatting>
  <conditionalFormatting sqref="J2133 J2140:J2141 J2138 J2136">
    <cfRule type="expression" dxfId="4657" priority="5601">
      <formula>#REF! = "produs"</formula>
    </cfRule>
    <cfRule type="expression" dxfId="4656" priority="5602">
      <formula>#REF! = "obiectiv"</formula>
    </cfRule>
  </conditionalFormatting>
  <conditionalFormatting sqref="V2132:V2141">
    <cfRule type="expression" dxfId="4655" priority="5607">
      <formula>#REF! = "produs"</formula>
    </cfRule>
    <cfRule type="expression" dxfId="4654" priority="5608">
      <formula>#REF! = "obiectiv"</formula>
    </cfRule>
  </conditionalFormatting>
  <conditionalFormatting sqref="K2133:K2134 K2136:K2141">
    <cfRule type="expression" dxfId="4653" priority="5603">
      <formula>#REF! = "produs"</formula>
    </cfRule>
    <cfRule type="expression" dxfId="4652" priority="5604">
      <formula>#REF! = "obiectiv"</formula>
    </cfRule>
  </conditionalFormatting>
  <conditionalFormatting sqref="L2141:U2141 L2140:P2140 L2134:P2134 L2133:U2133 L2136:P2137">
    <cfRule type="expression" dxfId="4651" priority="5599">
      <formula>#REF! = "produs"</formula>
    </cfRule>
    <cfRule type="expression" dxfId="4650" priority="5600">
      <formula>#REF! = "obiectiv"</formula>
    </cfRule>
  </conditionalFormatting>
  <conditionalFormatting sqref="J2139">
    <cfRule type="expression" dxfId="4649" priority="5597">
      <formula>#REF! = "produs"</formula>
    </cfRule>
    <cfRule type="expression" dxfId="4648" priority="5598">
      <formula>#REF! = "obiectiv"</formula>
    </cfRule>
  </conditionalFormatting>
  <conditionalFormatting sqref="L2138:P2138">
    <cfRule type="expression" dxfId="4647" priority="5593">
      <formula>#REF! = "produs"</formula>
    </cfRule>
    <cfRule type="expression" dxfId="4646" priority="5594">
      <formula>#REF! = "obiectiv"</formula>
    </cfRule>
  </conditionalFormatting>
  <conditionalFormatting sqref="K2135:P2135 W2135:IU2135">
    <cfRule type="expression" dxfId="4645" priority="5589">
      <formula>#REF! = "produs"</formula>
    </cfRule>
    <cfRule type="expression" dxfId="4644" priority="5590">
      <formula>#REF! = "obiectiv"</formula>
    </cfRule>
  </conditionalFormatting>
  <conditionalFormatting sqref="J2135">
    <cfRule type="expression" dxfId="4643" priority="5587">
      <formula>#REF! = "produs"</formula>
    </cfRule>
    <cfRule type="expression" dxfId="4642" priority="5588">
      <formula>#REF! = "obiectiv"</formula>
    </cfRule>
  </conditionalFormatting>
  <conditionalFormatting sqref="L94:P94">
    <cfRule type="expression" dxfId="4641" priority="5387">
      <formula>#REF! = "produs"</formula>
    </cfRule>
    <cfRule type="expression" dxfId="4640" priority="5388">
      <formula>#REF! = "obiectiv"</formula>
    </cfRule>
  </conditionalFormatting>
  <conditionalFormatting sqref="L93:P93">
    <cfRule type="expression" dxfId="4639" priority="5385">
      <formula>#REF! = "produs"</formula>
    </cfRule>
    <cfRule type="expression" dxfId="4638" priority="5386">
      <formula>#REF! = "obiectiv"</formula>
    </cfRule>
  </conditionalFormatting>
  <conditionalFormatting sqref="K90:P90">
    <cfRule type="expression" dxfId="4637" priority="5383">
      <formula>#REF! = "produs"</formula>
    </cfRule>
    <cfRule type="expression" dxfId="4636" priority="5384">
      <formula>#REF! = "obiectiv"</formula>
    </cfRule>
  </conditionalFormatting>
  <conditionalFormatting sqref="K244:P244">
    <cfRule type="expression" dxfId="4635" priority="5187">
      <formula>#REF! = "produs"</formula>
    </cfRule>
    <cfRule type="expression" dxfId="4634" priority="5188">
      <formula>#REF! = "obiectiv"</formula>
    </cfRule>
  </conditionalFormatting>
  <conditionalFormatting sqref="K251:P251">
    <cfRule type="expression" dxfId="4633" priority="5185">
      <formula>#REF! = "produs"</formula>
    </cfRule>
    <cfRule type="expression" dxfId="4632" priority="5186">
      <formula>#REF! = "obiectiv"</formula>
    </cfRule>
  </conditionalFormatting>
  <conditionalFormatting sqref="K255:K260 K252:K253">
    <cfRule type="expression" dxfId="4631" priority="5183">
      <formula>#REF! = "produs"</formula>
    </cfRule>
    <cfRule type="expression" dxfId="4630" priority="5184">
      <formula>#REF! = "obiectiv"</formula>
    </cfRule>
  </conditionalFormatting>
  <conditionalFormatting sqref="L1315:P1315">
    <cfRule type="expression" dxfId="4629" priority="5527">
      <formula>#REF! = "produs"</formula>
    </cfRule>
    <cfRule type="expression" dxfId="4628" priority="5528">
      <formula>#REF! = "obiectiv"</formula>
    </cfRule>
  </conditionalFormatting>
  <conditionalFormatting sqref="L1305:P1305">
    <cfRule type="expression" dxfId="4627" priority="5525">
      <formula>#REF! = "produs"</formula>
    </cfRule>
    <cfRule type="expression" dxfId="4626" priority="5526">
      <formula>#REF! = "obiectiv"</formula>
    </cfRule>
  </conditionalFormatting>
  <conditionalFormatting sqref="L1305:P1305">
    <cfRule type="expression" dxfId="4625" priority="5523">
      <formula>#REF! = "produs"</formula>
    </cfRule>
    <cfRule type="expression" dxfId="4624" priority="5524">
      <formula>#REF! = "obiectiv"</formula>
    </cfRule>
  </conditionalFormatting>
  <conditionalFormatting sqref="L1294:P1294">
    <cfRule type="expression" dxfId="4623" priority="5521">
      <formula>#REF! = "produs"</formula>
    </cfRule>
    <cfRule type="expression" dxfId="4622" priority="5522">
      <formula>#REF! = "obiectiv"</formula>
    </cfRule>
  </conditionalFormatting>
  <conditionalFormatting sqref="L1294:P1294">
    <cfRule type="expression" dxfId="4621" priority="5519">
      <formula>#REF! = "produs"</formula>
    </cfRule>
    <cfRule type="expression" dxfId="4620" priority="5520">
      <formula>#REF! = "obiectiv"</formula>
    </cfRule>
  </conditionalFormatting>
  <conditionalFormatting sqref="L1284:P1284">
    <cfRule type="expression" dxfId="4619" priority="5517">
      <formula>#REF! = "produs"</formula>
    </cfRule>
    <cfRule type="expression" dxfId="4618" priority="5518">
      <formula>#REF! = "obiectiv"</formula>
    </cfRule>
  </conditionalFormatting>
  <conditionalFormatting sqref="L1284:P1284">
    <cfRule type="expression" dxfId="4617" priority="5515">
      <formula>#REF! = "produs"</formula>
    </cfRule>
    <cfRule type="expression" dxfId="4616" priority="5516">
      <formula>#REF! = "obiectiv"</formula>
    </cfRule>
  </conditionalFormatting>
  <conditionalFormatting sqref="L1274:P1274">
    <cfRule type="expression" dxfId="4615" priority="5513">
      <formula>#REF! = "produs"</formula>
    </cfRule>
    <cfRule type="expression" dxfId="4614" priority="5514">
      <formula>#REF! = "obiectiv"</formula>
    </cfRule>
  </conditionalFormatting>
  <conditionalFormatting sqref="L1274:P1274">
    <cfRule type="expression" dxfId="4613" priority="5511">
      <formula>#REF! = "produs"</formula>
    </cfRule>
    <cfRule type="expression" dxfId="4612" priority="5512">
      <formula>#REF! = "obiectiv"</formula>
    </cfRule>
  </conditionalFormatting>
  <conditionalFormatting sqref="L1264:P1264">
    <cfRule type="expression" dxfId="4611" priority="5509">
      <formula>#REF! = "produs"</formula>
    </cfRule>
    <cfRule type="expression" dxfId="4610" priority="5510">
      <formula>#REF! = "obiectiv"</formula>
    </cfRule>
  </conditionalFormatting>
  <conditionalFormatting sqref="L1264:P1264">
    <cfRule type="expression" dxfId="4609" priority="5507">
      <formula>#REF! = "produs"</formula>
    </cfRule>
    <cfRule type="expression" dxfId="4608" priority="5508">
      <formula>#REF! = "obiectiv"</formula>
    </cfRule>
  </conditionalFormatting>
  <conditionalFormatting sqref="L1254:P1254">
    <cfRule type="expression" dxfId="4607" priority="5505">
      <formula>#REF! = "produs"</formula>
    </cfRule>
    <cfRule type="expression" dxfId="4606" priority="5506">
      <formula>#REF! = "obiectiv"</formula>
    </cfRule>
  </conditionalFormatting>
  <conditionalFormatting sqref="L1254:P1254">
    <cfRule type="expression" dxfId="4605" priority="5503">
      <formula>#REF! = "produs"</formula>
    </cfRule>
    <cfRule type="expression" dxfId="4604" priority="5504">
      <formula>#REF! = "obiectiv"</formula>
    </cfRule>
  </conditionalFormatting>
  <conditionalFormatting sqref="J42">
    <cfRule type="expression" dxfId="4603" priority="5465">
      <formula>#REF! = "produs"</formula>
    </cfRule>
    <cfRule type="expression" dxfId="4602" priority="5466">
      <formula>#REF! = "obiectiv"</formula>
    </cfRule>
  </conditionalFormatting>
  <conditionalFormatting sqref="L25:P25">
    <cfRule type="expression" dxfId="4601" priority="5499">
      <formula>#REF! = "produs"</formula>
    </cfRule>
    <cfRule type="expression" dxfId="4600" priority="5500">
      <formula>#REF! = "obiectiv"</formula>
    </cfRule>
  </conditionalFormatting>
  <conditionalFormatting sqref="J40">
    <cfRule type="expression" dxfId="4599" priority="5461">
      <formula>#REF! = "produs"</formula>
    </cfRule>
    <cfRule type="expression" dxfId="4598" priority="5462">
      <formula>#REF! = "obiectiv"</formula>
    </cfRule>
  </conditionalFormatting>
  <conditionalFormatting sqref="L56:N56">
    <cfRule type="expression" dxfId="4597" priority="5417">
      <formula>#REF! = "produs"</formula>
    </cfRule>
    <cfRule type="expression" dxfId="4596" priority="5418">
      <formula>#REF! = "obiectiv"</formula>
    </cfRule>
  </conditionalFormatting>
  <conditionalFormatting sqref="J38">
    <cfRule type="expression" dxfId="4595" priority="5457">
      <formula>#REF! = "produs"</formula>
    </cfRule>
    <cfRule type="expression" dxfId="4594" priority="5458">
      <formula>#REF! = "obiectiv"</formula>
    </cfRule>
  </conditionalFormatting>
  <conditionalFormatting sqref="Q37:U43">
    <cfRule type="expression" dxfId="4593" priority="5455">
      <formula>#REF! = "produs"</formula>
    </cfRule>
    <cfRule type="expression" dxfId="4592" priority="5456">
      <formula>#REF! = "obiectiv"</formula>
    </cfRule>
  </conditionalFormatting>
  <conditionalFormatting sqref="O31:P31">
    <cfRule type="expression" dxfId="4591" priority="5489">
      <formula>#REF! = "produs"</formula>
    </cfRule>
    <cfRule type="expression" dxfId="4590" priority="5490">
      <formula>#REF! = "obiectiv"</formula>
    </cfRule>
  </conditionalFormatting>
  <conditionalFormatting sqref="L34:P34">
    <cfRule type="expression" dxfId="4589" priority="5487">
      <formula>#REF! = "produs"</formula>
    </cfRule>
    <cfRule type="expression" dxfId="4588" priority="5488">
      <formula>#REF! = "obiectiv"</formula>
    </cfRule>
  </conditionalFormatting>
  <conditionalFormatting sqref="V35:V44">
    <cfRule type="expression" dxfId="4587" priority="5485">
      <formula>#REF! = "produs"</formula>
    </cfRule>
    <cfRule type="expression" dxfId="4586" priority="5486">
      <formula>#REF! = "obiectiv"</formula>
    </cfRule>
  </conditionalFormatting>
  <conditionalFormatting sqref="J37">
    <cfRule type="expression" dxfId="4585" priority="5447">
      <formula>#REF! = "produs"</formula>
    </cfRule>
    <cfRule type="expression" dxfId="4584" priority="5448">
      <formula>#REF! = "obiectiv"</formula>
    </cfRule>
  </conditionalFormatting>
  <conditionalFormatting sqref="L35:P35">
    <cfRule type="expression" dxfId="4583" priority="5445">
      <formula>#REF! = "produs"</formula>
    </cfRule>
    <cfRule type="expression" dxfId="4582" priority="5446">
      <formula>#REF! = "obiectiv"</formula>
    </cfRule>
  </conditionalFormatting>
  <conditionalFormatting sqref="L41:N41">
    <cfRule type="expression" dxfId="4581" priority="5439">
      <formula>#REF! = "produs"</formula>
    </cfRule>
    <cfRule type="expression" dxfId="4580" priority="5440">
      <formula>#REF! = "obiectiv"</formula>
    </cfRule>
  </conditionalFormatting>
  <conditionalFormatting sqref="K36:K37 K39:K44">
    <cfRule type="expression" dxfId="4579" priority="5471">
      <formula>#REF! = "produs"</formula>
    </cfRule>
    <cfRule type="expression" dxfId="4578" priority="5472">
      <formula>#REF! = "obiectiv"</formula>
    </cfRule>
  </conditionalFormatting>
  <conditionalFormatting sqref="Q44:U44 Q36:U36">
    <cfRule type="expression" dxfId="4577" priority="5467">
      <formula>#REF! = "produs"</formula>
    </cfRule>
    <cfRule type="expression" dxfId="4576" priority="5468">
      <formula>#REF! = "obiectiv"</formula>
    </cfRule>
  </conditionalFormatting>
  <conditionalFormatting sqref="V35:V44">
    <cfRule type="expression" dxfId="4575" priority="5463">
      <formula>#REF! = "produs"</formula>
    </cfRule>
    <cfRule type="expression" dxfId="4574" priority="5464">
      <formula>#REF! = "obiectiv"</formula>
    </cfRule>
  </conditionalFormatting>
  <conditionalFormatting sqref="Q35:U35">
    <cfRule type="expression" dxfId="4573" priority="5453">
      <formula>#REF! = "produs"</formula>
    </cfRule>
    <cfRule type="expression" dxfId="4572" priority="5454">
      <formula>#REF! = "obiectiv"</formula>
    </cfRule>
  </conditionalFormatting>
  <conditionalFormatting sqref="L113:P113">
    <cfRule type="expression" dxfId="4571" priority="5375">
      <formula>#REF! = "produs"</formula>
    </cfRule>
    <cfRule type="expression" dxfId="4570" priority="5376">
      <formula>#REF! = "obiectiv"</formula>
    </cfRule>
  </conditionalFormatting>
  <conditionalFormatting sqref="K108">
    <cfRule type="expression" dxfId="4569" priority="5373">
      <formula>#REF! = "produs"</formula>
    </cfRule>
    <cfRule type="expression" dxfId="4568" priority="5374">
      <formula>#REF! = "obiectiv"</formula>
    </cfRule>
  </conditionalFormatting>
  <conditionalFormatting sqref="H112">
    <cfRule type="expression" dxfId="4567" priority="5353">
      <formula>#REF! = "produs"</formula>
    </cfRule>
    <cfRule type="expression" dxfId="4566" priority="5354">
      <formula>#REF! = "obiectiv"</formula>
    </cfRule>
  </conditionalFormatting>
  <conditionalFormatting sqref="K118:K119 K121:K126">
    <cfRule type="expression" dxfId="4565" priority="5367">
      <formula>#REF! = "produs"</formula>
    </cfRule>
    <cfRule type="expression" dxfId="4564" priority="5368">
      <formula>#REF! = "obiectiv"</formula>
    </cfRule>
  </conditionalFormatting>
  <conditionalFormatting sqref="L145:P146 L138:P139 L141:P142">
    <cfRule type="expression" dxfId="4563" priority="5347">
      <formula>#REF! = "produs"</formula>
    </cfRule>
    <cfRule type="expression" dxfId="4562" priority="5348">
      <formula>#REF! = "obiectiv"</formula>
    </cfRule>
  </conditionalFormatting>
  <conditionalFormatting sqref="L109:P109">
    <cfRule type="expression" dxfId="4561" priority="5371">
      <formula>#REF! = "produs"</formula>
    </cfRule>
    <cfRule type="expression" dxfId="4560" priority="5372">
      <formula>#REF! = "obiectiv"</formula>
    </cfRule>
  </conditionalFormatting>
  <conditionalFormatting sqref="K110:P110">
    <cfRule type="expression" dxfId="4559" priority="5369">
      <formula>#REF! = "produs"</formula>
    </cfRule>
    <cfRule type="expression" dxfId="4558" priority="5370">
      <formula>#REF! = "obiectiv"</formula>
    </cfRule>
  </conditionalFormatting>
  <conditionalFormatting sqref="K120">
    <cfRule type="expression" dxfId="4557" priority="5365">
      <formula>#REF! = "produs"</formula>
    </cfRule>
    <cfRule type="expression" dxfId="4556" priority="5366">
      <formula>#REF! = "obiectiv"</formula>
    </cfRule>
  </conditionalFormatting>
  <conditionalFormatting sqref="L124:P124">
    <cfRule type="expression" dxfId="4555" priority="5361">
      <formula>#REF! = "produs"</formula>
    </cfRule>
    <cfRule type="expression" dxfId="4554" priority="5362">
      <formula>#REF! = "obiectiv"</formula>
    </cfRule>
  </conditionalFormatting>
  <conditionalFormatting sqref="L123:P123">
    <cfRule type="expression" dxfId="4553" priority="5359">
      <formula>#REF! = "produs"</formula>
    </cfRule>
    <cfRule type="expression" dxfId="4552" priority="5360">
      <formula>#REF! = "obiectiv"</formula>
    </cfRule>
  </conditionalFormatting>
  <conditionalFormatting sqref="L120:P120">
    <cfRule type="expression" dxfId="4551" priority="5357">
      <formula>#REF! = "produs"</formula>
    </cfRule>
    <cfRule type="expression" dxfId="4550" priority="5358">
      <formula>#REF! = "obiectiv"</formula>
    </cfRule>
  </conditionalFormatting>
  <conditionalFormatting sqref="L117:P117">
    <cfRule type="expression" dxfId="4549" priority="5355">
      <formula>#REF! = "produs"</formula>
    </cfRule>
    <cfRule type="expression" dxfId="4548" priority="5356">
      <formula>#REF! = "obiectiv"</formula>
    </cfRule>
  </conditionalFormatting>
  <conditionalFormatting sqref="H122">
    <cfRule type="expression" dxfId="4547" priority="5351">
      <formula>#REF! = "produs"</formula>
    </cfRule>
    <cfRule type="expression" dxfId="4546" priority="5352">
      <formula>#REF! = "obiectiv"</formula>
    </cfRule>
  </conditionalFormatting>
  <conditionalFormatting sqref="H132">
    <cfRule type="expression" dxfId="4545" priority="5349">
      <formula>#REF! = "produs"</formula>
    </cfRule>
    <cfRule type="expression" dxfId="4544" priority="5350">
      <formula>#REF! = "obiectiv"</formula>
    </cfRule>
  </conditionalFormatting>
  <conditionalFormatting sqref="L143:P143">
    <cfRule type="expression" dxfId="4543" priority="5343">
      <formula>#REF! = "produs"</formula>
    </cfRule>
    <cfRule type="expression" dxfId="4542" priority="5344">
      <formula>#REF! = "obiectiv"</formula>
    </cfRule>
  </conditionalFormatting>
  <conditionalFormatting sqref="L144:P144">
    <cfRule type="expression" dxfId="4541" priority="5345">
      <formula>#REF! = "produs"</formula>
    </cfRule>
    <cfRule type="expression" dxfId="4540" priority="5346">
      <formula>#REF! = "obiectiv"</formula>
    </cfRule>
  </conditionalFormatting>
  <conditionalFormatting sqref="H152">
    <cfRule type="expression" dxfId="4539" priority="5337">
      <formula>#REF! = "produs"</formula>
    </cfRule>
    <cfRule type="expression" dxfId="4538" priority="5338">
      <formula>#REF! = "obiectiv"</formula>
    </cfRule>
  </conditionalFormatting>
  <conditionalFormatting sqref="L140:P140">
    <cfRule type="expression" dxfId="4537" priority="5341">
      <formula>#REF! = "produs"</formula>
    </cfRule>
    <cfRule type="expression" dxfId="4536" priority="5342">
      <formula>#REF! = "obiectiv"</formula>
    </cfRule>
  </conditionalFormatting>
  <conditionalFormatting sqref="H142">
    <cfRule type="expression" dxfId="4535" priority="5339">
      <formula>#REF! = "produs"</formula>
    </cfRule>
    <cfRule type="expression" dxfId="4534" priority="5340">
      <formula>#REF! = "obiectiv"</formula>
    </cfRule>
  </conditionalFormatting>
  <conditionalFormatting sqref="I137">
    <cfRule type="expression" dxfId="4533" priority="5335">
      <formula>#REF! = "produs"</formula>
    </cfRule>
    <cfRule type="expression" dxfId="4532" priority="5336">
      <formula>#REF! = "obiectiv"</formula>
    </cfRule>
  </conditionalFormatting>
  <conditionalFormatting sqref="W179:IU180 W182:IU187">
    <cfRule type="expression" dxfId="4531" priority="5333">
      <formula>#REF! = "produs"</formula>
    </cfRule>
    <cfRule type="expression" dxfId="4530" priority="5334">
      <formula>#REF! = "obiectiv"</formula>
    </cfRule>
  </conditionalFormatting>
  <conditionalFormatting sqref="J178">
    <cfRule type="expression" dxfId="4529" priority="5331">
      <formula>#REF! = "produs"</formula>
    </cfRule>
    <cfRule type="expression" dxfId="4528" priority="5332">
      <formula>#REF! = "obiectiv"</formula>
    </cfRule>
  </conditionalFormatting>
  <conditionalFormatting sqref="K179:K180 K182:K187">
    <cfRule type="expression" dxfId="4527" priority="5329">
      <formula>#REF! = "produs"</formula>
    </cfRule>
    <cfRule type="expression" dxfId="4526" priority="5330">
      <formula>#REF! = "obiectiv"</formula>
    </cfRule>
  </conditionalFormatting>
  <conditionalFormatting sqref="L83:N83">
    <cfRule type="expression" dxfId="4525" priority="5397">
      <formula>#REF! = "produs"</formula>
    </cfRule>
    <cfRule type="expression" dxfId="4524" priority="5398">
      <formula>#REF! = "obiectiv"</formula>
    </cfRule>
  </conditionalFormatting>
  <conditionalFormatting sqref="L82:N82">
    <cfRule type="expression" dxfId="4523" priority="5395">
      <formula>#REF! = "produs"</formula>
    </cfRule>
    <cfRule type="expression" dxfId="4522" priority="5396">
      <formula>#REF! = "obiectiv"</formula>
    </cfRule>
  </conditionalFormatting>
  <conditionalFormatting sqref="K79:P79">
    <cfRule type="expression" dxfId="4521" priority="5393">
      <formula>#REF! = "produs"</formula>
    </cfRule>
    <cfRule type="expression" dxfId="4520" priority="5394">
      <formula>#REF! = "obiectiv"</formula>
    </cfRule>
  </conditionalFormatting>
  <conditionalFormatting sqref="V1371:V1380">
    <cfRule type="expression" dxfId="4519" priority="5669">
      <formula>#REF! = "produs"</formula>
    </cfRule>
    <cfRule type="expression" dxfId="4518" priority="5670">
      <formula>#REF! = "obiectiv"</formula>
    </cfRule>
  </conditionalFormatting>
  <conditionalFormatting sqref="J1371:IU1372 K1373:IU1373 J1374:IU1380">
    <cfRule type="expression" dxfId="4517" priority="5671">
      <formula>#REF! = "produs"</formula>
    </cfRule>
    <cfRule type="expression" dxfId="4516" priority="5672">
      <formula>#REF! = "obiectiv"</formula>
    </cfRule>
  </conditionalFormatting>
  <conditionalFormatting sqref="L203">
    <cfRule type="expression" dxfId="4515" priority="5261">
      <formula>#REF! = "produs"</formula>
    </cfRule>
    <cfRule type="expression" dxfId="4514" priority="5262">
      <formula>#REF! = "obiectiv"</formula>
    </cfRule>
  </conditionalFormatting>
  <conditionalFormatting sqref="J1374">
    <cfRule type="expression" dxfId="4513" priority="5649">
      <formula>#REF! = "produs"</formula>
    </cfRule>
    <cfRule type="expression" dxfId="4512" priority="5650">
      <formula>#REF! = "obiectiv"</formula>
    </cfRule>
  </conditionalFormatting>
  <conditionalFormatting sqref="J1372 J1379:J1380 J1377 J1375">
    <cfRule type="expression" dxfId="4511" priority="5663">
      <formula>#REF! = "produs"</formula>
    </cfRule>
    <cfRule type="expression" dxfId="4510" priority="5664">
      <formula>#REF! = "obiectiv"</formula>
    </cfRule>
  </conditionalFormatting>
  <conditionalFormatting sqref="J1376">
    <cfRule type="expression" dxfId="4509" priority="5653">
      <formula>#REF! = "produs"</formula>
    </cfRule>
    <cfRule type="expression" dxfId="4508" priority="5654">
      <formula>#REF! = "obiectiv"</formula>
    </cfRule>
  </conditionalFormatting>
  <conditionalFormatting sqref="W1372:IU1373 W1375:IU1380">
    <cfRule type="expression" dxfId="4507" priority="5667">
      <formula>#REF! = "produs"</formula>
    </cfRule>
    <cfRule type="expression" dxfId="4506" priority="5668">
      <formula>#REF! = "obiectiv"</formula>
    </cfRule>
  </conditionalFormatting>
  <conditionalFormatting sqref="K1372:K1373 K1375:K1380">
    <cfRule type="expression" dxfId="4505" priority="5665">
      <formula>#REF! = "produs"</formula>
    </cfRule>
    <cfRule type="expression" dxfId="4504" priority="5666">
      <formula>#REF! = "obiectiv"</formula>
    </cfRule>
  </conditionalFormatting>
  <conditionalFormatting sqref="L2057:P2057">
    <cfRule type="expression" dxfId="4503" priority="5625">
      <formula>#REF! = "produs"</formula>
    </cfRule>
    <cfRule type="expression" dxfId="4502" priority="5626">
      <formula>#REF! = "obiectiv"</formula>
    </cfRule>
  </conditionalFormatting>
  <conditionalFormatting sqref="L1378:P1378">
    <cfRule type="expression" dxfId="4501" priority="5657">
      <formula>#REF! = "produs"</formula>
    </cfRule>
    <cfRule type="expression" dxfId="4500" priority="5658">
      <formula>#REF! = "obiectiv"</formula>
    </cfRule>
  </conditionalFormatting>
  <conditionalFormatting sqref="L1377:P1377">
    <cfRule type="expression" dxfId="4499" priority="5655">
      <formula>#REF! = "produs"</formula>
    </cfRule>
    <cfRule type="expression" dxfId="4498" priority="5656">
      <formula>#REF! = "obiectiv"</formula>
    </cfRule>
  </conditionalFormatting>
  <conditionalFormatting sqref="K1374:P1374 W1374:IU1374">
    <cfRule type="expression" dxfId="4497" priority="5651">
      <formula>#REF! = "produs"</formula>
    </cfRule>
    <cfRule type="expression" dxfId="4496" priority="5652">
      <formula>#REF! = "obiectiv"</formula>
    </cfRule>
  </conditionalFormatting>
  <conditionalFormatting sqref="J1371">
    <cfRule type="expression" dxfId="4495" priority="5647">
      <formula>#REF! = "produs"</formula>
    </cfRule>
    <cfRule type="expression" dxfId="4494" priority="5648">
      <formula>#REF! = "obiectiv"</formula>
    </cfRule>
  </conditionalFormatting>
  <conditionalFormatting sqref="Q1373:U1379">
    <cfRule type="expression" dxfId="4493" priority="5645">
      <formula>#REF! = "produs"</formula>
    </cfRule>
    <cfRule type="expression" dxfId="4492" priority="5646">
      <formula>#REF! = "obiectiv"</formula>
    </cfRule>
  </conditionalFormatting>
  <conditionalFormatting sqref="Q1371:U1371">
    <cfRule type="expression" dxfId="4491" priority="5643">
      <formula>#REF! = "produs"</formula>
    </cfRule>
    <cfRule type="expression" dxfId="4490" priority="5644">
      <formula>#REF! = "obiectiv"</formula>
    </cfRule>
  </conditionalFormatting>
  <conditionalFormatting sqref="H1371">
    <cfRule type="expression" dxfId="4489" priority="5641">
      <formula>#REF! = "produs"</formula>
    </cfRule>
    <cfRule type="expression" dxfId="4488" priority="5642">
      <formula>#REF! = "obiectiv"</formula>
    </cfRule>
  </conditionalFormatting>
  <conditionalFormatting sqref="G1371">
    <cfRule type="expression" dxfId="4487" priority="5639">
      <formula>#REF! = "produs"</formula>
    </cfRule>
    <cfRule type="expression" dxfId="4486" priority="5640">
      <formula>#REF! = "obiectiv"</formula>
    </cfRule>
  </conditionalFormatting>
  <conditionalFormatting sqref="J1373">
    <cfRule type="expression" dxfId="4485" priority="5637">
      <formula>#REF! = "produs"</formula>
    </cfRule>
    <cfRule type="expression" dxfId="4484" priority="5638">
      <formula>#REF! = "obiectiv"</formula>
    </cfRule>
  </conditionalFormatting>
  <conditionalFormatting sqref="L1461:P1461">
    <cfRule type="expression" dxfId="4483" priority="5635">
      <formula>#REF! = "produs"</formula>
    </cfRule>
    <cfRule type="expression" dxfId="4482" priority="5636">
      <formula>#REF! = "obiectiv"</formula>
    </cfRule>
  </conditionalFormatting>
  <conditionalFormatting sqref="L1481:P1481">
    <cfRule type="expression" dxfId="4481" priority="5633">
      <formula>#REF! = "produs"</formula>
    </cfRule>
    <cfRule type="expression" dxfId="4480" priority="5634">
      <formula>#REF! = "obiectiv"</formula>
    </cfRule>
  </conditionalFormatting>
  <conditionalFormatting sqref="L2058:P2059 L2051:P2052 L2054:P2055">
    <cfRule type="expression" dxfId="4479" priority="5627">
      <formula>#REF! = "produs"</formula>
    </cfRule>
    <cfRule type="expression" dxfId="4478" priority="5628">
      <formula>#REF! = "obiectiv"</formula>
    </cfRule>
  </conditionalFormatting>
  <conditionalFormatting sqref="L202:P202">
    <cfRule type="expression" dxfId="4477" priority="5263">
      <formula>#REF! = "produs"</formula>
    </cfRule>
    <cfRule type="expression" dxfId="4476" priority="5264">
      <formula>#REF! = "obiectiv"</formula>
    </cfRule>
  </conditionalFormatting>
  <conditionalFormatting sqref="L2053:P2053">
    <cfRule type="expression" dxfId="4475" priority="5621">
      <formula>#REF! = "produs"</formula>
    </cfRule>
    <cfRule type="expression" dxfId="4474" priority="5622">
      <formula>#REF! = "obiectiv"</formula>
    </cfRule>
  </conditionalFormatting>
  <conditionalFormatting sqref="G2072">
    <cfRule type="expression" dxfId="4473" priority="5619">
      <formula>#REF! = "produs"</formula>
    </cfRule>
    <cfRule type="expression" dxfId="4472" priority="5620">
      <formula>#REF! = "obiectiv"</formula>
    </cfRule>
  </conditionalFormatting>
  <conditionalFormatting sqref="M2082:P2082">
    <cfRule type="expression" dxfId="4471" priority="5617">
      <formula>#REF! = "produs"</formula>
    </cfRule>
    <cfRule type="expression" dxfId="4470" priority="5618">
      <formula>#REF! = "obiectiv"</formula>
    </cfRule>
  </conditionalFormatting>
  <conditionalFormatting sqref="L231:P231">
    <cfRule type="expression" dxfId="4469" priority="5213">
      <formula>#REF! = "produs"</formula>
    </cfRule>
    <cfRule type="expression" dxfId="4468" priority="5214">
      <formula>#REF! = "obiectiv"</formula>
    </cfRule>
  </conditionalFormatting>
  <conditionalFormatting sqref="K231">
    <cfRule type="expression" dxfId="4467" priority="5211">
      <formula>#REF! = "produs"</formula>
    </cfRule>
    <cfRule type="expression" dxfId="4466" priority="5212">
      <formula>#REF! = "obiectiv"</formula>
    </cfRule>
  </conditionalFormatting>
  <conditionalFormatting sqref="K235:K240 K232:K233">
    <cfRule type="expression" dxfId="4465" priority="5209">
      <formula>#REF! = "produs"</formula>
    </cfRule>
    <cfRule type="expression" dxfId="4464" priority="5210">
      <formula>#REF! = "obiectiv"</formula>
    </cfRule>
  </conditionalFormatting>
  <conditionalFormatting sqref="J179 J186:J187 J184 J182">
    <cfRule type="expression" dxfId="4463" priority="5327">
      <formula>#REF! = "produs"</formula>
    </cfRule>
    <cfRule type="expression" dxfId="4462" priority="5328">
      <formula>#REF! = "obiectiv"</formula>
    </cfRule>
  </conditionalFormatting>
  <conditionalFormatting sqref="L239:P240 L235:P235 O236:P236 L236:N237 L232:P233">
    <cfRule type="expression" dxfId="4461" priority="5207">
      <formula>#REF! = "produs"</formula>
    </cfRule>
    <cfRule type="expression" dxfId="4460" priority="5208">
      <formula>#REF! = "obiectiv"</formula>
    </cfRule>
  </conditionalFormatting>
  <conditionalFormatting sqref="L238:P238">
    <cfRule type="expression" dxfId="4459" priority="5205">
      <formula>#REF! = "produs"</formula>
    </cfRule>
    <cfRule type="expression" dxfId="4458" priority="5206">
      <formula>#REF! = "obiectiv"</formula>
    </cfRule>
  </conditionalFormatting>
  <conditionalFormatting sqref="L187:U187 L179:U179">
    <cfRule type="expression" dxfId="4457" priority="5325">
      <formula>#REF! = "produs"</formula>
    </cfRule>
    <cfRule type="expression" dxfId="4456" priority="5326">
      <formula>#REF! = "obiectiv"</formula>
    </cfRule>
  </conditionalFormatting>
  <conditionalFormatting sqref="V179:V180 V182:V187">
    <cfRule type="expression" dxfId="4455" priority="5313">
      <formula>#REF! = "produs"</formula>
    </cfRule>
    <cfRule type="expression" dxfId="4454" priority="5314">
      <formula>#REF! = "obiectiv"</formula>
    </cfRule>
  </conditionalFormatting>
  <conditionalFormatting sqref="V178">
    <cfRule type="expression" dxfId="4453" priority="5311">
      <formula>#REF! = "produs"</formula>
    </cfRule>
    <cfRule type="expression" dxfId="4452" priority="5312">
      <formula>#REF! = "obiectiv"</formula>
    </cfRule>
  </conditionalFormatting>
  <conditionalFormatting sqref="G178">
    <cfRule type="expression" dxfId="4451" priority="5317">
      <formula>#REF! = "produs"</formula>
    </cfRule>
    <cfRule type="expression" dxfId="4450" priority="5318">
      <formula>#REF! = "obiectiv"</formula>
    </cfRule>
  </conditionalFormatting>
  <conditionalFormatting sqref="J261">
    <cfRule type="expression" dxfId="4449" priority="5163">
      <formula>#REF! = "produs"</formula>
    </cfRule>
    <cfRule type="expression" dxfId="4448" priority="5164">
      <formula>#REF! = "obiectiv"</formula>
    </cfRule>
  </conditionalFormatting>
  <conditionalFormatting sqref="V261:V270">
    <cfRule type="expression" dxfId="4447" priority="5167">
      <formula>#REF! = "produs"</formula>
    </cfRule>
    <cfRule type="expression" dxfId="4446" priority="5168">
      <formula>#REF! = "obiectiv"</formula>
    </cfRule>
  </conditionalFormatting>
  <conditionalFormatting sqref="J185">
    <cfRule type="expression" dxfId="4445" priority="5323">
      <formula>#REF! = "produs"</formula>
    </cfRule>
    <cfRule type="expression" dxfId="4444" priority="5324">
      <formula>#REF! = "obiectiv"</formula>
    </cfRule>
  </conditionalFormatting>
  <conditionalFormatting sqref="H183">
    <cfRule type="expression" dxfId="4443" priority="5321">
      <formula>#REF! = "produs"</formula>
    </cfRule>
    <cfRule type="expression" dxfId="4442" priority="5322">
      <formula>#REF! = "obiectiv"</formula>
    </cfRule>
  </conditionalFormatting>
  <conditionalFormatting sqref="I178">
    <cfRule type="expression" dxfId="4441" priority="5319">
      <formula>#REF! = "produs"</formula>
    </cfRule>
    <cfRule type="expression" dxfId="4440" priority="5320">
      <formula>#REF! = "obiectiv"</formula>
    </cfRule>
  </conditionalFormatting>
  <conditionalFormatting sqref="Q178:U178">
    <cfRule type="expression" dxfId="4439" priority="5315">
      <formula>#REF! = "produs"</formula>
    </cfRule>
    <cfRule type="expression" dxfId="4438" priority="5316">
      <formula>#REF! = "obiectiv"</formula>
    </cfRule>
  </conditionalFormatting>
  <conditionalFormatting sqref="J183">
    <cfRule type="expression" dxfId="4437" priority="5309">
      <formula>#REF! = "produs"</formula>
    </cfRule>
    <cfRule type="expression" dxfId="4436" priority="5310">
      <formula>#REF! = "obiectiv"</formula>
    </cfRule>
  </conditionalFormatting>
  <conditionalFormatting sqref="K181 V181:IU181">
    <cfRule type="expression" dxfId="4435" priority="5307">
      <formula>#REF! = "produs"</formula>
    </cfRule>
    <cfRule type="expression" dxfId="4434" priority="5308">
      <formula>#REF! = "obiectiv"</formula>
    </cfRule>
  </conditionalFormatting>
  <conditionalFormatting sqref="J181">
    <cfRule type="expression" dxfId="4433" priority="5305">
      <formula>#REF! = "produs"</formula>
    </cfRule>
    <cfRule type="expression" dxfId="4432" priority="5306">
      <formula>#REF! = "obiectiv"</formula>
    </cfRule>
  </conditionalFormatting>
  <conditionalFormatting sqref="H178">
    <cfRule type="expression" dxfId="4431" priority="5303">
      <formula>#REF! = "produs"</formula>
    </cfRule>
    <cfRule type="expression" dxfId="4430" priority="5304">
      <formula>#REF! = "obiectiv"</formula>
    </cfRule>
  </conditionalFormatting>
  <conditionalFormatting sqref="Q180:U186">
    <cfRule type="expression" dxfId="4429" priority="5301">
      <formula>#REF! = "produs"</formula>
    </cfRule>
    <cfRule type="expression" dxfId="4428" priority="5302">
      <formula>#REF! = "obiectiv"</formula>
    </cfRule>
  </conditionalFormatting>
  <conditionalFormatting sqref="J180">
    <cfRule type="expression" dxfId="4427" priority="5299">
      <formula>#REF! = "produs"</formula>
    </cfRule>
    <cfRule type="expression" dxfId="4426" priority="5300">
      <formula>#REF! = "obiectiv"</formula>
    </cfRule>
  </conditionalFormatting>
  <conditionalFormatting sqref="L186:P186 L182:P182 L180:P180">
    <cfRule type="expression" dxfId="4425" priority="5297">
      <formula>#REF! = "produs"</formula>
    </cfRule>
    <cfRule type="expression" dxfId="4424" priority="5298">
      <formula>#REF! = "obiectiv"</formula>
    </cfRule>
  </conditionalFormatting>
  <conditionalFormatting sqref="L185:P185">
    <cfRule type="expression" dxfId="4423" priority="5295">
      <formula>#REF! = "produs"</formula>
    </cfRule>
    <cfRule type="expression" dxfId="4422" priority="5296">
      <formula>#REF! = "obiectiv"</formula>
    </cfRule>
  </conditionalFormatting>
  <conditionalFormatting sqref="L184:P184">
    <cfRule type="expression" dxfId="4421" priority="5293">
      <formula>#REF! = "produs"</formula>
    </cfRule>
    <cfRule type="expression" dxfId="4420" priority="5294">
      <formula>#REF! = "obiectiv"</formula>
    </cfRule>
  </conditionalFormatting>
  <conditionalFormatting sqref="L181:P181">
    <cfRule type="expression" dxfId="4419" priority="5291">
      <formula>#REF! = "produs"</formula>
    </cfRule>
    <cfRule type="expression" dxfId="4418" priority="5292">
      <formula>#REF! = "obiectiv"</formula>
    </cfRule>
  </conditionalFormatting>
  <conditionalFormatting sqref="L189:P189">
    <cfRule type="expression" dxfId="4417" priority="5289">
      <formula>#REF! = "produs"</formula>
    </cfRule>
    <cfRule type="expression" dxfId="4416" priority="5290">
      <formula>#REF! = "obiectiv"</formula>
    </cfRule>
  </conditionalFormatting>
  <conditionalFormatting sqref="K265:K270 K262:K263">
    <cfRule type="expression" dxfId="4415" priority="5159">
      <formula>#REF! = "produs"</formula>
    </cfRule>
    <cfRule type="expression" dxfId="4414" priority="5160">
      <formula>#REF! = "obiectiv"</formula>
    </cfRule>
  </conditionalFormatting>
  <conditionalFormatting sqref="J262 J269:J270 J267 J265">
    <cfRule type="expression" dxfId="4413" priority="5157">
      <formula>#REF! = "produs"</formula>
    </cfRule>
    <cfRule type="expression" dxfId="4412" priority="5158">
      <formula>#REF! = "obiectiv"</formula>
    </cfRule>
  </conditionalFormatting>
  <conditionalFormatting sqref="L267:P267">
    <cfRule type="expression" dxfId="4411" priority="5149">
      <formula>#REF! = "produs"</formula>
    </cfRule>
    <cfRule type="expression" dxfId="4410" priority="5150">
      <formula>#REF! = "obiectiv"</formula>
    </cfRule>
  </conditionalFormatting>
  <conditionalFormatting sqref="J266">
    <cfRule type="expression" dxfId="4409" priority="5147">
      <formula>#REF! = "produs"</formula>
    </cfRule>
    <cfRule type="expression" dxfId="4408" priority="5148">
      <formula>#REF! = "obiectiv"</formula>
    </cfRule>
  </conditionalFormatting>
  <conditionalFormatting sqref="W264:IU264 K264:P264">
    <cfRule type="expression" dxfId="4407" priority="5145">
      <formula>#REF! = "produs"</formula>
    </cfRule>
    <cfRule type="expression" dxfId="4406" priority="5146">
      <formula>#REF! = "obiectiv"</formula>
    </cfRule>
  </conditionalFormatting>
  <conditionalFormatting sqref="J264">
    <cfRule type="expression" dxfId="4405" priority="5143">
      <formula>#REF! = "produs"</formula>
    </cfRule>
    <cfRule type="expression" dxfId="4404" priority="5144">
      <formula>#REF! = "obiectiv"</formula>
    </cfRule>
  </conditionalFormatting>
  <conditionalFormatting sqref="Q263:U269">
    <cfRule type="expression" dxfId="4403" priority="5141">
      <formula>#REF! = "produs"</formula>
    </cfRule>
    <cfRule type="expression" dxfId="4402" priority="5142">
      <formula>#REF! = "obiectiv"</formula>
    </cfRule>
  </conditionalFormatting>
  <conditionalFormatting sqref="Q261:U261">
    <cfRule type="expression" dxfId="4401" priority="5139">
      <formula>#REF! = "produs"</formula>
    </cfRule>
    <cfRule type="expression" dxfId="4400" priority="5140">
      <formula>#REF! = "obiectiv"</formula>
    </cfRule>
  </conditionalFormatting>
  <conditionalFormatting sqref="H266">
    <cfRule type="expression" dxfId="4399" priority="5135">
      <formula>#REF! = "produs"</formula>
    </cfRule>
    <cfRule type="expression" dxfId="4398" priority="5136">
      <formula>#REF! = "obiectiv"</formula>
    </cfRule>
  </conditionalFormatting>
  <conditionalFormatting sqref="L51">
    <cfRule type="expression" dxfId="4397" priority="5421">
      <formula>#REF! = "produs"</formula>
    </cfRule>
    <cfRule type="expression" dxfId="4396" priority="5422">
      <formula>#REF! = "obiectiv"</formula>
    </cfRule>
  </conditionalFormatting>
  <conditionalFormatting sqref="L65:P65 L57:P57">
    <cfRule type="expression" dxfId="4395" priority="5419">
      <formula>#REF! = "produs"</formula>
    </cfRule>
    <cfRule type="expression" dxfId="4394" priority="5420">
      <formula>#REF! = "obiectiv"</formula>
    </cfRule>
  </conditionalFormatting>
  <conditionalFormatting sqref="L49:P49">
    <cfRule type="expression" dxfId="4393" priority="5429">
      <formula>#REF! = "produs"</formula>
    </cfRule>
    <cfRule type="expression" dxfId="4392" priority="5430">
      <formula>#REF! = "obiectiv"</formula>
    </cfRule>
  </conditionalFormatting>
  <conditionalFormatting sqref="L53:P53">
    <cfRule type="expression" dxfId="4391" priority="5427">
      <formula>#REF! = "produs"</formula>
    </cfRule>
    <cfRule type="expression" dxfId="4390" priority="5428">
      <formula>#REF! = "obiectiv"</formula>
    </cfRule>
  </conditionalFormatting>
  <conditionalFormatting sqref="L52:P52">
    <cfRule type="expression" dxfId="4389" priority="5425">
      <formula>#REF! = "produs"</formula>
    </cfRule>
    <cfRule type="expression" dxfId="4388" priority="5426">
      <formula>#REF! = "obiectiv"</formula>
    </cfRule>
  </conditionalFormatting>
  <conditionalFormatting sqref="M51:P51">
    <cfRule type="expression" dxfId="4387" priority="5423">
      <formula>#REF! = "produs"</formula>
    </cfRule>
    <cfRule type="expression" dxfId="4386" priority="5424">
      <formula>#REF! = "obiectiv"</formula>
    </cfRule>
  </conditionalFormatting>
  <conditionalFormatting sqref="O228:P228">
    <cfRule type="expression" dxfId="4385" priority="5243">
      <formula>#REF! = "produs"</formula>
    </cfRule>
    <cfRule type="expression" dxfId="4384" priority="5244">
      <formula>#REF! = "obiectiv"</formula>
    </cfRule>
  </conditionalFormatting>
  <conditionalFormatting sqref="O227:P227">
    <cfRule type="expression" dxfId="4383" priority="5241">
      <formula>#REF! = "produs"</formula>
    </cfRule>
    <cfRule type="expression" dxfId="4382" priority="5242">
      <formula>#REF! = "obiectiv"</formula>
    </cfRule>
  </conditionalFormatting>
  <conditionalFormatting sqref="L84:P84 O82:P83 L80:P81 L77:P78">
    <cfRule type="expression" dxfId="4381" priority="5399">
      <formula>#REF! = "produs"</formula>
    </cfRule>
    <cfRule type="expression" dxfId="4380" priority="5400">
      <formula>#REF! = "obiectiv"</formula>
    </cfRule>
  </conditionalFormatting>
  <conditionalFormatting sqref="L64:P64 L58:P58 L60:P61">
    <cfRule type="expression" dxfId="4379" priority="5415">
      <formula>#REF! = "produs"</formula>
    </cfRule>
    <cfRule type="expression" dxfId="4378" priority="5416">
      <formula>#REF! = "obiectiv"</formula>
    </cfRule>
  </conditionalFormatting>
  <conditionalFormatting sqref="L63:P63">
    <cfRule type="expression" dxfId="4377" priority="5413">
      <formula>#REF! = "produs"</formula>
    </cfRule>
    <cfRule type="expression" dxfId="4376" priority="5414">
      <formula>#REF! = "obiectiv"</formula>
    </cfRule>
  </conditionalFormatting>
  <conditionalFormatting sqref="L62:P62">
    <cfRule type="expression" dxfId="4375" priority="5411">
      <formula>#REF! = "produs"</formula>
    </cfRule>
    <cfRule type="expression" dxfId="4374" priority="5412">
      <formula>#REF! = "obiectiv"</formula>
    </cfRule>
  </conditionalFormatting>
  <conditionalFormatting sqref="L59:P59">
    <cfRule type="expression" dxfId="4373" priority="5409">
      <formula>#REF! = "produs"</formula>
    </cfRule>
    <cfRule type="expression" dxfId="4372" priority="5410">
      <formula>#REF! = "obiectiv"</formula>
    </cfRule>
  </conditionalFormatting>
  <conditionalFormatting sqref="H71">
    <cfRule type="expression" dxfId="4371" priority="5407">
      <formula>#REF! = "produs"</formula>
    </cfRule>
    <cfRule type="expression" dxfId="4370" priority="5408">
      <formula>#REF! = "obiectiv"</formula>
    </cfRule>
  </conditionalFormatting>
  <conditionalFormatting sqref="L72:N72">
    <cfRule type="expression" dxfId="4369" priority="5405">
      <formula>#REF! = "produs"</formula>
    </cfRule>
    <cfRule type="expression" dxfId="4368" priority="5406">
      <formula>#REF! = "obiectiv"</formula>
    </cfRule>
  </conditionalFormatting>
  <conditionalFormatting sqref="K80:K85 L85:P85">
    <cfRule type="expression" dxfId="4367" priority="5403">
      <formula>#REF! = "produs"</formula>
    </cfRule>
    <cfRule type="expression" dxfId="4366" priority="5404">
      <formula>#REF! = "obiectiv"</formula>
    </cfRule>
  </conditionalFormatting>
  <conditionalFormatting sqref="K77:K78">
    <cfRule type="expression" dxfId="4365" priority="5401">
      <formula>#REF! = "produs"</formula>
    </cfRule>
    <cfRule type="expression" dxfId="4364" priority="5402">
      <formula>#REF! = "obiectiv"</formula>
    </cfRule>
  </conditionalFormatting>
  <conditionalFormatting sqref="L91:P92 L88:P89 L95:P96">
    <cfRule type="expression" dxfId="4363" priority="5389">
      <formula>#REF! = "produs"</formula>
    </cfRule>
    <cfRule type="expression" dxfId="4362" priority="5390">
      <formula>#REF! = "obiectiv"</formula>
    </cfRule>
  </conditionalFormatting>
  <conditionalFormatting sqref="K88:K89 K91:K96">
    <cfRule type="expression" dxfId="4361" priority="5391">
      <formula>#REF! = "produs"</formula>
    </cfRule>
    <cfRule type="expression" dxfId="4360" priority="5392">
      <formula>#REF! = "obiectiv"</formula>
    </cfRule>
  </conditionalFormatting>
  <conditionalFormatting sqref="L209:P209">
    <cfRule type="expression" dxfId="4359" priority="5259">
      <formula>#REF! = "produs"</formula>
    </cfRule>
    <cfRule type="expression" dxfId="4358" priority="5260">
      <formula>#REF! = "obiectiv"</formula>
    </cfRule>
  </conditionalFormatting>
  <conditionalFormatting sqref="K109 K111:K116">
    <cfRule type="expression" dxfId="4357" priority="5381">
      <formula>#REF! = "produs"</formula>
    </cfRule>
    <cfRule type="expression" dxfId="4356" priority="5382">
      <formula>#REF! = "obiectiv"</formula>
    </cfRule>
  </conditionalFormatting>
  <conditionalFormatting sqref="L115:P116 L111:P112 L108:P108">
    <cfRule type="expression" dxfId="4355" priority="5379">
      <formula>#REF! = "produs"</formula>
    </cfRule>
    <cfRule type="expression" dxfId="4354" priority="5380">
      <formula>#REF! = "obiectiv"</formula>
    </cfRule>
  </conditionalFormatting>
  <conditionalFormatting sqref="L114:P114">
    <cfRule type="expression" dxfId="4353" priority="5377">
      <formula>#REF! = "produs"</formula>
    </cfRule>
    <cfRule type="expression" dxfId="4352" priority="5378">
      <formula>#REF! = "obiectiv"</formula>
    </cfRule>
  </conditionalFormatting>
  <conditionalFormatting sqref="L212:P212">
    <cfRule type="expression" dxfId="4351" priority="5251">
      <formula>#REF! = "produs"</formula>
    </cfRule>
    <cfRule type="expression" dxfId="4350" priority="5252">
      <formula>#REF! = "obiectiv"</formula>
    </cfRule>
  </conditionalFormatting>
  <conditionalFormatting sqref="K221:P221">
    <cfRule type="expression" dxfId="4349" priority="5249">
      <formula>#REF! = "produs"</formula>
    </cfRule>
    <cfRule type="expression" dxfId="4348" priority="5250">
      <formula>#REF! = "obiectiv"</formula>
    </cfRule>
  </conditionalFormatting>
  <conditionalFormatting sqref="K225:K230 K222:K223">
    <cfRule type="expression" dxfId="4347" priority="5247">
      <formula>#REF! = "produs"</formula>
    </cfRule>
    <cfRule type="expression" dxfId="4346" priority="5248">
      <formula>#REF! = "obiectiv"</formula>
    </cfRule>
  </conditionalFormatting>
  <conditionalFormatting sqref="L222:P223 L225:P226 L229:P230">
    <cfRule type="expression" dxfId="4345" priority="5245">
      <formula>#REF! = "produs"</formula>
    </cfRule>
    <cfRule type="expression" dxfId="4344" priority="5246">
      <formula>#REF! = "obiectiv"</formula>
    </cfRule>
  </conditionalFormatting>
  <conditionalFormatting sqref="J649">
    <cfRule type="expression" dxfId="4343" priority="4947">
      <formula>#REF! = "produs"</formula>
    </cfRule>
    <cfRule type="expression" dxfId="4342" priority="4948">
      <formula>#REF! = "obiectiv"</formula>
    </cfRule>
  </conditionalFormatting>
  <conditionalFormatting sqref="J646">
    <cfRule type="expression" dxfId="4341" priority="4945">
      <formula>#REF! = "produs"</formula>
    </cfRule>
    <cfRule type="expression" dxfId="4340" priority="4946">
      <formula>#REF! = "obiectiv"</formula>
    </cfRule>
  </conditionalFormatting>
  <conditionalFormatting sqref="K224:P224">
    <cfRule type="expression" dxfId="4339" priority="5239">
      <formula>#REF! = "produs"</formula>
    </cfRule>
    <cfRule type="expression" dxfId="4338" priority="5240">
      <formula>#REF! = "obiectiv"</formula>
    </cfRule>
  </conditionalFormatting>
  <conditionalFormatting sqref="L228:N228">
    <cfRule type="expression" dxfId="4337" priority="5237">
      <formula>#REF! = "produs"</formula>
    </cfRule>
    <cfRule type="expression" dxfId="4336" priority="5238">
      <formula>#REF! = "obiectiv"</formula>
    </cfRule>
  </conditionalFormatting>
  <conditionalFormatting sqref="L227:N227">
    <cfRule type="expression" dxfId="4335" priority="5235">
      <formula>#REF! = "produs"</formula>
    </cfRule>
    <cfRule type="expression" dxfId="4334" priority="5236">
      <formula>#REF! = "obiectiv"</formula>
    </cfRule>
  </conditionalFormatting>
  <conditionalFormatting sqref="K272">
    <cfRule type="expression" dxfId="4333" priority="5169">
      <formula>#REF! = "produs"</formula>
    </cfRule>
    <cfRule type="expression" dxfId="4332" priority="5170">
      <formula>#REF! = "obiectiv"</formula>
    </cfRule>
  </conditionalFormatting>
  <conditionalFormatting sqref="V646:V655">
    <cfRule type="expression" dxfId="4331" priority="4967">
      <formula>#REF! = "produs"</formula>
    </cfRule>
    <cfRule type="expression" dxfId="4330" priority="4968">
      <formula>#REF! = "obiectiv"</formula>
    </cfRule>
  </conditionalFormatting>
  <conditionalFormatting sqref="W647:IU648 W650:IU655">
    <cfRule type="expression" dxfId="4329" priority="4965">
      <formula>#REF! = "produs"</formula>
    </cfRule>
    <cfRule type="expression" dxfId="4328" priority="4966">
      <formula>#REF! = "obiectiv"</formula>
    </cfRule>
  </conditionalFormatting>
  <conditionalFormatting sqref="L653:P653">
    <cfRule type="expression" dxfId="4327" priority="4955">
      <formula>#REF! = "produs"</formula>
    </cfRule>
    <cfRule type="expression" dxfId="4326" priority="4956">
      <formula>#REF! = "obiectiv"</formula>
    </cfRule>
  </conditionalFormatting>
  <conditionalFormatting sqref="K650:K655 K647:K648">
    <cfRule type="expression" dxfId="4325" priority="4963">
      <formula>#REF! = "produs"</formula>
    </cfRule>
    <cfRule type="expression" dxfId="4324" priority="4964">
      <formula>#REF! = "obiectiv"</formula>
    </cfRule>
  </conditionalFormatting>
  <conditionalFormatting sqref="J647:J648 J654:J655 J652 J650">
    <cfRule type="expression" dxfId="4323" priority="4961">
      <formula>#REF! = "produs"</formula>
    </cfRule>
    <cfRule type="expression" dxfId="4322" priority="4962">
      <formula>#REF! = "obiectiv"</formula>
    </cfRule>
  </conditionalFormatting>
  <conditionalFormatting sqref="L655:U655 L654:P654 L647:U647 L648:P648 L650:P651">
    <cfRule type="expression" dxfId="4321" priority="4959">
      <formula>#REF! = "produs"</formula>
    </cfRule>
    <cfRule type="expression" dxfId="4320" priority="4960">
      <formula>#REF! = "obiectiv"</formula>
    </cfRule>
  </conditionalFormatting>
  <conditionalFormatting sqref="J653">
    <cfRule type="expression" dxfId="4319" priority="4957">
      <formula>#REF! = "produs"</formula>
    </cfRule>
    <cfRule type="expression" dxfId="4318" priority="4958">
      <formula>#REF! = "obiectiv"</formula>
    </cfRule>
  </conditionalFormatting>
  <conditionalFormatting sqref="J651">
    <cfRule type="expression" dxfId="4317" priority="4951">
      <formula>#REF! = "produs"</formula>
    </cfRule>
    <cfRule type="expression" dxfId="4316" priority="4952">
      <formula>#REF! = "obiectiv"</formula>
    </cfRule>
  </conditionalFormatting>
  <conditionalFormatting sqref="L652:P652">
    <cfRule type="expression" dxfId="4315" priority="4953">
      <formula>#REF! = "produs"</formula>
    </cfRule>
    <cfRule type="expression" dxfId="4314" priority="4954">
      <formula>#REF! = "obiectiv"</formula>
    </cfRule>
  </conditionalFormatting>
  <conditionalFormatting sqref="Q648:U654">
    <cfRule type="expression" dxfId="4313" priority="4943">
      <formula>#REF! = "produs"</formula>
    </cfRule>
    <cfRule type="expression" dxfId="4312" priority="4944">
      <formula>#REF! = "obiectiv"</formula>
    </cfRule>
  </conditionalFormatting>
  <conditionalFormatting sqref="H646">
    <cfRule type="expression" dxfId="4311" priority="4939">
      <formula>#REF! = "produs"</formula>
    </cfRule>
    <cfRule type="expression" dxfId="4310" priority="4940">
      <formula>#REF! = "obiectiv"</formula>
    </cfRule>
  </conditionalFormatting>
  <conditionalFormatting sqref="K649:P649 W649:IU649">
    <cfRule type="expression" dxfId="4309" priority="4949">
      <formula>#REF! = "produs"</formula>
    </cfRule>
    <cfRule type="expression" dxfId="4308" priority="4950">
      <formula>#REF! = "obiectiv"</formula>
    </cfRule>
  </conditionalFormatting>
  <conditionalFormatting sqref="L217:P218 L213:P214 L210:P211">
    <cfRule type="expression" dxfId="4307" priority="5257">
      <formula>#REF! = "produs"</formula>
    </cfRule>
    <cfRule type="expression" dxfId="4306" priority="5258">
      <formula>#REF! = "obiectiv"</formula>
    </cfRule>
  </conditionalFormatting>
  <conditionalFormatting sqref="Q646:U646">
    <cfRule type="expression" dxfId="4305" priority="4941">
      <formula>#REF! = "produs"</formula>
    </cfRule>
    <cfRule type="expression" dxfId="4304" priority="4942">
      <formula>#REF! = "obiectiv"</formula>
    </cfRule>
  </conditionalFormatting>
  <conditionalFormatting sqref="V656:V665">
    <cfRule type="expression" dxfId="4303" priority="4937">
      <formula>#REF! = "produs"</formula>
    </cfRule>
    <cfRule type="expression" dxfId="4302" priority="4938">
      <formula>#REF! = "obiectiv"</formula>
    </cfRule>
  </conditionalFormatting>
  <conditionalFormatting sqref="W657:IU658 W660:IU665">
    <cfRule type="expression" dxfId="4301" priority="4935">
      <formula>#REF! = "produs"</formula>
    </cfRule>
    <cfRule type="expression" dxfId="4300" priority="4936">
      <formula>#REF! = "obiectiv"</formula>
    </cfRule>
  </conditionalFormatting>
  <conditionalFormatting sqref="K658 K660:K665">
    <cfRule type="expression" dxfId="4299" priority="4933">
      <formula>#REF! = "produs"</formula>
    </cfRule>
    <cfRule type="expression" dxfId="4298" priority="4934">
      <formula>#REF! = "obiectiv"</formula>
    </cfRule>
  </conditionalFormatting>
  <conditionalFormatting sqref="J663">
    <cfRule type="expression" dxfId="4297" priority="4927">
      <formula>#REF! = "produs"</formula>
    </cfRule>
    <cfRule type="expression" dxfId="4296" priority="4928">
      <formula>#REF! = "obiectiv"</formula>
    </cfRule>
  </conditionalFormatting>
  <conditionalFormatting sqref="L665:U665 L664:P664 L657:U657 L658:P658 L660:P661">
    <cfRule type="expression" dxfId="4295" priority="4929">
      <formula>#REF! = "produs"</formula>
    </cfRule>
    <cfRule type="expression" dxfId="4294" priority="4930">
      <formula>#REF! = "obiectiv"</formula>
    </cfRule>
  </conditionalFormatting>
  <conditionalFormatting sqref="J657:J658 J664:J665 J662 J660">
    <cfRule type="expression" dxfId="4293" priority="4931">
      <formula>#REF! = "produs"</formula>
    </cfRule>
    <cfRule type="expression" dxfId="4292" priority="4932">
      <formula>#REF! = "obiectiv"</formula>
    </cfRule>
  </conditionalFormatting>
  <conditionalFormatting sqref="L663:P663">
    <cfRule type="expression" dxfId="4291" priority="4925">
      <formula>#REF! = "produs"</formula>
    </cfRule>
    <cfRule type="expression" dxfId="4290" priority="4926">
      <formula>#REF! = "obiectiv"</formula>
    </cfRule>
  </conditionalFormatting>
  <conditionalFormatting sqref="L662:P662">
    <cfRule type="expression" dxfId="4289" priority="4923">
      <formula>#REF! = "produs"</formula>
    </cfRule>
    <cfRule type="expression" dxfId="4288" priority="4924">
      <formula>#REF! = "obiectiv"</formula>
    </cfRule>
  </conditionalFormatting>
  <conditionalFormatting sqref="L197:P198 L194:P194 L190:P191 L193 O193:P193">
    <cfRule type="expression" dxfId="4287" priority="5287">
      <formula>#REF! = "produs"</formula>
    </cfRule>
    <cfRule type="expression" dxfId="4286" priority="5288">
      <formula>#REF! = "obiectiv"</formula>
    </cfRule>
  </conditionalFormatting>
  <conditionalFormatting sqref="L196:P196">
    <cfRule type="expression" dxfId="4285" priority="5285">
      <formula>#REF! = "produs"</formula>
    </cfRule>
    <cfRule type="expression" dxfId="4284" priority="5286">
      <formula>#REF! = "obiectiv"</formula>
    </cfRule>
  </conditionalFormatting>
  <conditionalFormatting sqref="L195:P195">
    <cfRule type="expression" dxfId="4283" priority="5283">
      <formula>#REF! = "produs"</formula>
    </cfRule>
    <cfRule type="expression" dxfId="4282" priority="5284">
      <formula>#REF! = "obiectiv"</formula>
    </cfRule>
  </conditionalFormatting>
  <conditionalFormatting sqref="L192:P192">
    <cfRule type="expression" dxfId="4281" priority="5281">
      <formula>#REF! = "produs"</formula>
    </cfRule>
    <cfRule type="expression" dxfId="4280" priority="5282">
      <formula>#REF! = "obiectiv"</formula>
    </cfRule>
  </conditionalFormatting>
  <conditionalFormatting sqref="K190">
    <cfRule type="expression" dxfId="4279" priority="5279">
      <formula>#REF! = "produs"</formula>
    </cfRule>
    <cfRule type="expression" dxfId="4278" priority="5280">
      <formula>#REF! = "obiectiv"</formula>
    </cfRule>
  </conditionalFormatting>
  <conditionalFormatting sqref="K203:K208 K200:K201">
    <cfRule type="expression" dxfId="4277" priority="5277">
      <formula>#REF! = "produs"</formula>
    </cfRule>
    <cfRule type="expression" dxfId="4276" priority="5278">
      <formula>#REF! = "obiectiv"</formula>
    </cfRule>
  </conditionalFormatting>
  <conditionalFormatting sqref="K202">
    <cfRule type="expression" dxfId="4275" priority="5275">
      <formula>#REF! = "produs"</formula>
    </cfRule>
    <cfRule type="expression" dxfId="4274" priority="5276">
      <formula>#REF! = "obiectiv"</formula>
    </cfRule>
  </conditionalFormatting>
  <conditionalFormatting sqref="K199">
    <cfRule type="expression" dxfId="4273" priority="5273">
      <formula>#REF! = "produs"</formula>
    </cfRule>
    <cfRule type="expression" dxfId="4272" priority="5274">
      <formula>#REF! = "obiectiv"</formula>
    </cfRule>
  </conditionalFormatting>
  <conditionalFormatting sqref="L199:P199">
    <cfRule type="expression" dxfId="4271" priority="5271">
      <formula>#REF! = "produs"</formula>
    </cfRule>
    <cfRule type="expression" dxfId="4270" priority="5272">
      <formula>#REF! = "obiectiv"</formula>
    </cfRule>
  </conditionalFormatting>
  <conditionalFormatting sqref="L207:P208 L200:P201 L204:P204 M203:P203">
    <cfRule type="expression" dxfId="4269" priority="5269">
      <formula>#REF! = "produs"</formula>
    </cfRule>
    <cfRule type="expression" dxfId="4268" priority="5270">
      <formula>#REF! = "obiectiv"</formula>
    </cfRule>
  </conditionalFormatting>
  <conditionalFormatting sqref="L206:P206">
    <cfRule type="expression" dxfId="4267" priority="5267">
      <formula>#REF! = "produs"</formula>
    </cfRule>
    <cfRule type="expression" dxfId="4266" priority="5268">
      <formula>#REF! = "obiectiv"</formula>
    </cfRule>
  </conditionalFormatting>
  <conditionalFormatting sqref="L205:P205">
    <cfRule type="expression" dxfId="4265" priority="5265">
      <formula>#REF! = "produs"</formula>
    </cfRule>
    <cfRule type="expression" dxfId="4264" priority="5266">
      <formula>#REF! = "obiectiv"</formula>
    </cfRule>
  </conditionalFormatting>
  <conditionalFormatting sqref="O237:P237">
    <cfRule type="expression" dxfId="4263" priority="5203">
      <formula>#REF! = "produs"</formula>
    </cfRule>
    <cfRule type="expression" dxfId="4262" priority="5204">
      <formula>#REF! = "obiectiv"</formula>
    </cfRule>
  </conditionalFormatting>
  <conditionalFormatting sqref="L216:P216">
    <cfRule type="expression" dxfId="4261" priority="5255">
      <formula>#REF! = "produs"</formula>
    </cfRule>
    <cfRule type="expression" dxfId="4260" priority="5256">
      <formula>#REF! = "obiectiv"</formula>
    </cfRule>
  </conditionalFormatting>
  <conditionalFormatting sqref="L215:P215">
    <cfRule type="expression" dxfId="4259" priority="5253">
      <formula>#REF! = "produs"</formula>
    </cfRule>
    <cfRule type="expression" dxfId="4258" priority="5254">
      <formula>#REF! = "obiectiv"</formula>
    </cfRule>
  </conditionalFormatting>
  <conditionalFormatting sqref="L268:P268">
    <cfRule type="expression" dxfId="4257" priority="5151">
      <formula>#REF! = "produs"</formula>
    </cfRule>
    <cfRule type="expression" dxfId="4256" priority="5152">
      <formula>#REF! = "obiectiv"</formula>
    </cfRule>
  </conditionalFormatting>
  <conditionalFormatting sqref="K234:P234">
    <cfRule type="expression" dxfId="4255" priority="5201">
      <formula>#REF! = "produs"</formula>
    </cfRule>
    <cfRule type="expression" dxfId="4254" priority="5202">
      <formula>#REF! = "obiectiv"</formula>
    </cfRule>
  </conditionalFormatting>
  <conditionalFormatting sqref="L241:P241">
    <cfRule type="expression" dxfId="4253" priority="5199">
      <formula>#REF! = "produs"</formula>
    </cfRule>
    <cfRule type="expression" dxfId="4252" priority="5200">
      <formula>#REF! = "obiectiv"</formula>
    </cfRule>
  </conditionalFormatting>
  <conditionalFormatting sqref="K241">
    <cfRule type="expression" dxfId="4251" priority="5197">
      <formula>#REF! = "produs"</formula>
    </cfRule>
    <cfRule type="expression" dxfId="4250" priority="5198">
      <formula>#REF! = "obiectiv"</formula>
    </cfRule>
  </conditionalFormatting>
  <conditionalFormatting sqref="K245:K250 K242:K243">
    <cfRule type="expression" dxfId="4249" priority="5195">
      <formula>#REF! = "produs"</formula>
    </cfRule>
    <cfRule type="expression" dxfId="4248" priority="5196">
      <formula>#REF! = "obiectiv"</formula>
    </cfRule>
  </conditionalFormatting>
  <conditionalFormatting sqref="L249:P250 L245:P245 L242:P243 L246:N247 O246:P246">
    <cfRule type="expression" dxfId="4247" priority="5193">
      <formula>#REF! = "produs"</formula>
    </cfRule>
    <cfRule type="expression" dxfId="4246" priority="5194">
      <formula>#REF! = "obiectiv"</formula>
    </cfRule>
  </conditionalFormatting>
  <conditionalFormatting sqref="L248:P248">
    <cfRule type="expression" dxfId="4245" priority="5191">
      <formula>#REF! = "produs"</formula>
    </cfRule>
    <cfRule type="expression" dxfId="4244" priority="5192">
      <formula>#REF! = "obiectiv"</formula>
    </cfRule>
  </conditionalFormatting>
  <conditionalFormatting sqref="O247:P247">
    <cfRule type="expression" dxfId="4243" priority="5189">
      <formula>#REF! = "produs"</formula>
    </cfRule>
    <cfRule type="expression" dxfId="4242" priority="5190">
      <formula>#REF! = "obiectiv"</formula>
    </cfRule>
  </conditionalFormatting>
  <conditionalFormatting sqref="K410">
    <cfRule type="expression" dxfId="4241" priority="5063">
      <formula>#REF! = "produs"</formula>
    </cfRule>
    <cfRule type="expression" dxfId="4240" priority="5064">
      <formula>#REF! = "obiectiv"</formula>
    </cfRule>
  </conditionalFormatting>
  <conditionalFormatting sqref="L409:P409">
    <cfRule type="expression" dxfId="4239" priority="5061">
      <formula>#REF! = "produs"</formula>
    </cfRule>
    <cfRule type="expression" dxfId="4238" priority="5062">
      <formula>#REF! = "obiectiv"</formula>
    </cfRule>
  </conditionalFormatting>
  <conditionalFormatting sqref="L410:P410">
    <cfRule type="expression" dxfId="4237" priority="5059">
      <formula>#REF! = "produs"</formula>
    </cfRule>
    <cfRule type="expression" dxfId="4236" priority="5060">
      <formula>#REF! = "obiectiv"</formula>
    </cfRule>
  </conditionalFormatting>
  <conditionalFormatting sqref="L259:P260 L255:P256 L252:P252">
    <cfRule type="expression" dxfId="4235" priority="5181">
      <formula>#REF! = "produs"</formula>
    </cfRule>
    <cfRule type="expression" dxfId="4234" priority="5182">
      <formula>#REF! = "obiectiv"</formula>
    </cfRule>
  </conditionalFormatting>
  <conditionalFormatting sqref="L258:P258">
    <cfRule type="expression" dxfId="4233" priority="5179">
      <formula>#REF! = "produs"</formula>
    </cfRule>
    <cfRule type="expression" dxfId="4232" priority="5180">
      <formula>#REF! = "obiectiv"</formula>
    </cfRule>
  </conditionalFormatting>
  <conditionalFormatting sqref="L257:P257">
    <cfRule type="expression" dxfId="4231" priority="5177">
      <formula>#REF! = "produs"</formula>
    </cfRule>
    <cfRule type="expression" dxfId="4230" priority="5178">
      <formula>#REF! = "obiectiv"</formula>
    </cfRule>
  </conditionalFormatting>
  <conditionalFormatting sqref="K254">
    <cfRule type="expression" dxfId="4229" priority="5175">
      <formula>#REF! = "produs"</formula>
    </cfRule>
    <cfRule type="expression" dxfId="4228" priority="5176">
      <formula>#REF! = "obiectiv"</formula>
    </cfRule>
  </conditionalFormatting>
  <conditionalFormatting sqref="L253:P253">
    <cfRule type="expression" dxfId="4227" priority="5173">
      <formula>#REF! = "produs"</formula>
    </cfRule>
    <cfRule type="expression" dxfId="4226" priority="5174">
      <formula>#REF! = "obiectiv"</formula>
    </cfRule>
  </conditionalFormatting>
  <conditionalFormatting sqref="L254:P254">
    <cfRule type="expression" dxfId="4225" priority="5171">
      <formula>#REF! = "produs"</formula>
    </cfRule>
    <cfRule type="expression" dxfId="4224" priority="5172">
      <formula>#REF! = "obiectiv"</formula>
    </cfRule>
  </conditionalFormatting>
  <conditionalFormatting sqref="W265:IU270 W261:IU263">
    <cfRule type="expression" dxfId="4223" priority="5165">
      <formula>#REF! = "produs"</formula>
    </cfRule>
    <cfRule type="expression" dxfId="4222" priority="5166">
      <formula>#REF! = "obiectiv"</formula>
    </cfRule>
  </conditionalFormatting>
  <conditionalFormatting sqref="J268">
    <cfRule type="expression" dxfId="4221" priority="5153">
      <formula>#REF! = "produs"</formula>
    </cfRule>
    <cfRule type="expression" dxfId="4220" priority="5154">
      <formula>#REF! = "obiectiv"</formula>
    </cfRule>
  </conditionalFormatting>
  <conditionalFormatting sqref="L270:U270 L269:P269 L262:U262 L263:P263 L265:P266">
    <cfRule type="expression" dxfId="4219" priority="5155">
      <formula>#REF! = "produs"</formula>
    </cfRule>
    <cfRule type="expression" dxfId="4218" priority="5156">
      <formula>#REF! = "obiectiv"</formula>
    </cfRule>
  </conditionalFormatting>
  <conditionalFormatting sqref="G261">
    <cfRule type="expression" dxfId="4217" priority="5137">
      <formula>#REF! = "produs"</formula>
    </cfRule>
    <cfRule type="expression" dxfId="4216" priority="5138">
      <formula>#REF! = "obiectiv"</formula>
    </cfRule>
  </conditionalFormatting>
  <conditionalFormatting sqref="J263">
    <cfRule type="expression" dxfId="4215" priority="5131">
      <formula>#REF! = "produs"</formula>
    </cfRule>
    <cfRule type="expression" dxfId="4214" priority="5132">
      <formula>#REF! = "obiectiv"</formula>
    </cfRule>
  </conditionalFormatting>
  <conditionalFormatting sqref="K261:P261">
    <cfRule type="expression" dxfId="4213" priority="5129">
      <formula>#REF! = "produs"</formula>
    </cfRule>
    <cfRule type="expression" dxfId="4212" priority="5130">
      <formula>#REF! = "obiectiv"</formula>
    </cfRule>
  </conditionalFormatting>
  <conditionalFormatting sqref="K841">
    <cfRule type="expression" dxfId="4211" priority="4839">
      <formula>#REF! = "produs"</formula>
    </cfRule>
    <cfRule type="expression" dxfId="4210" priority="4840">
      <formula>#REF! = "obiectiv"</formula>
    </cfRule>
  </conditionalFormatting>
  <conditionalFormatting sqref="K657">
    <cfRule type="expression" dxfId="4209" priority="4905">
      <formula>#REF! = "produs"</formula>
    </cfRule>
    <cfRule type="expression" dxfId="4208" priority="4906">
      <formula>#REF! = "obiectiv"</formula>
    </cfRule>
  </conditionalFormatting>
  <conditionalFormatting sqref="L1146:P1155">
    <cfRule type="expression" dxfId="4207" priority="4623">
      <formula>#REF! = "produs"</formula>
    </cfRule>
    <cfRule type="expression" dxfId="4206" priority="4624">
      <formula>#REF! = "obiectiv"</formula>
    </cfRule>
  </conditionalFormatting>
  <conditionalFormatting sqref="L417:P418 L421:P426">
    <cfRule type="expression" dxfId="4205" priority="5057">
      <formula>#REF! = "produs"</formula>
    </cfRule>
    <cfRule type="expression" dxfId="4204" priority="5058">
      <formula>#REF! = "obiectiv"</formula>
    </cfRule>
  </conditionalFormatting>
  <conditionalFormatting sqref="L425:P426 L418:P418 L421:P422">
    <cfRule type="expression" dxfId="4203" priority="5055">
      <formula>#REF! = "produs"</formula>
    </cfRule>
    <cfRule type="expression" dxfId="4202" priority="5056">
      <formula>#REF! = "obiectiv"</formula>
    </cfRule>
  </conditionalFormatting>
  <conditionalFormatting sqref="L424:P424">
    <cfRule type="expression" dxfId="4201" priority="5053">
      <formula>#REF! = "produs"</formula>
    </cfRule>
    <cfRule type="expression" dxfId="4200" priority="5054">
      <formula>#REF! = "obiectiv"</formula>
    </cfRule>
  </conditionalFormatting>
  <conditionalFormatting sqref="L423:P423">
    <cfRule type="expression" dxfId="4199" priority="5051">
      <formula>#REF! = "produs"</formula>
    </cfRule>
    <cfRule type="expression" dxfId="4198" priority="5052">
      <formula>#REF! = "obiectiv"</formula>
    </cfRule>
  </conditionalFormatting>
  <conditionalFormatting sqref="L419:P419">
    <cfRule type="expression" dxfId="4197" priority="5049">
      <formula>#REF! = "produs"</formula>
    </cfRule>
    <cfRule type="expression" dxfId="4196" priority="5050">
      <formula>#REF! = "obiectiv"</formula>
    </cfRule>
  </conditionalFormatting>
  <conditionalFormatting sqref="L420:P420">
    <cfRule type="expression" dxfId="4195" priority="5047">
      <formula>#REF! = "produs"</formula>
    </cfRule>
    <cfRule type="expression" dxfId="4194" priority="5048">
      <formula>#REF! = "obiectiv"</formula>
    </cfRule>
  </conditionalFormatting>
  <conditionalFormatting sqref="K336">
    <cfRule type="expression" dxfId="4193" priority="5045">
      <formula>#REF! = "produs"</formula>
    </cfRule>
    <cfRule type="expression" dxfId="4192" priority="5046">
      <formula>#REF! = "obiectiv"</formula>
    </cfRule>
  </conditionalFormatting>
  <conditionalFormatting sqref="L341">
    <cfRule type="expression" dxfId="4191" priority="5043">
      <formula>#REF! = "produs"</formula>
    </cfRule>
    <cfRule type="expression" dxfId="4190" priority="5044">
      <formula>#REF! = "obiectiv"</formula>
    </cfRule>
  </conditionalFormatting>
  <conditionalFormatting sqref="K427">
    <cfRule type="expression" dxfId="4189" priority="5041">
      <formula>#REF! = "produs"</formula>
    </cfRule>
    <cfRule type="expression" dxfId="4188" priority="5042">
      <formula>#REF! = "obiectiv"</formula>
    </cfRule>
  </conditionalFormatting>
  <conditionalFormatting sqref="I437:I446">
    <cfRule type="expression" dxfId="4187" priority="5039">
      <formula>#REF! = "produs"</formula>
    </cfRule>
    <cfRule type="expression" dxfId="4186" priority="5040">
      <formula>#REF! = "obiectiv"</formula>
    </cfRule>
  </conditionalFormatting>
  <conditionalFormatting sqref="G447:I456">
    <cfRule type="expression" dxfId="4185" priority="5037">
      <formula>#REF! = "produs"</formula>
    </cfRule>
    <cfRule type="expression" dxfId="4184" priority="5038">
      <formula>#REF! = "obiectiv"</formula>
    </cfRule>
  </conditionalFormatting>
  <conditionalFormatting sqref="G447">
    <cfRule type="expression" dxfId="4183" priority="5035">
      <formula>#REF! = "produs"</formula>
    </cfRule>
    <cfRule type="expression" dxfId="4182" priority="5036">
      <formula>#REF! = "obiectiv"</formula>
    </cfRule>
  </conditionalFormatting>
  <conditionalFormatting sqref="L455:P456 L448:P449">
    <cfRule type="expression" dxfId="4181" priority="5033">
      <formula>#REF! = "produs"</formula>
    </cfRule>
    <cfRule type="expression" dxfId="4180" priority="5034">
      <formula>#REF! = "obiectiv"</formula>
    </cfRule>
  </conditionalFormatting>
  <conditionalFormatting sqref="L454:P454">
    <cfRule type="expression" dxfId="4179" priority="5031">
      <formula>#REF! = "produs"</formula>
    </cfRule>
    <cfRule type="expression" dxfId="4178" priority="5032">
      <formula>#REF! = "obiectiv"</formula>
    </cfRule>
  </conditionalFormatting>
  <conditionalFormatting sqref="L453:P453">
    <cfRule type="expression" dxfId="4177" priority="5029">
      <formula>#REF! = "produs"</formula>
    </cfRule>
    <cfRule type="expression" dxfId="4176" priority="5030">
      <formula>#REF! = "obiectiv"</formula>
    </cfRule>
  </conditionalFormatting>
  <conditionalFormatting sqref="L453:P456 L447:P449">
    <cfRule type="expression" dxfId="4175" priority="5027">
      <formula>#REF! = "produs"</formula>
    </cfRule>
    <cfRule type="expression" dxfId="4174" priority="5028">
      <formula>#REF! = "obiectiv"</formula>
    </cfRule>
  </conditionalFormatting>
  <conditionalFormatting sqref="L451:P452">
    <cfRule type="expression" dxfId="4173" priority="5025">
      <formula>#REF! = "produs"</formula>
    </cfRule>
    <cfRule type="expression" dxfId="4172" priority="5026">
      <formula>#REF! = "obiectiv"</formula>
    </cfRule>
  </conditionalFormatting>
  <conditionalFormatting sqref="L450:P450">
    <cfRule type="expression" dxfId="4171" priority="5023">
      <formula>#REF! = "produs"</formula>
    </cfRule>
    <cfRule type="expression" dxfId="4170" priority="5024">
      <formula>#REF! = "obiectiv"</formula>
    </cfRule>
  </conditionalFormatting>
  <conditionalFormatting sqref="I397:I406">
    <cfRule type="expression" dxfId="4169" priority="5087">
      <formula>#REF! = "produs"</formula>
    </cfRule>
    <cfRule type="expression" dxfId="4168" priority="5088">
      <formula>#REF! = "obiectiv"</formula>
    </cfRule>
  </conditionalFormatting>
  <conditionalFormatting sqref="L397:P406">
    <cfRule type="expression" dxfId="4167" priority="5085">
      <formula>#REF! = "produs"</formula>
    </cfRule>
    <cfRule type="expression" dxfId="4166" priority="5086">
      <formula>#REF! = "obiectiv"</formula>
    </cfRule>
  </conditionalFormatting>
  <conditionalFormatting sqref="L405:P406 L401:P402 L398:P399">
    <cfRule type="expression" dxfId="4165" priority="5083">
      <formula>#REF! = "produs"</formula>
    </cfRule>
    <cfRule type="expression" dxfId="4164" priority="5084">
      <formula>#REF! = "obiectiv"</formula>
    </cfRule>
  </conditionalFormatting>
  <conditionalFormatting sqref="L404:P404">
    <cfRule type="expression" dxfId="4163" priority="5081">
      <formula>#REF! = "produs"</formula>
    </cfRule>
    <cfRule type="expression" dxfId="4162" priority="5082">
      <formula>#REF! = "obiectiv"</formula>
    </cfRule>
  </conditionalFormatting>
  <conditionalFormatting sqref="L403:P403">
    <cfRule type="expression" dxfId="4161" priority="5079">
      <formula>#REF! = "produs"</formula>
    </cfRule>
    <cfRule type="expression" dxfId="4160" priority="5080">
      <formula>#REF! = "obiectiv"</formula>
    </cfRule>
  </conditionalFormatting>
  <conditionalFormatting sqref="L400:P400">
    <cfRule type="expression" dxfId="4159" priority="5077">
      <formula>#REF! = "produs"</formula>
    </cfRule>
    <cfRule type="expression" dxfId="4158" priority="5078">
      <formula>#REF! = "obiectiv"</formula>
    </cfRule>
  </conditionalFormatting>
  <conditionalFormatting sqref="O403:P404">
    <cfRule type="expression" dxfId="4157" priority="5075">
      <formula>#REF! = "produs"</formula>
    </cfRule>
    <cfRule type="expression" dxfId="4156" priority="5076">
      <formula>#REF! = "obiectiv"</formula>
    </cfRule>
  </conditionalFormatting>
  <conditionalFormatting sqref="L411:P416 K407:K416 L407:P408">
    <cfRule type="expression" dxfId="4155" priority="5073">
      <formula>#REF! = "produs"</formula>
    </cfRule>
    <cfRule type="expression" dxfId="4154" priority="5074">
      <formula>#REF! = "obiectiv"</formula>
    </cfRule>
  </conditionalFormatting>
  <conditionalFormatting sqref="K411:K416 K408:K409">
    <cfRule type="expression" dxfId="4153" priority="5071">
      <formula>#REF! = "produs"</formula>
    </cfRule>
    <cfRule type="expression" dxfId="4152" priority="5072">
      <formula>#REF! = "obiectiv"</formula>
    </cfRule>
  </conditionalFormatting>
  <conditionalFormatting sqref="L415:P416 L408:P408 L411:P412">
    <cfRule type="expression" dxfId="4151" priority="5069">
      <formula>#REF! = "produs"</formula>
    </cfRule>
    <cfRule type="expression" dxfId="4150" priority="5070">
      <formula>#REF! = "obiectiv"</formula>
    </cfRule>
  </conditionalFormatting>
  <conditionalFormatting sqref="L414:P414">
    <cfRule type="expression" dxfId="4149" priority="5067">
      <formula>#REF! = "produs"</formula>
    </cfRule>
    <cfRule type="expression" dxfId="4148" priority="5068">
      <formula>#REF! = "obiectiv"</formula>
    </cfRule>
  </conditionalFormatting>
  <conditionalFormatting sqref="L413:P413">
    <cfRule type="expression" dxfId="4147" priority="5065">
      <formula>#REF! = "produs"</formula>
    </cfRule>
    <cfRule type="expression" dxfId="4146" priority="5066">
      <formula>#REF! = "obiectiv"</formula>
    </cfRule>
  </conditionalFormatting>
  <conditionalFormatting sqref="J661">
    <cfRule type="expression" dxfId="4145" priority="4921">
      <formula>#REF! = "produs"</formula>
    </cfRule>
    <cfRule type="expression" dxfId="4144" priority="4922">
      <formula>#REF! = "obiectiv"</formula>
    </cfRule>
  </conditionalFormatting>
  <conditionalFormatting sqref="K659:P659 W659:IU659">
    <cfRule type="expression" dxfId="4143" priority="4919">
      <formula>#REF! = "produs"</formula>
    </cfRule>
    <cfRule type="expression" dxfId="4142" priority="4920">
      <formula>#REF! = "obiectiv"</formula>
    </cfRule>
  </conditionalFormatting>
  <conditionalFormatting sqref="J659">
    <cfRule type="expression" dxfId="4141" priority="4917">
      <formula>#REF! = "produs"</formula>
    </cfRule>
    <cfRule type="expression" dxfId="4140" priority="4918">
      <formula>#REF! = "obiectiv"</formula>
    </cfRule>
  </conditionalFormatting>
  <conditionalFormatting sqref="J656">
    <cfRule type="expression" dxfId="4139" priority="4915">
      <formula>#REF! = "produs"</formula>
    </cfRule>
    <cfRule type="expression" dxfId="4138" priority="4916">
      <formula>#REF! = "obiectiv"</formula>
    </cfRule>
  </conditionalFormatting>
  <conditionalFormatting sqref="Q658:U664">
    <cfRule type="expression" dxfId="4137" priority="4913">
      <formula>#REF! = "produs"</formula>
    </cfRule>
    <cfRule type="expression" dxfId="4136" priority="4914">
      <formula>#REF! = "obiectiv"</formula>
    </cfRule>
  </conditionalFormatting>
  <conditionalFormatting sqref="Q656:U656">
    <cfRule type="expression" dxfId="4135" priority="4911">
      <formula>#REF! = "produs"</formula>
    </cfRule>
    <cfRule type="expression" dxfId="4134" priority="4912">
      <formula>#REF! = "obiectiv"</formula>
    </cfRule>
  </conditionalFormatting>
  <conditionalFormatting sqref="L1152:P1152">
    <cfRule type="expression" dxfId="4133" priority="4615">
      <formula>#REF! = "produs"</formula>
    </cfRule>
    <cfRule type="expression" dxfId="4132" priority="4616">
      <formula>#REF! = "obiectiv"</formula>
    </cfRule>
  </conditionalFormatting>
  <conditionalFormatting sqref="H656">
    <cfRule type="expression" dxfId="4131" priority="4907">
      <formula>#REF! = "produs"</formula>
    </cfRule>
    <cfRule type="expression" dxfId="4130" priority="4908">
      <formula>#REF! = "obiectiv"</formula>
    </cfRule>
  </conditionalFormatting>
  <conditionalFormatting sqref="L1168:P1177">
    <cfRule type="expression" dxfId="4129" priority="4611">
      <formula>#REF! = "produs"</formula>
    </cfRule>
    <cfRule type="expression" dxfId="4128" priority="4612">
      <formula>#REF! = "obiectiv"</formula>
    </cfRule>
  </conditionalFormatting>
  <conditionalFormatting sqref="L1176:P1177 L1169:P1170 L1172:P1173">
    <cfRule type="expression" dxfId="4127" priority="4601">
      <formula>#REF! = "produs"</formula>
    </cfRule>
    <cfRule type="expression" dxfId="4126" priority="4602">
      <formula>#REF! = "obiectiv"</formula>
    </cfRule>
  </conditionalFormatting>
  <conditionalFormatting sqref="K891">
    <cfRule type="expression" dxfId="4125" priority="4857">
      <formula>#REF! = "produs"</formula>
    </cfRule>
    <cfRule type="expression" dxfId="4124" priority="4858">
      <formula>#REF! = "obiectiv"</formula>
    </cfRule>
  </conditionalFormatting>
  <conditionalFormatting sqref="L1144:U1144 L1143:P1143 L1136:U1136 L1137:P1137 L1139:P1140">
    <cfRule type="expression" dxfId="4123" priority="4653">
      <formula>#REF! = "produs"</formula>
    </cfRule>
    <cfRule type="expression" dxfId="4122" priority="4654">
      <formula>#REF! = "obiectiv"</formula>
    </cfRule>
  </conditionalFormatting>
  <conditionalFormatting sqref="J1142">
    <cfRule type="expression" dxfId="4121" priority="4651">
      <formula>#REF! = "produs"</formula>
    </cfRule>
    <cfRule type="expression" dxfId="4120" priority="4652">
      <formula>#REF! = "obiectiv"</formula>
    </cfRule>
  </conditionalFormatting>
  <conditionalFormatting sqref="L1191:P1191">
    <cfRule type="expression" dxfId="4119" priority="4569">
      <formula>#REF! = "produs"</formula>
    </cfRule>
    <cfRule type="expression" dxfId="4118" priority="4570">
      <formula>#REF! = "obiectiv"</formula>
    </cfRule>
  </conditionalFormatting>
  <conditionalFormatting sqref="L1194:P1194">
    <cfRule type="expression" dxfId="4117" priority="4571">
      <formula>#REF! = "produs"</formula>
    </cfRule>
    <cfRule type="expression" dxfId="4116" priority="4572">
      <formula>#REF! = "obiectiv"</formula>
    </cfRule>
  </conditionalFormatting>
  <conditionalFormatting sqref="L1218:P1227">
    <cfRule type="expression" dxfId="4115" priority="4567">
      <formula>#REF! = "produs"</formula>
    </cfRule>
    <cfRule type="expression" dxfId="4114" priority="4568">
      <formula>#REF! = "obiectiv"</formula>
    </cfRule>
  </conditionalFormatting>
  <conditionalFormatting sqref="L1218:P1227">
    <cfRule type="expression" dxfId="4113" priority="4565">
      <formula>#REF! = "produs"</formula>
    </cfRule>
    <cfRule type="expression" dxfId="4112" priority="4566">
      <formula>#REF! = "obiectiv"</formula>
    </cfRule>
  </conditionalFormatting>
  <conditionalFormatting sqref="L1175:P1175">
    <cfRule type="expression" dxfId="4111" priority="4599">
      <formula>#REF! = "produs"</formula>
    </cfRule>
    <cfRule type="expression" dxfId="4110" priority="4600">
      <formula>#REF! = "obiectiv"</formula>
    </cfRule>
  </conditionalFormatting>
  <conditionalFormatting sqref="L1174:P1174">
    <cfRule type="expression" dxfId="4109" priority="4597">
      <formula>#REF! = "produs"</formula>
    </cfRule>
    <cfRule type="expression" dxfId="4108" priority="4598">
      <formula>#REF! = "obiectiv"</formula>
    </cfRule>
  </conditionalFormatting>
  <conditionalFormatting sqref="K861">
    <cfRule type="expression" dxfId="4107" priority="4847">
      <formula>#REF! = "produs"</formula>
    </cfRule>
    <cfRule type="expression" dxfId="4106" priority="4848">
      <formula>#REF! = "obiectiv"</formula>
    </cfRule>
  </conditionalFormatting>
  <conditionalFormatting sqref="J1771:J1772 J1774:J1780">
    <cfRule type="expression" dxfId="4105" priority="4041">
      <formula>#REF! = "produs"</formula>
    </cfRule>
    <cfRule type="expression" dxfId="4104" priority="4042">
      <formula>#REF! = "obiectiv"</formula>
    </cfRule>
  </conditionalFormatting>
  <conditionalFormatting sqref="L1771:U1780">
    <cfRule type="expression" dxfId="4103" priority="4039">
      <formula>#REF! = "produs"</formula>
    </cfRule>
    <cfRule type="expression" dxfId="4102" priority="4040">
      <formula>#REF! = "obiectiv"</formula>
    </cfRule>
  </conditionalFormatting>
  <conditionalFormatting sqref="W1771:IU1780">
    <cfRule type="expression" dxfId="4101" priority="4037">
      <formula>#REF! = "produs"</formula>
    </cfRule>
    <cfRule type="expression" dxfId="4100" priority="4038">
      <formula>#REF! = "obiectiv"</formula>
    </cfRule>
  </conditionalFormatting>
  <conditionalFormatting sqref="K1771:K1780">
    <cfRule type="expression" dxfId="4099" priority="4035">
      <formula>#REF! = "produs"</formula>
    </cfRule>
    <cfRule type="expression" dxfId="4098" priority="4036">
      <formula>#REF! = "obiectiv"</formula>
    </cfRule>
  </conditionalFormatting>
  <conditionalFormatting sqref="J1771:J1772 J1774:J1780">
    <cfRule type="expression" dxfId="4097" priority="4033">
      <formula>#REF! = "produs"</formula>
    </cfRule>
    <cfRule type="expression" dxfId="4096" priority="4034">
      <formula>#REF! = "obiectiv"</formula>
    </cfRule>
  </conditionalFormatting>
  <conditionalFormatting sqref="W1772:IU1773 W1775:IU1780">
    <cfRule type="expression" dxfId="4095" priority="4031">
      <formula>#REF! = "produs"</formula>
    </cfRule>
    <cfRule type="expression" dxfId="4094" priority="4032">
      <formula>#REF! = "obiectiv"</formula>
    </cfRule>
  </conditionalFormatting>
  <conditionalFormatting sqref="K1772:K1773 K1775:K1780">
    <cfRule type="expression" dxfId="4093" priority="4029">
      <formula>#REF! = "produs"</formula>
    </cfRule>
    <cfRule type="expression" dxfId="4092" priority="4030">
      <formula>#REF! = "obiectiv"</formula>
    </cfRule>
  </conditionalFormatting>
  <conditionalFormatting sqref="J1772 J1779:J1780 J1777 J1775">
    <cfRule type="expression" dxfId="4091" priority="4027">
      <formula>#REF! = "produs"</formula>
    </cfRule>
    <cfRule type="expression" dxfId="4090" priority="4028">
      <formula>#REF! = "obiectiv"</formula>
    </cfRule>
  </conditionalFormatting>
  <conditionalFormatting sqref="L1780:U1780 L1772:U1772 L1773:P1773 L1775:P1779">
    <cfRule type="expression" dxfId="4089" priority="4025">
      <formula>#REF! = "produs"</formula>
    </cfRule>
    <cfRule type="expression" dxfId="4088" priority="4026">
      <formula>#REF! = "obiectiv"</formula>
    </cfRule>
  </conditionalFormatting>
  <conditionalFormatting sqref="K861">
    <cfRule type="expression" dxfId="4087" priority="4845">
      <formula>#REF! = "produs"</formula>
    </cfRule>
    <cfRule type="expression" dxfId="4086" priority="4846">
      <formula>#REF! = "obiectiv"</formula>
    </cfRule>
  </conditionalFormatting>
  <conditionalFormatting sqref="K851">
    <cfRule type="expression" dxfId="4085" priority="4843">
      <formula>#REF! = "produs"</formula>
    </cfRule>
    <cfRule type="expression" dxfId="4084" priority="4844">
      <formula>#REF! = "obiectiv"</formula>
    </cfRule>
  </conditionalFormatting>
  <conditionalFormatting sqref="K851">
    <cfRule type="expression" dxfId="4083" priority="4841">
      <formula>#REF! = "produs"</formula>
    </cfRule>
    <cfRule type="expression" dxfId="4082" priority="4842">
      <formula>#REF! = "obiectiv"</formula>
    </cfRule>
  </conditionalFormatting>
  <conditionalFormatting sqref="G1135">
    <cfRule type="expression" dxfId="4081" priority="4633">
      <formula>#REF! = "produs"</formula>
    </cfRule>
    <cfRule type="expression" dxfId="4080" priority="4634">
      <formula>#REF! = "obiectiv"</formula>
    </cfRule>
  </conditionalFormatting>
  <conditionalFormatting sqref="H1135">
    <cfRule type="expression" dxfId="4079" priority="4631">
      <formula>#REF! = "produs"</formula>
    </cfRule>
    <cfRule type="expression" dxfId="4078" priority="4632">
      <formula>#REF! = "obiectiv"</formula>
    </cfRule>
  </conditionalFormatting>
  <conditionalFormatting sqref="J1137">
    <cfRule type="expression" dxfId="4077" priority="4627">
      <formula>#REF! = "produs"</formula>
    </cfRule>
    <cfRule type="expression" dxfId="4076" priority="4628">
      <formula>#REF! = "obiectiv"</formula>
    </cfRule>
  </conditionalFormatting>
  <conditionalFormatting sqref="I1135">
    <cfRule type="expression" dxfId="4075" priority="4629">
      <formula>#REF! = "produs"</formula>
    </cfRule>
    <cfRule type="expression" dxfId="4074" priority="4630">
      <formula>#REF! = "obiectiv"</formula>
    </cfRule>
  </conditionalFormatting>
  <conditionalFormatting sqref="L1146:P1155">
    <cfRule type="expression" dxfId="4073" priority="4625">
      <formula>#REF! = "produs"</formula>
    </cfRule>
    <cfRule type="expression" dxfId="4072" priority="4626">
      <formula>#REF! = "obiectiv"</formula>
    </cfRule>
  </conditionalFormatting>
  <conditionalFormatting sqref="L1146:P1155">
    <cfRule type="expression" dxfId="4071" priority="4621">
      <formula>#REF! = "produs"</formula>
    </cfRule>
    <cfRule type="expression" dxfId="4070" priority="4622">
      <formula>#REF! = "obiectiv"</formula>
    </cfRule>
  </conditionalFormatting>
  <conditionalFormatting sqref="L1154:P1155 L1150:P1151 L1147:P1148">
    <cfRule type="expression" dxfId="4069" priority="4619">
      <formula>#REF! = "produs"</formula>
    </cfRule>
    <cfRule type="expression" dxfId="4068" priority="4620">
      <formula>#REF! = "obiectiv"</formula>
    </cfRule>
  </conditionalFormatting>
  <conditionalFormatting sqref="L1153:P1153">
    <cfRule type="expression" dxfId="4067" priority="4617">
      <formula>#REF! = "produs"</formula>
    </cfRule>
    <cfRule type="expression" dxfId="4066" priority="4618">
      <formula>#REF! = "obiectiv"</formula>
    </cfRule>
  </conditionalFormatting>
  <conditionalFormatting sqref="L1149:P1149">
    <cfRule type="expression" dxfId="4065" priority="4613">
      <formula>#REF! = "produs"</formula>
    </cfRule>
    <cfRule type="expression" dxfId="4064" priority="4614">
      <formula>#REF! = "obiectiv"</formula>
    </cfRule>
  </conditionalFormatting>
  <conditionalFormatting sqref="L1195:P1195">
    <cfRule type="expression" dxfId="4063" priority="4573">
      <formula>#REF! = "produs"</formula>
    </cfRule>
    <cfRule type="expression" dxfId="4062" priority="4574">
      <formula>#REF! = "obiectiv"</formula>
    </cfRule>
  </conditionalFormatting>
  <conditionalFormatting sqref="L1171:P1171">
    <cfRule type="expression" dxfId="4061" priority="4595">
      <formula>#REF! = "produs"</formula>
    </cfRule>
    <cfRule type="expression" dxfId="4060" priority="4596">
      <formula>#REF! = "obiectiv"</formula>
    </cfRule>
  </conditionalFormatting>
  <conditionalFormatting sqref="L1142:P1142">
    <cfRule type="expression" dxfId="4059" priority="4649">
      <formula>#REF! = "produs"</formula>
    </cfRule>
    <cfRule type="expression" dxfId="4058" priority="4650">
      <formula>#REF! = "obiectiv"</formula>
    </cfRule>
  </conditionalFormatting>
  <conditionalFormatting sqref="L1141:P1141">
    <cfRule type="expression" dxfId="4057" priority="4647">
      <formula>#REF! = "produs"</formula>
    </cfRule>
    <cfRule type="expression" dxfId="4056" priority="4648">
      <formula>#REF! = "obiectiv"</formula>
    </cfRule>
  </conditionalFormatting>
  <conditionalFormatting sqref="K881">
    <cfRule type="expression" dxfId="4055" priority="4855">
      <formula>#REF! = "produs"</formula>
    </cfRule>
    <cfRule type="expression" dxfId="4054" priority="4856">
      <formula>#REF! = "obiectiv"</formula>
    </cfRule>
  </conditionalFormatting>
  <conditionalFormatting sqref="K871">
    <cfRule type="expression" dxfId="4053" priority="4851">
      <formula>#REF! = "produs"</formula>
    </cfRule>
    <cfRule type="expression" dxfId="4052" priority="4852">
      <formula>#REF! = "obiectiv"</formula>
    </cfRule>
  </conditionalFormatting>
  <conditionalFormatting sqref="K891">
    <cfRule type="expression" dxfId="4051" priority="4859">
      <formula>#REF! = "produs"</formula>
    </cfRule>
    <cfRule type="expression" dxfId="4050" priority="4860">
      <formula>#REF! = "obiectiv"</formula>
    </cfRule>
  </conditionalFormatting>
  <conditionalFormatting sqref="K871">
    <cfRule type="expression" dxfId="4049" priority="4849">
      <formula>#REF! = "produs"</formula>
    </cfRule>
    <cfRule type="expression" dxfId="4048" priority="4850">
      <formula>#REF! = "obiectiv"</formula>
    </cfRule>
  </conditionalFormatting>
  <conditionalFormatting sqref="K881">
    <cfRule type="expression" dxfId="4047" priority="4853">
      <formula>#REF! = "produs"</formula>
    </cfRule>
    <cfRule type="expression" dxfId="4046" priority="4854">
      <formula>#REF! = "obiectiv"</formula>
    </cfRule>
  </conditionalFormatting>
  <conditionalFormatting sqref="L1229:P1238">
    <cfRule type="expression" dxfId="4045" priority="4551">
      <formula>#REF! = "produs"</formula>
    </cfRule>
    <cfRule type="expression" dxfId="4044" priority="4552">
      <formula>#REF! = "obiectiv"</formula>
    </cfRule>
  </conditionalFormatting>
  <conditionalFormatting sqref="L1233:P1234 L1237:P1238 L1230:P1231">
    <cfRule type="expression" dxfId="4043" priority="4549">
      <formula>#REF! = "produs"</formula>
    </cfRule>
    <cfRule type="expression" dxfId="4042" priority="4550">
      <formula>#REF! = "obiectiv"</formula>
    </cfRule>
  </conditionalFormatting>
  <conditionalFormatting sqref="L1236:P1236">
    <cfRule type="expression" dxfId="4041" priority="4547">
      <formula>#REF! = "produs"</formula>
    </cfRule>
    <cfRule type="expression" dxfId="4040" priority="4548">
      <formula>#REF! = "obiectiv"</formula>
    </cfRule>
  </conditionalFormatting>
  <conditionalFormatting sqref="L1235:P1235">
    <cfRule type="expression" dxfId="4039" priority="4545">
      <formula>#REF! = "produs"</formula>
    </cfRule>
    <cfRule type="expression" dxfId="4038" priority="4546">
      <formula>#REF! = "obiectiv"</formula>
    </cfRule>
  </conditionalFormatting>
  <conditionalFormatting sqref="K841">
    <cfRule type="expression" dxfId="4037" priority="4837">
      <formula>#REF! = "produs"</formula>
    </cfRule>
    <cfRule type="expression" dxfId="4036" priority="4838">
      <formula>#REF! = "obiectiv"</formula>
    </cfRule>
  </conditionalFormatting>
  <conditionalFormatting sqref="K831">
    <cfRule type="expression" dxfId="4035" priority="4835">
      <formula>#REF! = "produs"</formula>
    </cfRule>
    <cfRule type="expression" dxfId="4034" priority="4836">
      <formula>#REF! = "obiectiv"</formula>
    </cfRule>
  </conditionalFormatting>
  <conditionalFormatting sqref="K831">
    <cfRule type="expression" dxfId="4033" priority="4833">
      <formula>#REF! = "produs"</formula>
    </cfRule>
    <cfRule type="expression" dxfId="4032" priority="4834">
      <formula>#REF! = "obiectiv"</formula>
    </cfRule>
  </conditionalFormatting>
  <conditionalFormatting sqref="K821">
    <cfRule type="expression" dxfId="4031" priority="4831">
      <formula>#REF! = "produs"</formula>
    </cfRule>
    <cfRule type="expression" dxfId="4030" priority="4832">
      <formula>#REF! = "obiectiv"</formula>
    </cfRule>
  </conditionalFormatting>
  <conditionalFormatting sqref="K821">
    <cfRule type="expression" dxfId="4029" priority="4829">
      <formula>#REF! = "produs"</formula>
    </cfRule>
    <cfRule type="expression" dxfId="4028" priority="4830">
      <formula>#REF! = "obiectiv"</formula>
    </cfRule>
  </conditionalFormatting>
  <conditionalFormatting sqref="K913">
    <cfRule type="expression" dxfId="4027" priority="4827">
      <formula>#REF! = "produs"</formula>
    </cfRule>
    <cfRule type="expression" dxfId="4026" priority="4828">
      <formula>#REF! = "obiectiv"</formula>
    </cfRule>
  </conditionalFormatting>
  <conditionalFormatting sqref="K913">
    <cfRule type="expression" dxfId="4025" priority="4825">
      <formula>#REF! = "produs"</formula>
    </cfRule>
    <cfRule type="expression" dxfId="4024" priority="4826">
      <formula>#REF! = "obiectiv"</formula>
    </cfRule>
  </conditionalFormatting>
  <conditionalFormatting sqref="L951:P952 L947:P948 L944:P945">
    <cfRule type="expression" dxfId="4023" priority="4823">
      <formula>#REF! = "produs"</formula>
    </cfRule>
    <cfRule type="expression" dxfId="4022" priority="4824">
      <formula>#REF! = "obiectiv"</formula>
    </cfRule>
  </conditionalFormatting>
  <conditionalFormatting sqref="L950:P950">
    <cfRule type="expression" dxfId="4021" priority="4821">
      <formula>#REF! = "produs"</formula>
    </cfRule>
    <cfRule type="expression" dxfId="4020" priority="4822">
      <formula>#REF! = "obiectiv"</formula>
    </cfRule>
  </conditionalFormatting>
  <conditionalFormatting sqref="L949:P949">
    <cfRule type="expression" dxfId="4019" priority="4819">
      <formula>#REF! = "produs"</formula>
    </cfRule>
    <cfRule type="expression" dxfId="4018" priority="4820">
      <formula>#REF! = "obiectiv"</formula>
    </cfRule>
  </conditionalFormatting>
  <conditionalFormatting sqref="L946:P946">
    <cfRule type="expression" dxfId="4017" priority="4817">
      <formula>#REF! = "produs"</formula>
    </cfRule>
    <cfRule type="expression" dxfId="4016" priority="4818">
      <formula>#REF! = "obiectiv"</formula>
    </cfRule>
  </conditionalFormatting>
  <conditionalFormatting sqref="K934">
    <cfRule type="expression" dxfId="4015" priority="4815">
      <formula>#REF! = "produs"</formula>
    </cfRule>
    <cfRule type="expression" dxfId="4014" priority="4816">
      <formula>#REF! = "obiectiv"</formula>
    </cfRule>
  </conditionalFormatting>
  <conditionalFormatting sqref="L1546:P1546">
    <cfRule type="expression" dxfId="4013" priority="4445">
      <formula>#REF! = "produs"</formula>
    </cfRule>
    <cfRule type="expression" dxfId="4012" priority="4446">
      <formula>#REF! = "obiectiv"</formula>
    </cfRule>
  </conditionalFormatting>
  <conditionalFormatting sqref="L959:P959">
    <cfRule type="expression" dxfId="4011" priority="4763">
      <formula>#REF! = "produs"</formula>
    </cfRule>
    <cfRule type="expression" dxfId="4010" priority="4764">
      <formula>#REF! = "obiectiv"</formula>
    </cfRule>
  </conditionalFormatting>
  <conditionalFormatting sqref="J1550 J1557:J1558 J1555 J1553">
    <cfRule type="expression" dxfId="4009" priority="4485">
      <formula>#REF! = "produs"</formula>
    </cfRule>
    <cfRule type="expression" dxfId="4008" priority="4486">
      <formula>#REF! = "obiectiv"</formula>
    </cfRule>
  </conditionalFormatting>
  <conditionalFormatting sqref="V953:V962">
    <cfRule type="expression" dxfId="4007" priority="4777">
      <formula>#REF! = "produs"</formula>
    </cfRule>
    <cfRule type="expression" dxfId="4006" priority="4778">
      <formula>#REF! = "obiectiv"</formula>
    </cfRule>
  </conditionalFormatting>
  <conditionalFormatting sqref="J960">
    <cfRule type="expression" dxfId="4005" priority="4767">
      <formula>#REF! = "produs"</formula>
    </cfRule>
    <cfRule type="expression" dxfId="4004" priority="4768">
      <formula>#REF! = "obiectiv"</formula>
    </cfRule>
  </conditionalFormatting>
  <conditionalFormatting sqref="J954 J961:J962 J959 J957">
    <cfRule type="expression" dxfId="4003" priority="4771">
      <formula>#REF! = "produs"</formula>
    </cfRule>
    <cfRule type="expression" dxfId="4002" priority="4772">
      <formula>#REF! = "obiectiv"</formula>
    </cfRule>
  </conditionalFormatting>
  <conditionalFormatting sqref="J956">
    <cfRule type="expression" dxfId="4001" priority="4757">
      <formula>#REF! = "produs"</formula>
    </cfRule>
    <cfRule type="expression" dxfId="4000" priority="4758">
      <formula>#REF! = "obiectiv"</formula>
    </cfRule>
  </conditionalFormatting>
  <conditionalFormatting sqref="J958">
    <cfRule type="expression" dxfId="3999" priority="4761">
      <formula>#REF! = "produs"</formula>
    </cfRule>
    <cfRule type="expression" dxfId="3998" priority="4762">
      <formula>#REF! = "obiectiv"</formula>
    </cfRule>
  </conditionalFormatting>
  <conditionalFormatting sqref="W954:IU955 W957:IU962">
    <cfRule type="expression" dxfId="3997" priority="4775">
      <formula>#REF! = "produs"</formula>
    </cfRule>
    <cfRule type="expression" dxfId="3996" priority="4776">
      <formula>#REF! = "obiectiv"</formula>
    </cfRule>
  </conditionalFormatting>
  <conditionalFormatting sqref="K954:K955 K957:K962">
    <cfRule type="expression" dxfId="3995" priority="4773">
      <formula>#REF! = "produs"</formula>
    </cfRule>
    <cfRule type="expression" dxfId="3994" priority="4774">
      <formula>#REF! = "obiectiv"</formula>
    </cfRule>
  </conditionalFormatting>
  <conditionalFormatting sqref="L962:U962 L961:P961 L957:P958 L954:U954 L955:P955">
    <cfRule type="expression" dxfId="3993" priority="4769">
      <formula>#REF! = "produs"</formula>
    </cfRule>
    <cfRule type="expression" dxfId="3992" priority="4770">
      <formula>#REF! = "obiectiv"</formula>
    </cfRule>
  </conditionalFormatting>
  <conditionalFormatting sqref="L960:P960">
    <cfRule type="expression" dxfId="3991" priority="4765">
      <formula>#REF! = "produs"</formula>
    </cfRule>
    <cfRule type="expression" dxfId="3990" priority="4766">
      <formula>#REF! = "obiectiv"</formula>
    </cfRule>
  </conditionalFormatting>
  <conditionalFormatting sqref="G973">
    <cfRule type="expression" dxfId="3989" priority="4679">
      <formula>#REF! = "produs"</formula>
    </cfRule>
    <cfRule type="expression" dxfId="3988" priority="4680">
      <formula>#REF! = "obiectiv"</formula>
    </cfRule>
  </conditionalFormatting>
  <conditionalFormatting sqref="K956:P956 W956:IU956">
    <cfRule type="expression" dxfId="3987" priority="4759">
      <formula>#REF! = "produs"</formula>
    </cfRule>
    <cfRule type="expression" dxfId="3986" priority="4760">
      <formula>#REF! = "obiectiv"</formula>
    </cfRule>
  </conditionalFormatting>
  <conditionalFormatting sqref="J953">
    <cfRule type="expression" dxfId="3985" priority="4755">
      <formula>#REF! = "produs"</formula>
    </cfRule>
    <cfRule type="expression" dxfId="3984" priority="4756">
      <formula>#REF! = "obiectiv"</formula>
    </cfRule>
  </conditionalFormatting>
  <conditionalFormatting sqref="Q955:U961">
    <cfRule type="expression" dxfId="3983" priority="4753">
      <formula>#REF! = "produs"</formula>
    </cfRule>
    <cfRule type="expression" dxfId="3982" priority="4754">
      <formula>#REF! = "obiectiv"</formula>
    </cfRule>
  </conditionalFormatting>
  <conditionalFormatting sqref="Q953:U953">
    <cfRule type="expression" dxfId="3981" priority="4751">
      <formula>#REF! = "produs"</formula>
    </cfRule>
    <cfRule type="expression" dxfId="3980" priority="4752">
      <formula>#REF! = "obiectiv"</formula>
    </cfRule>
  </conditionalFormatting>
  <conditionalFormatting sqref="H953">
    <cfRule type="expression" dxfId="3979" priority="4749">
      <formula>#REF! = "produs"</formula>
    </cfRule>
    <cfRule type="expression" dxfId="3978" priority="4750">
      <formula>#REF! = "obiectiv"</formula>
    </cfRule>
  </conditionalFormatting>
  <conditionalFormatting sqref="G953">
    <cfRule type="expression" dxfId="3977" priority="4747">
      <formula>#REF! = "produs"</formula>
    </cfRule>
    <cfRule type="expression" dxfId="3976" priority="4748">
      <formula>#REF! = "obiectiv"</formula>
    </cfRule>
  </conditionalFormatting>
  <conditionalFormatting sqref="J955">
    <cfRule type="expression" dxfId="3975" priority="4745">
      <formula>#REF! = "produs"</formula>
    </cfRule>
    <cfRule type="expression" dxfId="3974" priority="4746">
      <formula>#REF! = "obiectiv"</formula>
    </cfRule>
  </conditionalFormatting>
  <conditionalFormatting sqref="V963:V972">
    <cfRule type="expression" dxfId="3973" priority="4743">
      <formula>#REF! = "produs"</formula>
    </cfRule>
    <cfRule type="expression" dxfId="3972" priority="4744">
      <formula>#REF! = "obiectiv"</formula>
    </cfRule>
  </conditionalFormatting>
  <conditionalFormatting sqref="J970">
    <cfRule type="expression" dxfId="3971" priority="4733">
      <formula>#REF! = "produs"</formula>
    </cfRule>
    <cfRule type="expression" dxfId="3970" priority="4734">
      <formula>#REF! = "obiectiv"</formula>
    </cfRule>
  </conditionalFormatting>
  <conditionalFormatting sqref="J964 J971:J972 J969 J967">
    <cfRule type="expression" dxfId="3969" priority="4737">
      <formula>#REF! = "produs"</formula>
    </cfRule>
    <cfRule type="expression" dxfId="3968" priority="4738">
      <formula>#REF! = "obiectiv"</formula>
    </cfRule>
  </conditionalFormatting>
  <conditionalFormatting sqref="J966">
    <cfRule type="expression" dxfId="3967" priority="4723">
      <formula>#REF! = "produs"</formula>
    </cfRule>
    <cfRule type="expression" dxfId="3966" priority="4724">
      <formula>#REF! = "obiectiv"</formula>
    </cfRule>
  </conditionalFormatting>
  <conditionalFormatting sqref="J968">
    <cfRule type="expression" dxfId="3965" priority="4727">
      <formula>#REF! = "produs"</formula>
    </cfRule>
    <cfRule type="expression" dxfId="3964" priority="4728">
      <formula>#REF! = "obiectiv"</formula>
    </cfRule>
  </conditionalFormatting>
  <conditionalFormatting sqref="W964:IU965 W967:IU972">
    <cfRule type="expression" dxfId="3963" priority="4741">
      <formula>#REF! = "produs"</formula>
    </cfRule>
    <cfRule type="expression" dxfId="3962" priority="4742">
      <formula>#REF! = "obiectiv"</formula>
    </cfRule>
  </conditionalFormatting>
  <conditionalFormatting sqref="K964:K965 K967:K972">
    <cfRule type="expression" dxfId="3961" priority="4739">
      <formula>#REF! = "produs"</formula>
    </cfRule>
    <cfRule type="expression" dxfId="3960" priority="4740">
      <formula>#REF! = "obiectiv"</formula>
    </cfRule>
  </conditionalFormatting>
  <conditionalFormatting sqref="L972:U972 L971:P971 L967:P968 L964:U964 L965:P965">
    <cfRule type="expression" dxfId="3959" priority="4735">
      <formula>#REF! = "produs"</formula>
    </cfRule>
    <cfRule type="expression" dxfId="3958" priority="4736">
      <formula>#REF! = "obiectiv"</formula>
    </cfRule>
  </conditionalFormatting>
  <conditionalFormatting sqref="L970:P970">
    <cfRule type="expression" dxfId="3957" priority="4731">
      <formula>#REF! = "produs"</formula>
    </cfRule>
    <cfRule type="expression" dxfId="3956" priority="4732">
      <formula>#REF! = "obiectiv"</formula>
    </cfRule>
  </conditionalFormatting>
  <conditionalFormatting sqref="L969:P969">
    <cfRule type="expression" dxfId="3955" priority="4729">
      <formula>#REF! = "produs"</formula>
    </cfRule>
    <cfRule type="expression" dxfId="3954" priority="4730">
      <formula>#REF! = "obiectiv"</formula>
    </cfRule>
  </conditionalFormatting>
  <conditionalFormatting sqref="K966:P966 W966:IU966">
    <cfRule type="expression" dxfId="3953" priority="4725">
      <formula>#REF! = "produs"</formula>
    </cfRule>
    <cfRule type="expression" dxfId="3952" priority="4726">
      <formula>#REF! = "obiectiv"</formula>
    </cfRule>
  </conditionalFormatting>
  <conditionalFormatting sqref="J963">
    <cfRule type="expression" dxfId="3951" priority="4721">
      <formula>#REF! = "produs"</formula>
    </cfRule>
    <cfRule type="expression" dxfId="3950" priority="4722">
      <formula>#REF! = "obiectiv"</formula>
    </cfRule>
  </conditionalFormatting>
  <conditionalFormatting sqref="Q965:U971">
    <cfRule type="expression" dxfId="3949" priority="4719">
      <formula>#REF! = "produs"</formula>
    </cfRule>
    <cfRule type="expression" dxfId="3948" priority="4720">
      <formula>#REF! = "obiectiv"</formula>
    </cfRule>
  </conditionalFormatting>
  <conditionalFormatting sqref="Q963:U963">
    <cfRule type="expression" dxfId="3947" priority="4717">
      <formula>#REF! = "produs"</formula>
    </cfRule>
    <cfRule type="expression" dxfId="3946" priority="4718">
      <formula>#REF! = "obiectiv"</formula>
    </cfRule>
  </conditionalFormatting>
  <conditionalFormatting sqref="H963">
    <cfRule type="expression" dxfId="3945" priority="4715">
      <formula>#REF! = "produs"</formula>
    </cfRule>
    <cfRule type="expression" dxfId="3944" priority="4716">
      <formula>#REF! = "obiectiv"</formula>
    </cfRule>
  </conditionalFormatting>
  <conditionalFormatting sqref="G963">
    <cfRule type="expression" dxfId="3943" priority="4713">
      <formula>#REF! = "produs"</formula>
    </cfRule>
    <cfRule type="expression" dxfId="3942" priority="4714">
      <formula>#REF! = "obiectiv"</formula>
    </cfRule>
  </conditionalFormatting>
  <conditionalFormatting sqref="J965">
    <cfRule type="expression" dxfId="3941" priority="4711">
      <formula>#REF! = "produs"</formula>
    </cfRule>
    <cfRule type="expression" dxfId="3940" priority="4712">
      <formula>#REF! = "obiectiv"</formula>
    </cfRule>
  </conditionalFormatting>
  <conditionalFormatting sqref="V973:V982">
    <cfRule type="expression" dxfId="3939" priority="4709">
      <formula>#REF! = "produs"</formula>
    </cfRule>
    <cfRule type="expression" dxfId="3938" priority="4710">
      <formula>#REF! = "obiectiv"</formula>
    </cfRule>
  </conditionalFormatting>
  <conditionalFormatting sqref="J980">
    <cfRule type="expression" dxfId="3937" priority="4699">
      <formula>#REF! = "produs"</formula>
    </cfRule>
    <cfRule type="expression" dxfId="3936" priority="4700">
      <formula>#REF! = "obiectiv"</formula>
    </cfRule>
  </conditionalFormatting>
  <conditionalFormatting sqref="J974 J981:J982 J979 J977">
    <cfRule type="expression" dxfId="3935" priority="4703">
      <formula>#REF! = "produs"</formula>
    </cfRule>
    <cfRule type="expression" dxfId="3934" priority="4704">
      <formula>#REF! = "obiectiv"</formula>
    </cfRule>
  </conditionalFormatting>
  <conditionalFormatting sqref="J976">
    <cfRule type="expression" dxfId="3933" priority="4689">
      <formula>#REF! = "produs"</formula>
    </cfRule>
    <cfRule type="expression" dxfId="3932" priority="4690">
      <formula>#REF! = "obiectiv"</formula>
    </cfRule>
  </conditionalFormatting>
  <conditionalFormatting sqref="J978">
    <cfRule type="expression" dxfId="3931" priority="4693">
      <formula>#REF! = "produs"</formula>
    </cfRule>
    <cfRule type="expression" dxfId="3930" priority="4694">
      <formula>#REF! = "obiectiv"</formula>
    </cfRule>
  </conditionalFormatting>
  <conditionalFormatting sqref="W974:IU975 W977:IU982">
    <cfRule type="expression" dxfId="3929" priority="4707">
      <formula>#REF! = "produs"</formula>
    </cfRule>
    <cfRule type="expression" dxfId="3928" priority="4708">
      <formula>#REF! = "obiectiv"</formula>
    </cfRule>
  </conditionalFormatting>
  <conditionalFormatting sqref="K974:K975 K977:K982">
    <cfRule type="expression" dxfId="3927" priority="4705">
      <formula>#REF! = "produs"</formula>
    </cfRule>
    <cfRule type="expression" dxfId="3926" priority="4706">
      <formula>#REF! = "obiectiv"</formula>
    </cfRule>
  </conditionalFormatting>
  <conditionalFormatting sqref="L982:U982 L981:P981 L977:P978 L974:U974 L975:P975">
    <cfRule type="expression" dxfId="3925" priority="4701">
      <formula>#REF! = "produs"</formula>
    </cfRule>
    <cfRule type="expression" dxfId="3924" priority="4702">
      <formula>#REF! = "obiectiv"</formula>
    </cfRule>
  </conditionalFormatting>
  <conditionalFormatting sqref="L980:P980">
    <cfRule type="expression" dxfId="3923" priority="4697">
      <formula>#REF! = "produs"</formula>
    </cfRule>
    <cfRule type="expression" dxfId="3922" priority="4698">
      <formula>#REF! = "obiectiv"</formula>
    </cfRule>
  </conditionalFormatting>
  <conditionalFormatting sqref="L979:P979">
    <cfRule type="expression" dxfId="3921" priority="4695">
      <formula>#REF! = "produs"</formula>
    </cfRule>
    <cfRule type="expression" dxfId="3920" priority="4696">
      <formula>#REF! = "obiectiv"</formula>
    </cfRule>
  </conditionalFormatting>
  <conditionalFormatting sqref="K976:P976 W976:IU976">
    <cfRule type="expression" dxfId="3919" priority="4691">
      <formula>#REF! = "produs"</formula>
    </cfRule>
    <cfRule type="expression" dxfId="3918" priority="4692">
      <formula>#REF! = "obiectiv"</formula>
    </cfRule>
  </conditionalFormatting>
  <conditionalFormatting sqref="J973">
    <cfRule type="expression" dxfId="3917" priority="4687">
      <formula>#REF! = "produs"</formula>
    </cfRule>
    <cfRule type="expression" dxfId="3916" priority="4688">
      <formula>#REF! = "obiectiv"</formula>
    </cfRule>
  </conditionalFormatting>
  <conditionalFormatting sqref="Q975:U981">
    <cfRule type="expression" dxfId="3915" priority="4685">
      <formula>#REF! = "produs"</formula>
    </cfRule>
    <cfRule type="expression" dxfId="3914" priority="4686">
      <formula>#REF! = "obiectiv"</formula>
    </cfRule>
  </conditionalFormatting>
  <conditionalFormatting sqref="Q973:U973">
    <cfRule type="expression" dxfId="3913" priority="4683">
      <formula>#REF! = "produs"</formula>
    </cfRule>
    <cfRule type="expression" dxfId="3912" priority="4684">
      <formula>#REF! = "obiectiv"</formula>
    </cfRule>
  </conditionalFormatting>
  <conditionalFormatting sqref="H973">
    <cfRule type="expression" dxfId="3911" priority="4681">
      <formula>#REF! = "produs"</formula>
    </cfRule>
    <cfRule type="expression" dxfId="3910" priority="4682">
      <formula>#REF! = "obiectiv"</formula>
    </cfRule>
  </conditionalFormatting>
  <conditionalFormatting sqref="L1206:P1207 L1202:P1203 L1199:P1200">
    <cfRule type="expression" dxfId="3909" priority="4593">
      <formula>#REF! = "produs"</formula>
    </cfRule>
    <cfRule type="expression" dxfId="3908" priority="4594">
      <formula>#REF! = "obiectiv"</formula>
    </cfRule>
  </conditionalFormatting>
  <conditionalFormatting sqref="J975">
    <cfRule type="expression" dxfId="3907" priority="4677">
      <formula>#REF! = "produs"</formula>
    </cfRule>
    <cfRule type="expression" dxfId="3906" priority="4678">
      <formula>#REF! = "obiectiv"</formula>
    </cfRule>
  </conditionalFormatting>
  <conditionalFormatting sqref="G943">
    <cfRule type="expression" dxfId="3905" priority="4675">
      <formula>#REF! = "produs"</formula>
    </cfRule>
    <cfRule type="expression" dxfId="3904" priority="4676">
      <formula>#REF! = "obiectiv"</formula>
    </cfRule>
  </conditionalFormatting>
  <conditionalFormatting sqref="V1135:V1144">
    <cfRule type="expression" dxfId="3903" priority="4671">
      <formula>#REF! = "produs"</formula>
    </cfRule>
    <cfRule type="expression" dxfId="3902" priority="4672">
      <formula>#REF! = "obiectiv"</formula>
    </cfRule>
  </conditionalFormatting>
  <conditionalFormatting sqref="V1135:V1144">
    <cfRule type="expression" dxfId="3901" priority="4669">
      <formula>#REF! = "produs"</formula>
    </cfRule>
    <cfRule type="expression" dxfId="3900" priority="4670">
      <formula>#REF! = "obiectiv"</formula>
    </cfRule>
  </conditionalFormatting>
  <conditionalFormatting sqref="K1135:U1144 J1135:J1136 J1138:J1144 W1135:IU1144">
    <cfRule type="expression" dxfId="3899" priority="4673">
      <formula>#REF! = "produs"</formula>
    </cfRule>
    <cfRule type="expression" dxfId="3898" priority="4674">
      <formula>#REF! = "obiectiv"</formula>
    </cfRule>
  </conditionalFormatting>
  <conditionalFormatting sqref="J1135:J1136 J1138:J1144">
    <cfRule type="expression" dxfId="3897" priority="4663">
      <formula>#REF! = "produs"</formula>
    </cfRule>
    <cfRule type="expression" dxfId="3896" priority="4664">
      <formula>#REF! = "obiectiv"</formula>
    </cfRule>
  </conditionalFormatting>
  <conditionalFormatting sqref="J1138">
    <cfRule type="expression" dxfId="3895" priority="4641">
      <formula>#REF! = "produs"</formula>
    </cfRule>
    <cfRule type="expression" dxfId="3894" priority="4642">
      <formula>#REF! = "obiectiv"</formula>
    </cfRule>
  </conditionalFormatting>
  <conditionalFormatting sqref="W1135:IU1144">
    <cfRule type="expression" dxfId="3893" priority="4667">
      <formula>#REF! = "produs"</formula>
    </cfRule>
    <cfRule type="expression" dxfId="3892" priority="4668">
      <formula>#REF! = "obiectiv"</formula>
    </cfRule>
  </conditionalFormatting>
  <conditionalFormatting sqref="L1135:P1135 K1135:K1144">
    <cfRule type="expression" dxfId="3891" priority="4665">
      <formula>#REF! = "produs"</formula>
    </cfRule>
    <cfRule type="expression" dxfId="3890" priority="4666">
      <formula>#REF! = "obiectiv"</formula>
    </cfRule>
  </conditionalFormatting>
  <conditionalFormatting sqref="L1135:U1144">
    <cfRule type="expression" dxfId="3889" priority="4661">
      <formula>#REF! = "produs"</formula>
    </cfRule>
    <cfRule type="expression" dxfId="3888" priority="4662">
      <formula>#REF! = "obiectiv"</formula>
    </cfRule>
  </conditionalFormatting>
  <conditionalFormatting sqref="J1136 J1143:J1144 J1141 J1139">
    <cfRule type="expression" dxfId="3887" priority="4655">
      <formula>#REF! = "produs"</formula>
    </cfRule>
    <cfRule type="expression" dxfId="3886" priority="4656">
      <formula>#REF! = "obiectiv"</formula>
    </cfRule>
  </conditionalFormatting>
  <conditionalFormatting sqref="J1140">
    <cfRule type="expression" dxfId="3885" priority="4645">
      <formula>#REF! = "produs"</formula>
    </cfRule>
    <cfRule type="expression" dxfId="3884" priority="4646">
      <formula>#REF! = "obiectiv"</formula>
    </cfRule>
  </conditionalFormatting>
  <conditionalFormatting sqref="W1136:IU1137 W1139:IU1144">
    <cfRule type="expression" dxfId="3883" priority="4659">
      <formula>#REF! = "produs"</formula>
    </cfRule>
    <cfRule type="expression" dxfId="3882" priority="4660">
      <formula>#REF! = "obiectiv"</formula>
    </cfRule>
  </conditionalFormatting>
  <conditionalFormatting sqref="K1136:K1137 K1139:K1144">
    <cfRule type="expression" dxfId="3881" priority="4657">
      <formula>#REF! = "produs"</formula>
    </cfRule>
    <cfRule type="expression" dxfId="3880" priority="4658">
      <formula>#REF! = "obiectiv"</formula>
    </cfRule>
  </conditionalFormatting>
  <conditionalFormatting sqref="W1138:IU1138 K1138:P1138">
    <cfRule type="expression" dxfId="3879" priority="4643">
      <formula>#REF! = "produs"</formula>
    </cfRule>
    <cfRule type="expression" dxfId="3878" priority="4644">
      <formula>#REF! = "obiectiv"</formula>
    </cfRule>
  </conditionalFormatting>
  <conditionalFormatting sqref="J1135">
    <cfRule type="expression" dxfId="3877" priority="4639">
      <formula>#REF! = "produs"</formula>
    </cfRule>
    <cfRule type="expression" dxfId="3876" priority="4640">
      <formula>#REF! = "obiectiv"</formula>
    </cfRule>
  </conditionalFormatting>
  <conditionalFormatting sqref="Q1137:U1143">
    <cfRule type="expression" dxfId="3875" priority="4637">
      <formula>#REF! = "produs"</formula>
    </cfRule>
    <cfRule type="expression" dxfId="3874" priority="4638">
      <formula>#REF! = "obiectiv"</formula>
    </cfRule>
  </conditionalFormatting>
  <conditionalFormatting sqref="Q1135:U1135">
    <cfRule type="expression" dxfId="3873" priority="4635">
      <formula>#REF! = "produs"</formula>
    </cfRule>
    <cfRule type="expression" dxfId="3872" priority="4636">
      <formula>#REF! = "obiectiv"</formula>
    </cfRule>
  </conditionalFormatting>
  <conditionalFormatting sqref="W1489:IU1490 W1492:IU1497">
    <cfRule type="expression" dxfId="3871" priority="4359">
      <formula>#REF! = "produs"</formula>
    </cfRule>
    <cfRule type="expression" dxfId="3870" priority="4360">
      <formula>#REF! = "obiectiv"</formula>
    </cfRule>
  </conditionalFormatting>
  <conditionalFormatting sqref="K1489:K1490 K1492:K1497">
    <cfRule type="expression" dxfId="3869" priority="4357">
      <formula>#REF! = "produs"</formula>
    </cfRule>
    <cfRule type="expression" dxfId="3868" priority="4358">
      <formula>#REF! = "obiectiv"</formula>
    </cfRule>
  </conditionalFormatting>
  <conditionalFormatting sqref="L1224:P1224">
    <cfRule type="expression" dxfId="3867" priority="4559">
      <formula>#REF! = "produs"</formula>
    </cfRule>
    <cfRule type="expression" dxfId="3866" priority="4560">
      <formula>#REF! = "obiectiv"</formula>
    </cfRule>
  </conditionalFormatting>
  <conditionalFormatting sqref="L1205:P1205">
    <cfRule type="expression" dxfId="3865" priority="4591">
      <formula>#REF! = "produs"</formula>
    </cfRule>
    <cfRule type="expression" dxfId="3864" priority="4592">
      <formula>#REF! = "obiectiv"</formula>
    </cfRule>
  </conditionalFormatting>
  <conditionalFormatting sqref="L1204:P1204">
    <cfRule type="expression" dxfId="3863" priority="4589">
      <formula>#REF! = "produs"</formula>
    </cfRule>
    <cfRule type="expression" dxfId="3862" priority="4590">
      <formula>#REF! = "obiectiv"</formula>
    </cfRule>
  </conditionalFormatting>
  <conditionalFormatting sqref="L1201:P1201">
    <cfRule type="expression" dxfId="3861" priority="4587">
      <formula>#REF! = "produs"</formula>
    </cfRule>
    <cfRule type="expression" dxfId="3860" priority="4588">
      <formula>#REF! = "obiectiv"</formula>
    </cfRule>
  </conditionalFormatting>
  <conditionalFormatting sqref="L1216:P1217 L1212:P1213 L1209:P1210">
    <cfRule type="expression" dxfId="3859" priority="4585">
      <formula>#REF! = "produs"</formula>
    </cfRule>
    <cfRule type="expression" dxfId="3858" priority="4586">
      <formula>#REF! = "obiectiv"</formula>
    </cfRule>
  </conditionalFormatting>
  <conditionalFormatting sqref="L1215:P1215">
    <cfRule type="expression" dxfId="3857" priority="4583">
      <formula>#REF! = "produs"</formula>
    </cfRule>
    <cfRule type="expression" dxfId="3856" priority="4584">
      <formula>#REF! = "obiectiv"</formula>
    </cfRule>
  </conditionalFormatting>
  <conditionalFormatting sqref="L1214:P1214">
    <cfRule type="expression" dxfId="3855" priority="4581">
      <formula>#REF! = "produs"</formula>
    </cfRule>
    <cfRule type="expression" dxfId="3854" priority="4582">
      <formula>#REF! = "obiectiv"</formula>
    </cfRule>
  </conditionalFormatting>
  <conditionalFormatting sqref="L1211:P1211">
    <cfRule type="expression" dxfId="3853" priority="4579">
      <formula>#REF! = "produs"</formula>
    </cfRule>
    <cfRule type="expression" dxfId="3852" priority="4580">
      <formula>#REF! = "obiectiv"</formula>
    </cfRule>
  </conditionalFormatting>
  <conditionalFormatting sqref="L1168:P1177">
    <cfRule type="expression" dxfId="3851" priority="4577">
      <formula>#REF! = "produs"</formula>
    </cfRule>
    <cfRule type="expression" dxfId="3850" priority="4578">
      <formula>#REF! = "obiectiv"</formula>
    </cfRule>
  </conditionalFormatting>
  <conditionalFormatting sqref="L1192:P1193 L1189:P1190">
    <cfRule type="expression" dxfId="3849" priority="4575">
      <formula>#REF! = "produs"</formula>
    </cfRule>
    <cfRule type="expression" dxfId="3848" priority="4576">
      <formula>#REF! = "obiectiv"</formula>
    </cfRule>
  </conditionalFormatting>
  <conditionalFormatting sqref="Q1488:U1488">
    <cfRule type="expression" dxfId="3847" priority="4335">
      <formula>#REF! = "produs"</formula>
    </cfRule>
    <cfRule type="expression" dxfId="3846" priority="4336">
      <formula>#REF! = "obiectiv"</formula>
    </cfRule>
  </conditionalFormatting>
  <conditionalFormatting sqref="H1488">
    <cfRule type="expression" dxfId="3845" priority="4333">
      <formula>#REF! = "produs"</formula>
    </cfRule>
    <cfRule type="expression" dxfId="3844" priority="4334">
      <formula>#REF! = "obiectiv"</formula>
    </cfRule>
  </conditionalFormatting>
  <conditionalFormatting sqref="J1490">
    <cfRule type="expression" dxfId="3843" priority="4331">
      <formula>#REF! = "produs"</formula>
    </cfRule>
    <cfRule type="expression" dxfId="3842" priority="4332">
      <formula>#REF! = "obiectiv"</formula>
    </cfRule>
  </conditionalFormatting>
  <conditionalFormatting sqref="J1786">
    <cfRule type="expression" dxfId="3841" priority="3963">
      <formula>#REF! = "produs"</formula>
    </cfRule>
    <cfRule type="expression" dxfId="3840" priority="3964">
      <formula>#REF! = "obiectiv"</formula>
    </cfRule>
  </conditionalFormatting>
  <conditionalFormatting sqref="K1784:P1784 W1784:IU1784">
    <cfRule type="expression" dxfId="3839" priority="3961">
      <formula>#REF! = "produs"</formula>
    </cfRule>
    <cfRule type="expression" dxfId="3838" priority="3962">
      <formula>#REF! = "obiectiv"</formula>
    </cfRule>
  </conditionalFormatting>
  <conditionalFormatting sqref="L1226:P1227 L1222:P1223 L1219:P1220">
    <cfRule type="expression" dxfId="3837" priority="4563">
      <formula>#REF! = "produs"</formula>
    </cfRule>
    <cfRule type="expression" dxfId="3836" priority="4564">
      <formula>#REF! = "obiectiv"</formula>
    </cfRule>
  </conditionalFormatting>
  <conditionalFormatting sqref="L1225:P1225">
    <cfRule type="expression" dxfId="3835" priority="4561">
      <formula>#REF! = "produs"</formula>
    </cfRule>
    <cfRule type="expression" dxfId="3834" priority="4562">
      <formula>#REF! = "obiectiv"</formula>
    </cfRule>
  </conditionalFormatting>
  <conditionalFormatting sqref="V1508:V1517">
    <cfRule type="expression" dxfId="3833" priority="4325">
      <formula>#REF! = "produs"</formula>
    </cfRule>
    <cfRule type="expression" dxfId="3832" priority="4326">
      <formula>#REF! = "obiectiv"</formula>
    </cfRule>
  </conditionalFormatting>
  <conditionalFormatting sqref="J1489 J1496:J1497 J1494 J1492">
    <cfRule type="expression" dxfId="3831" priority="4355">
      <formula>#REF! = "produs"</formula>
    </cfRule>
    <cfRule type="expression" dxfId="3830" priority="4356">
      <formula>#REF! = "obiectiv"</formula>
    </cfRule>
  </conditionalFormatting>
  <conditionalFormatting sqref="L1497:U1497 L1496:P1496 L1489:U1489 L1490:P1490 L1492:P1493">
    <cfRule type="expression" dxfId="3829" priority="4353">
      <formula>#REF! = "produs"</formula>
    </cfRule>
    <cfRule type="expression" dxfId="3828" priority="4354">
      <formula>#REF! = "obiectiv"</formula>
    </cfRule>
  </conditionalFormatting>
  <conditionalFormatting sqref="J1495">
    <cfRule type="expression" dxfId="3827" priority="4351">
      <formula>#REF! = "produs"</formula>
    </cfRule>
    <cfRule type="expression" dxfId="3826" priority="4352">
      <formula>#REF! = "obiectiv"</formula>
    </cfRule>
  </conditionalFormatting>
  <conditionalFormatting sqref="L1495:P1495">
    <cfRule type="expression" dxfId="3825" priority="4349">
      <formula>#REF! = "produs"</formula>
    </cfRule>
    <cfRule type="expression" dxfId="3824" priority="4350">
      <formula>#REF! = "obiectiv"</formula>
    </cfRule>
  </conditionalFormatting>
  <conditionalFormatting sqref="L1494:P1494">
    <cfRule type="expression" dxfId="3823" priority="4347">
      <formula>#REF! = "produs"</formula>
    </cfRule>
    <cfRule type="expression" dxfId="3822" priority="4348">
      <formula>#REF! = "obiectiv"</formula>
    </cfRule>
  </conditionalFormatting>
  <conditionalFormatting sqref="J1493">
    <cfRule type="expression" dxfId="3821" priority="4345">
      <formula>#REF! = "produs"</formula>
    </cfRule>
    <cfRule type="expression" dxfId="3820" priority="4346">
      <formula>#REF! = "obiectiv"</formula>
    </cfRule>
  </conditionalFormatting>
  <conditionalFormatting sqref="K1491:P1491 W1491:IU1491">
    <cfRule type="expression" dxfId="3819" priority="4343">
      <formula>#REF! = "produs"</formula>
    </cfRule>
    <cfRule type="expression" dxfId="3818" priority="4344">
      <formula>#REF! = "obiectiv"</formula>
    </cfRule>
  </conditionalFormatting>
  <conditionalFormatting sqref="J1491">
    <cfRule type="expression" dxfId="3817" priority="4341">
      <formula>#REF! = "produs"</formula>
    </cfRule>
    <cfRule type="expression" dxfId="3816" priority="4342">
      <formula>#REF! = "obiectiv"</formula>
    </cfRule>
  </conditionalFormatting>
  <conditionalFormatting sqref="J1488">
    <cfRule type="expression" dxfId="3815" priority="4339">
      <formula>#REF! = "produs"</formula>
    </cfRule>
    <cfRule type="expression" dxfId="3814" priority="4340">
      <formula>#REF! = "obiectiv"</formula>
    </cfRule>
  </conditionalFormatting>
  <conditionalFormatting sqref="Q1490:U1496">
    <cfRule type="expression" dxfId="3813" priority="4337">
      <formula>#REF! = "produs"</formula>
    </cfRule>
    <cfRule type="expression" dxfId="3812" priority="4338">
      <formula>#REF! = "obiectiv"</formula>
    </cfRule>
  </conditionalFormatting>
  <conditionalFormatting sqref="J1788">
    <cfRule type="expression" dxfId="3811" priority="3969">
      <formula>#REF! = "produs"</formula>
    </cfRule>
    <cfRule type="expression" dxfId="3810" priority="3970">
      <formula>#REF! = "obiectiv"</formula>
    </cfRule>
  </conditionalFormatting>
  <conditionalFormatting sqref="L1788:P1788">
    <cfRule type="expression" dxfId="3809" priority="3967">
      <formula>#REF! = "produs"</formula>
    </cfRule>
    <cfRule type="expression" dxfId="3808" priority="3968">
      <formula>#REF! = "obiectiv"</formula>
    </cfRule>
  </conditionalFormatting>
  <conditionalFormatting sqref="L1787:P1787">
    <cfRule type="expression" dxfId="3807" priority="3965">
      <formula>#REF! = "produs"</formula>
    </cfRule>
    <cfRule type="expression" dxfId="3806" priority="3966">
      <formula>#REF! = "obiectiv"</formula>
    </cfRule>
  </conditionalFormatting>
  <conditionalFormatting sqref="L1410:P1411 L1406:P1407 L1403:P1404">
    <cfRule type="expression" dxfId="3805" priority="4501">
      <formula>#REF! = "produs"</formula>
    </cfRule>
    <cfRule type="expression" dxfId="3804" priority="4502">
      <formula>#REF! = "obiectiv"</formula>
    </cfRule>
  </conditionalFormatting>
  <conditionalFormatting sqref="W1509:IU1510 W1512:IU1517">
    <cfRule type="expression" dxfId="3803" priority="4323">
      <formula>#REF! = "produs"</formula>
    </cfRule>
    <cfRule type="expression" dxfId="3802" priority="4324">
      <formula>#REF! = "obiectiv"</formula>
    </cfRule>
  </conditionalFormatting>
  <conditionalFormatting sqref="K1509:K1510 K1512:K1517">
    <cfRule type="expression" dxfId="3801" priority="4321">
      <formula>#REF! = "produs"</formula>
    </cfRule>
    <cfRule type="expression" dxfId="3800" priority="4322">
      <formula>#REF! = "obiectiv"</formula>
    </cfRule>
  </conditionalFormatting>
  <conditionalFormatting sqref="L1221:P1221">
    <cfRule type="expression" dxfId="3799" priority="4557">
      <formula>#REF! = "produs"</formula>
    </cfRule>
    <cfRule type="expression" dxfId="3798" priority="4558">
      <formula>#REF! = "obiectiv"</formula>
    </cfRule>
  </conditionalFormatting>
  <conditionalFormatting sqref="L1218:P1227">
    <cfRule type="expression" dxfId="3797" priority="4555">
      <formula>#REF! = "produs"</formula>
    </cfRule>
    <cfRule type="expression" dxfId="3796" priority="4556">
      <formula>#REF! = "obiectiv"</formula>
    </cfRule>
  </conditionalFormatting>
  <conditionalFormatting sqref="L1218:P1227">
    <cfRule type="expression" dxfId="3795" priority="4553">
      <formula>#REF! = "produs"</formula>
    </cfRule>
    <cfRule type="expression" dxfId="3794" priority="4554">
      <formula>#REF! = "obiectiv"</formula>
    </cfRule>
  </conditionalFormatting>
  <conditionalFormatting sqref="Q1239:U1239">
    <cfRule type="expression" dxfId="3793" priority="4515">
      <formula>#REF! = "produs"</formula>
    </cfRule>
    <cfRule type="expression" dxfId="3792" priority="4516">
      <formula>#REF! = "obiectiv"</formula>
    </cfRule>
  </conditionalFormatting>
  <conditionalFormatting sqref="G1239">
    <cfRule type="expression" dxfId="3791" priority="4513">
      <formula>#REF! = "produs"</formula>
    </cfRule>
    <cfRule type="expression" dxfId="3790" priority="4514">
      <formula>#REF! = "obiectiv"</formula>
    </cfRule>
  </conditionalFormatting>
  <conditionalFormatting sqref="H1239">
    <cfRule type="expression" dxfId="3789" priority="4511">
      <formula>#REF! = "produs"</formula>
    </cfRule>
    <cfRule type="expression" dxfId="3788" priority="4512">
      <formula>#REF! = "obiectiv"</formula>
    </cfRule>
  </conditionalFormatting>
  <conditionalFormatting sqref="J1241">
    <cfRule type="expression" dxfId="3787" priority="4509">
      <formula>#REF! = "produs"</formula>
    </cfRule>
    <cfRule type="expression" dxfId="3786" priority="4510">
      <formula>#REF! = "obiectiv"</formula>
    </cfRule>
  </conditionalFormatting>
  <conditionalFormatting sqref="L1232:P1232">
    <cfRule type="expression" dxfId="3785" priority="4543">
      <formula>#REF! = "produs"</formula>
    </cfRule>
    <cfRule type="expression" dxfId="3784" priority="4544">
      <formula>#REF! = "obiectiv"</formula>
    </cfRule>
  </conditionalFormatting>
  <conditionalFormatting sqref="K1241:IU1241 J1242:IU1248 J1239:IU1240">
    <cfRule type="expression" dxfId="3783" priority="4541">
      <formula>#REF! = "produs"</formula>
    </cfRule>
    <cfRule type="expression" dxfId="3782" priority="4542">
      <formula>#REF! = "obiectiv"</formula>
    </cfRule>
  </conditionalFormatting>
  <conditionalFormatting sqref="J1246">
    <cfRule type="expression" dxfId="3781" priority="4531">
      <formula>#REF! = "produs"</formula>
    </cfRule>
    <cfRule type="expression" dxfId="3780" priority="4532">
      <formula>#REF! = "obiectiv"</formula>
    </cfRule>
  </conditionalFormatting>
  <conditionalFormatting sqref="J1242">
    <cfRule type="expression" dxfId="3779" priority="4521">
      <formula>#REF! = "produs"</formula>
    </cfRule>
    <cfRule type="expression" dxfId="3778" priority="4522">
      <formula>#REF! = "obiectiv"</formula>
    </cfRule>
  </conditionalFormatting>
  <conditionalFormatting sqref="J1240 J1247:J1248 J1245 J1243">
    <cfRule type="expression" dxfId="3777" priority="4535">
      <formula>#REF! = "produs"</formula>
    </cfRule>
    <cfRule type="expression" dxfId="3776" priority="4536">
      <formula>#REF! = "obiectiv"</formula>
    </cfRule>
  </conditionalFormatting>
  <conditionalFormatting sqref="J1244">
    <cfRule type="expression" dxfId="3775" priority="4525">
      <formula>#REF! = "produs"</formula>
    </cfRule>
    <cfRule type="expression" dxfId="3774" priority="4526">
      <formula>#REF! = "obiectiv"</formula>
    </cfRule>
  </conditionalFormatting>
  <conditionalFormatting sqref="W1240:IU1241 W1243:IU1248">
    <cfRule type="expression" dxfId="3773" priority="4539">
      <formula>#REF! = "produs"</formula>
    </cfRule>
    <cfRule type="expression" dxfId="3772" priority="4540">
      <formula>#REF! = "obiectiv"</formula>
    </cfRule>
  </conditionalFormatting>
  <conditionalFormatting sqref="K1240:K1241 K1243:K1248">
    <cfRule type="expression" dxfId="3771" priority="4537">
      <formula>#REF! = "produs"</formula>
    </cfRule>
    <cfRule type="expression" dxfId="3770" priority="4538">
      <formula>#REF! = "obiectiv"</formula>
    </cfRule>
  </conditionalFormatting>
  <conditionalFormatting sqref="L1247:P1247 L1243:P1244 L1241:P1241 L1248:U1248 L1240:U1240">
    <cfRule type="expression" dxfId="3769" priority="4533">
      <formula>#REF! = "produs"</formula>
    </cfRule>
    <cfRule type="expression" dxfId="3768" priority="4534">
      <formula>#REF! = "obiectiv"</formula>
    </cfRule>
  </conditionalFormatting>
  <conditionalFormatting sqref="L1246:P1246">
    <cfRule type="expression" dxfId="3767" priority="4529">
      <formula>#REF! = "produs"</formula>
    </cfRule>
    <cfRule type="expression" dxfId="3766" priority="4530">
      <formula>#REF! = "obiectiv"</formula>
    </cfRule>
  </conditionalFormatting>
  <conditionalFormatting sqref="L1245:P1245">
    <cfRule type="expression" dxfId="3765" priority="4527">
      <formula>#REF! = "produs"</formula>
    </cfRule>
    <cfRule type="expression" dxfId="3764" priority="4528">
      <formula>#REF! = "obiectiv"</formula>
    </cfRule>
  </conditionalFormatting>
  <conditionalFormatting sqref="K1242:P1242 W1242:IU1242">
    <cfRule type="expression" dxfId="3763" priority="4523">
      <formula>#REF! = "produs"</formula>
    </cfRule>
    <cfRule type="expression" dxfId="3762" priority="4524">
      <formula>#REF! = "obiectiv"</formula>
    </cfRule>
  </conditionalFormatting>
  <conditionalFormatting sqref="J1239">
    <cfRule type="expression" dxfId="3761" priority="4519">
      <formula>#REF! = "produs"</formula>
    </cfRule>
    <cfRule type="expression" dxfId="3760" priority="4520">
      <formula>#REF! = "obiectiv"</formula>
    </cfRule>
  </conditionalFormatting>
  <conditionalFormatting sqref="Q1241:U1247">
    <cfRule type="expression" dxfId="3759" priority="4517">
      <formula>#REF! = "produs"</formula>
    </cfRule>
    <cfRule type="expression" dxfId="3758" priority="4518">
      <formula>#REF! = "obiectiv"</formula>
    </cfRule>
  </conditionalFormatting>
  <conditionalFormatting sqref="H1402">
    <cfRule type="expression" dxfId="3757" priority="4507">
      <formula>#REF! = "produs"</formula>
    </cfRule>
    <cfRule type="expression" dxfId="3756" priority="4508">
      <formula>#REF! = "obiectiv"</formula>
    </cfRule>
  </conditionalFormatting>
  <conditionalFormatting sqref="G1402">
    <cfRule type="expression" dxfId="3755" priority="4505">
      <formula>#REF! = "produs"</formula>
    </cfRule>
    <cfRule type="expression" dxfId="3754" priority="4506">
      <formula>#REF! = "obiectiv"</formula>
    </cfRule>
  </conditionalFormatting>
  <conditionalFormatting sqref="L1402:P1411">
    <cfRule type="expression" dxfId="3753" priority="4503">
      <formula>#REF! = "produs"</formula>
    </cfRule>
    <cfRule type="expression" dxfId="3752" priority="4504">
      <formula>#REF! = "obiectiv"</formula>
    </cfRule>
  </conditionalFormatting>
  <conditionalFormatting sqref="L1409:P1409">
    <cfRule type="expression" dxfId="3751" priority="4499">
      <formula>#REF! = "produs"</formula>
    </cfRule>
    <cfRule type="expression" dxfId="3750" priority="4500">
      <formula>#REF! = "obiectiv"</formula>
    </cfRule>
  </conditionalFormatting>
  <conditionalFormatting sqref="L1408:P1408">
    <cfRule type="expression" dxfId="3749" priority="4497">
      <formula>#REF! = "produs"</formula>
    </cfRule>
    <cfRule type="expression" dxfId="3748" priority="4498">
      <formula>#REF! = "obiectiv"</formula>
    </cfRule>
  </conditionalFormatting>
  <conditionalFormatting sqref="L1405:P1405">
    <cfRule type="expression" dxfId="3747" priority="4495">
      <formula>#REF! = "produs"</formula>
    </cfRule>
    <cfRule type="expression" dxfId="3746" priority="4496">
      <formula>#REF! = "obiectiv"</formula>
    </cfRule>
  </conditionalFormatting>
  <conditionalFormatting sqref="L1402:P1411">
    <cfRule type="expression" dxfId="3745" priority="4493">
      <formula>#REF! = "produs"</formula>
    </cfRule>
    <cfRule type="expression" dxfId="3744" priority="4494">
      <formula>#REF! = "obiectiv"</formula>
    </cfRule>
  </conditionalFormatting>
  <conditionalFormatting sqref="J1556">
    <cfRule type="expression" dxfId="3743" priority="4481">
      <formula>#REF! = "produs"</formula>
    </cfRule>
    <cfRule type="expression" dxfId="3742" priority="4482">
      <formula>#REF! = "obiectiv"</formula>
    </cfRule>
  </conditionalFormatting>
  <conditionalFormatting sqref="J1552">
    <cfRule type="expression" dxfId="3741" priority="4471">
      <formula>#REF! = "produs"</formula>
    </cfRule>
    <cfRule type="expression" dxfId="3740" priority="4472">
      <formula>#REF! = "obiectiv"</formula>
    </cfRule>
  </conditionalFormatting>
  <conditionalFormatting sqref="J1554">
    <cfRule type="expression" dxfId="3739" priority="4475">
      <formula>#REF! = "produs"</formula>
    </cfRule>
    <cfRule type="expression" dxfId="3738" priority="4476">
      <formula>#REF! = "obiectiv"</formula>
    </cfRule>
  </conditionalFormatting>
  <conditionalFormatting sqref="K1552:P1552 W1552:IU1552">
    <cfRule type="expression" dxfId="3737" priority="4473">
      <formula>#REF! = "produs"</formula>
    </cfRule>
    <cfRule type="expression" dxfId="3736" priority="4474">
      <formula>#REF! = "obiectiv"</formula>
    </cfRule>
  </conditionalFormatting>
  <conditionalFormatting sqref="Q1791:U1791">
    <cfRule type="expression" dxfId="3735" priority="3845">
      <formula>#REF! = "produs"</formula>
    </cfRule>
    <cfRule type="expression" dxfId="3734" priority="3846">
      <formula>#REF! = "obiectiv"</formula>
    </cfRule>
  </conditionalFormatting>
  <conditionalFormatting sqref="W1550:IU1551 W1553:IU1558">
    <cfRule type="expression" dxfId="3733" priority="4489">
      <formula>#REF! = "produs"</formula>
    </cfRule>
    <cfRule type="expression" dxfId="3732" priority="4490">
      <formula>#REF! = "obiectiv"</formula>
    </cfRule>
  </conditionalFormatting>
  <conditionalFormatting sqref="K1550:K1551 K1553:K1558">
    <cfRule type="expression" dxfId="3731" priority="4487">
      <formula>#REF! = "produs"</formula>
    </cfRule>
    <cfRule type="expression" dxfId="3730" priority="4488">
      <formula>#REF! = "obiectiv"</formula>
    </cfRule>
  </conditionalFormatting>
  <conditionalFormatting sqref="L1558:U1558 L1557:P1557 L1551:P1551 L1553:P1554 L1550:U1550">
    <cfRule type="expression" dxfId="3729" priority="4483">
      <formula>#REF! = "produs"</formula>
    </cfRule>
    <cfRule type="expression" dxfId="3728" priority="4484">
      <formula>#REF! = "obiectiv"</formula>
    </cfRule>
  </conditionalFormatting>
  <conditionalFormatting sqref="L1556:P1556">
    <cfRule type="expression" dxfId="3727" priority="4479">
      <formula>#REF! = "produs"</formula>
    </cfRule>
    <cfRule type="expression" dxfId="3726" priority="4480">
      <formula>#REF! = "obiectiv"</formula>
    </cfRule>
  </conditionalFormatting>
  <conditionalFormatting sqref="L1555:P1555">
    <cfRule type="expression" dxfId="3725" priority="4477">
      <formula>#REF! = "produs"</formula>
    </cfRule>
    <cfRule type="expression" dxfId="3724" priority="4478">
      <formula>#REF! = "obiectiv"</formula>
    </cfRule>
  </conditionalFormatting>
  <conditionalFormatting sqref="J1549">
    <cfRule type="expression" dxfId="3723" priority="4469">
      <formula>#REF! = "produs"</formula>
    </cfRule>
    <cfRule type="expression" dxfId="3722" priority="4470">
      <formula>#REF! = "obiectiv"</formula>
    </cfRule>
  </conditionalFormatting>
  <conditionalFormatting sqref="Q1551:U1557">
    <cfRule type="expression" dxfId="3721" priority="4467">
      <formula>#REF! = "produs"</formula>
    </cfRule>
    <cfRule type="expression" dxfId="3720" priority="4468">
      <formula>#REF! = "obiectiv"</formula>
    </cfRule>
  </conditionalFormatting>
  <conditionalFormatting sqref="H1549">
    <cfRule type="expression" dxfId="3719" priority="4463">
      <formula>#REF! = "produs"</formula>
    </cfRule>
    <cfRule type="expression" dxfId="3718" priority="4464">
      <formula>#REF! = "obiectiv"</formula>
    </cfRule>
  </conditionalFormatting>
  <conditionalFormatting sqref="H1539">
    <cfRule type="expression" dxfId="3717" priority="4431">
      <formula>#REF! = "produs"</formula>
    </cfRule>
    <cfRule type="expression" dxfId="3716" priority="4432">
      <formula>#REF! = "obiectiv"</formula>
    </cfRule>
  </conditionalFormatting>
  <conditionalFormatting sqref="J1551">
    <cfRule type="expression" dxfId="3715" priority="4461">
      <formula>#REF! = "produs"</formula>
    </cfRule>
    <cfRule type="expression" dxfId="3714" priority="4462">
      <formula>#REF! = "obiectiv"</formula>
    </cfRule>
  </conditionalFormatting>
  <conditionalFormatting sqref="Q1549:U1549">
    <cfRule type="expression" dxfId="3713" priority="4459">
      <formula>#REF! = "produs"</formula>
    </cfRule>
    <cfRule type="expression" dxfId="3712" priority="4460">
      <formula>#REF! = "obiectiv"</formula>
    </cfRule>
  </conditionalFormatting>
  <conditionalFormatting sqref="J1546">
    <cfRule type="expression" dxfId="3711" priority="4455">
      <formula>#REF! = "produs"</formula>
    </cfRule>
    <cfRule type="expression" dxfId="3710" priority="4455">
      <formula>#REF! = "obiectiv"</formula>
    </cfRule>
  </conditionalFormatting>
  <conditionalFormatting sqref="J1542">
    <cfRule type="expression" dxfId="3709" priority="4453">
      <formula>#REF! = "produs"</formula>
    </cfRule>
    <cfRule type="expression" dxfId="3708" priority="4453">
      <formula>#REF! = "obiectiv"</formula>
    </cfRule>
  </conditionalFormatting>
  <conditionalFormatting sqref="J1544">
    <cfRule type="expression" dxfId="3707" priority="4451">
      <formula>#REF! = "produs"</formula>
    </cfRule>
    <cfRule type="expression" dxfId="3706" priority="4451">
      <formula>#REF! = "obiectiv"</formula>
    </cfRule>
  </conditionalFormatting>
  <conditionalFormatting sqref="K1542:P1542 W1542:IU1542">
    <cfRule type="expression" dxfId="3705" priority="4449">
      <formula>#REF! = "produs"</formula>
    </cfRule>
    <cfRule type="expression" dxfId="3704" priority="4449">
      <formula>#REF! = "obiectiv"</formula>
    </cfRule>
  </conditionalFormatting>
  <conditionalFormatting sqref="J1540 J1547:J1548 J1545 J1543">
    <cfRule type="expression" dxfId="3703" priority="4452">
      <formula>#REF! = "obiectiv"</formula>
    </cfRule>
    <cfRule type="expression" dxfId="3702" priority="19160">
      <formula>#REF! = "produs"</formula>
    </cfRule>
  </conditionalFormatting>
  <conditionalFormatting sqref="W1540:IU1541 W1543:IU1548">
    <cfRule type="expression" dxfId="3701" priority="4456">
      <formula>#REF! = "obiectiv"</formula>
    </cfRule>
    <cfRule type="expression" dxfId="3700" priority="19161">
      <formula>#REF! = "produs"</formula>
    </cfRule>
  </conditionalFormatting>
  <conditionalFormatting sqref="K1540:K1541 K1543:K1548">
    <cfRule type="expression" dxfId="3699" priority="4454">
      <formula>#REF! = "obiectiv"</formula>
    </cfRule>
    <cfRule type="expression" dxfId="3698" priority="19162">
      <formula>#REF! = "produs"</formula>
    </cfRule>
  </conditionalFormatting>
  <conditionalFormatting sqref="L1548:U1548 L1547:P1547 L1540:U1540 L1541:P1541 L1543:P1544">
    <cfRule type="expression" dxfId="3697" priority="4450">
      <formula>#REF! = "obiectiv"</formula>
    </cfRule>
    <cfRule type="expression" dxfId="3696" priority="19163">
      <formula>#REF! = "produs"</formula>
    </cfRule>
  </conditionalFormatting>
  <conditionalFormatting sqref="L1545:P1545">
    <cfRule type="expression" dxfId="3695" priority="4443">
      <formula>#REF! = "produs"</formula>
    </cfRule>
    <cfRule type="expression" dxfId="3694" priority="4444">
      <formula>#REF! = "obiectiv"</formula>
    </cfRule>
  </conditionalFormatting>
  <conditionalFormatting sqref="J1539">
    <cfRule type="expression" dxfId="3693" priority="4435">
      <formula>#REF! = "produs"</formula>
    </cfRule>
    <cfRule type="expression" dxfId="3692" priority="4436">
      <formula>#REF! = "obiectiv"</formula>
    </cfRule>
  </conditionalFormatting>
  <conditionalFormatting sqref="Q1541:U1547">
    <cfRule type="expression" dxfId="3691" priority="4433">
      <formula>#REF! = "produs"</formula>
    </cfRule>
    <cfRule type="expression" dxfId="3690" priority="4434">
      <formula>#REF! = "obiectiv"</formula>
    </cfRule>
  </conditionalFormatting>
  <conditionalFormatting sqref="H1569">
    <cfRule type="expression" dxfId="3689" priority="4369">
      <formula>#REF! = "produs"</formula>
    </cfRule>
    <cfRule type="expression" dxfId="3688" priority="4370">
      <formula>#REF! = "obiectiv"</formula>
    </cfRule>
  </conditionalFormatting>
  <conditionalFormatting sqref="J1541">
    <cfRule type="expression" dxfId="3687" priority="4429">
      <formula>#REF! = "produs"</formula>
    </cfRule>
    <cfRule type="expression" dxfId="3686" priority="4430">
      <formula>#REF! = "obiectiv"</formula>
    </cfRule>
  </conditionalFormatting>
  <conditionalFormatting sqref="Q1539:U1539">
    <cfRule type="expression" dxfId="3685" priority="4427">
      <formula>#REF! = "produs"</formula>
    </cfRule>
    <cfRule type="expression" dxfId="3684" priority="4428">
      <formula>#REF! = "obiectiv"</formula>
    </cfRule>
  </conditionalFormatting>
  <conditionalFormatting sqref="J1566">
    <cfRule type="expression" dxfId="3683" priority="4415">
      <formula>#REF! = "produs"</formula>
    </cfRule>
    <cfRule type="expression" dxfId="3682" priority="4416">
      <formula>#REF! = "obiectiv"</formula>
    </cfRule>
  </conditionalFormatting>
  <conditionalFormatting sqref="J1562">
    <cfRule type="expression" dxfId="3681" priority="4405">
      <formula>#REF! = "produs"</formula>
    </cfRule>
    <cfRule type="expression" dxfId="3680" priority="4406">
      <formula>#REF! = "obiectiv"</formula>
    </cfRule>
  </conditionalFormatting>
  <conditionalFormatting sqref="J1564">
    <cfRule type="expression" dxfId="3679" priority="4409">
      <formula>#REF! = "produs"</formula>
    </cfRule>
    <cfRule type="expression" dxfId="3678" priority="4410">
      <formula>#REF! = "obiectiv"</formula>
    </cfRule>
  </conditionalFormatting>
  <conditionalFormatting sqref="K1562:P1562 W1562:IU1562">
    <cfRule type="expression" dxfId="3677" priority="4407">
      <formula>#REF! = "produs"</formula>
    </cfRule>
    <cfRule type="expression" dxfId="3676" priority="4408">
      <formula>#REF! = "obiectiv"</formula>
    </cfRule>
  </conditionalFormatting>
  <conditionalFormatting sqref="J1560 J1567:J1568 J1565 J1563">
    <cfRule type="expression" dxfId="3675" priority="4419">
      <formula>#REF! = "produs"</formula>
    </cfRule>
    <cfRule type="expression" dxfId="3674" priority="4420">
      <formula>#REF! = "obiectiv"</formula>
    </cfRule>
  </conditionalFormatting>
  <conditionalFormatting sqref="W1560:IU1561 W1563:IU1568">
    <cfRule type="expression" dxfId="3673" priority="4423">
      <formula>#REF! = "produs"</formula>
    </cfRule>
    <cfRule type="expression" dxfId="3672" priority="4424">
      <formula>#REF! = "obiectiv"</formula>
    </cfRule>
  </conditionalFormatting>
  <conditionalFormatting sqref="K1560:K1561 K1563:K1568">
    <cfRule type="expression" dxfId="3671" priority="4421">
      <formula>#REF! = "produs"</formula>
    </cfRule>
    <cfRule type="expression" dxfId="3670" priority="4422">
      <formula>#REF! = "obiectiv"</formula>
    </cfRule>
  </conditionalFormatting>
  <conditionalFormatting sqref="L1568:U1568 L1567:P1567 L1563:P1564 L1560:P1561">
    <cfRule type="expression" dxfId="3669" priority="4417">
      <formula>#REF! = "produs"</formula>
    </cfRule>
    <cfRule type="expression" dxfId="3668" priority="4418">
      <formula>#REF! = "obiectiv"</formula>
    </cfRule>
  </conditionalFormatting>
  <conditionalFormatting sqref="L1566:P1566">
    <cfRule type="expression" dxfId="3667" priority="4413">
      <formula>#REF! = "produs"</formula>
    </cfRule>
    <cfRule type="expression" dxfId="3666" priority="4414">
      <formula>#REF! = "obiectiv"</formula>
    </cfRule>
  </conditionalFormatting>
  <conditionalFormatting sqref="L1565:P1565">
    <cfRule type="expression" dxfId="3665" priority="4411">
      <formula>#REF! = "produs"</formula>
    </cfRule>
    <cfRule type="expression" dxfId="3664" priority="4412">
      <formula>#REF! = "obiectiv"</formula>
    </cfRule>
  </conditionalFormatting>
  <conditionalFormatting sqref="J1559">
    <cfRule type="expression" dxfId="3663" priority="4403">
      <formula>#REF! = "produs"</formula>
    </cfRule>
    <cfRule type="expression" dxfId="3662" priority="4404">
      <formula>#REF! = "obiectiv"</formula>
    </cfRule>
  </conditionalFormatting>
  <conditionalFormatting sqref="J1569">
    <cfRule type="expression" dxfId="3661" priority="4371">
      <formula>#REF! = "produs"</formula>
    </cfRule>
    <cfRule type="expression" dxfId="3660" priority="4372">
      <formula>#REF! = "obiectiv"</formula>
    </cfRule>
  </conditionalFormatting>
  <conditionalFormatting sqref="H1559">
    <cfRule type="expression" dxfId="3659" priority="4399">
      <formula>#REF! = "produs"</formula>
    </cfRule>
    <cfRule type="expression" dxfId="3658" priority="4400">
      <formula>#REF! = "obiectiv"</formula>
    </cfRule>
  </conditionalFormatting>
  <conditionalFormatting sqref="J1561">
    <cfRule type="expression" dxfId="3657" priority="4397">
      <formula>#REF! = "produs"</formula>
    </cfRule>
    <cfRule type="expression" dxfId="3656" priority="4398">
      <formula>#REF! = "obiectiv"</formula>
    </cfRule>
  </conditionalFormatting>
  <conditionalFormatting sqref="Q1559:U1567">
    <cfRule type="expression" dxfId="3655" priority="4395">
      <formula>#REF! = "produs"</formula>
    </cfRule>
    <cfRule type="expression" dxfId="3654" priority="4396">
      <formula>#REF! = "obiectiv"</formula>
    </cfRule>
  </conditionalFormatting>
  <conditionalFormatting sqref="J1576">
    <cfRule type="expression" dxfId="3653" priority="4383">
      <formula>#REF! = "produs"</formula>
    </cfRule>
    <cfRule type="expression" dxfId="3652" priority="4384">
      <formula>#REF! = "obiectiv"</formula>
    </cfRule>
  </conditionalFormatting>
  <conditionalFormatting sqref="J1572">
    <cfRule type="expression" dxfId="3651" priority="4373">
      <formula>#REF! = "produs"</formula>
    </cfRule>
    <cfRule type="expression" dxfId="3650" priority="4374">
      <formula>#REF! = "obiectiv"</formula>
    </cfRule>
  </conditionalFormatting>
  <conditionalFormatting sqref="J1574">
    <cfRule type="expression" dxfId="3649" priority="4377">
      <formula>#REF! = "produs"</formula>
    </cfRule>
    <cfRule type="expression" dxfId="3648" priority="4378">
      <formula>#REF! = "obiectiv"</formula>
    </cfRule>
  </conditionalFormatting>
  <conditionalFormatting sqref="K1572:P1572 W1572:IU1572">
    <cfRule type="expression" dxfId="3647" priority="4375">
      <formula>#REF! = "produs"</formula>
    </cfRule>
    <cfRule type="expression" dxfId="3646" priority="4376">
      <formula>#REF! = "obiectiv"</formula>
    </cfRule>
  </conditionalFormatting>
  <conditionalFormatting sqref="J1570 J1577:J1578 J1575 J1573">
    <cfRule type="expression" dxfId="3645" priority="4387">
      <formula>#REF! = "produs"</formula>
    </cfRule>
    <cfRule type="expression" dxfId="3644" priority="4388">
      <formula>#REF! = "obiectiv"</formula>
    </cfRule>
  </conditionalFormatting>
  <conditionalFormatting sqref="W1570:IU1571 W1573:IU1578">
    <cfRule type="expression" dxfId="3643" priority="4391">
      <formula>#REF! = "produs"</formula>
    </cfRule>
    <cfRule type="expression" dxfId="3642" priority="4392">
      <formula>#REF! = "obiectiv"</formula>
    </cfRule>
  </conditionalFormatting>
  <conditionalFormatting sqref="K1570:K1571 K1573:K1578">
    <cfRule type="expression" dxfId="3641" priority="4389">
      <formula>#REF! = "produs"</formula>
    </cfRule>
    <cfRule type="expression" dxfId="3640" priority="4390">
      <formula>#REF! = "obiectiv"</formula>
    </cfRule>
  </conditionalFormatting>
  <conditionalFormatting sqref="L1578:U1578 L1577:P1577 L1573:P1574 L1570:P1571">
    <cfRule type="expression" dxfId="3639" priority="4385">
      <formula>#REF! = "produs"</formula>
    </cfRule>
    <cfRule type="expression" dxfId="3638" priority="4386">
      <formula>#REF! = "obiectiv"</formula>
    </cfRule>
  </conditionalFormatting>
  <conditionalFormatting sqref="L1576:P1576">
    <cfRule type="expression" dxfId="3637" priority="4381">
      <formula>#REF! = "produs"</formula>
    </cfRule>
    <cfRule type="expression" dxfId="3636" priority="4382">
      <formula>#REF! = "obiectiv"</formula>
    </cfRule>
  </conditionalFormatting>
  <conditionalFormatting sqref="L1575:P1575">
    <cfRule type="expression" dxfId="3635" priority="4379">
      <formula>#REF! = "produs"</formula>
    </cfRule>
    <cfRule type="expression" dxfId="3634" priority="4380">
      <formula>#REF! = "obiectiv"</formula>
    </cfRule>
  </conditionalFormatting>
  <conditionalFormatting sqref="J1571">
    <cfRule type="expression" dxfId="3633" priority="4367">
      <formula>#REF! = "produs"</formula>
    </cfRule>
    <cfRule type="expression" dxfId="3632" priority="4368">
      <formula>#REF! = "obiectiv"</formula>
    </cfRule>
  </conditionalFormatting>
  <conditionalFormatting sqref="Q1569:U1577">
    <cfRule type="expression" dxfId="3631" priority="4365">
      <formula>#REF! = "produs"</formula>
    </cfRule>
    <cfRule type="expression" dxfId="3630" priority="4366">
      <formula>#REF! = "obiectiv"</formula>
    </cfRule>
  </conditionalFormatting>
  <conditionalFormatting sqref="H1579">
    <cfRule type="expression" dxfId="3629" priority="4363">
      <formula>#REF! = "produs"</formula>
    </cfRule>
    <cfRule type="expression" dxfId="3628" priority="4364">
      <formula>#REF! = "obiectiv"</formula>
    </cfRule>
  </conditionalFormatting>
  <conditionalFormatting sqref="V1488:V1497">
    <cfRule type="expression" dxfId="3627" priority="4361">
      <formula>#REF! = "produs"</formula>
    </cfRule>
    <cfRule type="expression" dxfId="3626" priority="4362">
      <formula>#REF! = "obiectiv"</formula>
    </cfRule>
  </conditionalFormatting>
  <conditionalFormatting sqref="K1782:K1783 K1785:K1790">
    <cfRule type="expression" dxfId="3625" priority="3975">
      <formula>#REF! = "produs"</formula>
    </cfRule>
    <cfRule type="expression" dxfId="3624" priority="3976">
      <formula>#REF! = "obiectiv"</formula>
    </cfRule>
  </conditionalFormatting>
  <conditionalFormatting sqref="J1781:J1782 J1784:J1790">
    <cfRule type="expression" dxfId="3623" priority="3979">
      <formula>#REF! = "produs"</formula>
    </cfRule>
    <cfRule type="expression" dxfId="3622" priority="3980">
      <formula>#REF! = "obiectiv"</formula>
    </cfRule>
  </conditionalFormatting>
  <conditionalFormatting sqref="W1782:IU1783 W1785:IU1790">
    <cfRule type="expression" dxfId="3621" priority="3977">
      <formula>#REF! = "produs"</formula>
    </cfRule>
    <cfRule type="expression" dxfId="3620" priority="3978">
      <formula>#REF! = "obiectiv"</formula>
    </cfRule>
  </conditionalFormatting>
  <conditionalFormatting sqref="L1781:U1790">
    <cfRule type="expression" dxfId="3619" priority="3985">
      <formula>#REF! = "produs"</formula>
    </cfRule>
    <cfRule type="expression" dxfId="3618" priority="3986">
      <formula>#REF! = "obiectiv"</formula>
    </cfRule>
  </conditionalFormatting>
  <conditionalFormatting sqref="K1781:K1790">
    <cfRule type="expression" dxfId="3617" priority="3989">
      <formula>#REF! = "produs"</formula>
    </cfRule>
    <cfRule type="expression" dxfId="3616" priority="3990">
      <formula>#REF! = "obiectiv"</formula>
    </cfRule>
  </conditionalFormatting>
  <conditionalFormatting sqref="W1781:IU1790">
    <cfRule type="expression" dxfId="3615" priority="3991">
      <formula>#REF! = "produs"</formula>
    </cfRule>
    <cfRule type="expression" dxfId="3614" priority="3992">
      <formula>#REF! = "obiectiv"</formula>
    </cfRule>
  </conditionalFormatting>
  <conditionalFormatting sqref="J1781:J1782 J1784:J1790">
    <cfRule type="expression" dxfId="3613" priority="3987">
      <formula>#REF! = "produs"</formula>
    </cfRule>
    <cfRule type="expression" dxfId="3612" priority="3988">
      <formula>#REF! = "obiectiv"</formula>
    </cfRule>
  </conditionalFormatting>
  <conditionalFormatting sqref="W1781:IU1790">
    <cfRule type="expression" dxfId="3611" priority="3983">
      <formula>#REF! = "produs"</formula>
    </cfRule>
    <cfRule type="expression" dxfId="3610" priority="3984">
      <formula>#REF! = "obiectiv"</formula>
    </cfRule>
  </conditionalFormatting>
  <conditionalFormatting sqref="K1781:K1790">
    <cfRule type="expression" dxfId="3609" priority="3981">
      <formula>#REF! = "produs"</formula>
    </cfRule>
    <cfRule type="expression" dxfId="3608" priority="3982">
      <formula>#REF! = "obiectiv"</formula>
    </cfRule>
  </conditionalFormatting>
  <conditionalFormatting sqref="J1782 J1789:J1790 J1787 J1785">
    <cfRule type="expression" dxfId="3607" priority="3973">
      <formula>#REF! = "produs"</formula>
    </cfRule>
    <cfRule type="expression" dxfId="3606" priority="3974">
      <formula>#REF! = "obiectiv"</formula>
    </cfRule>
  </conditionalFormatting>
  <conditionalFormatting sqref="L1790:U1790 L1782:U1782 L1783:P1783 L1785:P1789">
    <cfRule type="expression" dxfId="3605" priority="3971">
      <formula>#REF! = "produs"</formula>
    </cfRule>
    <cfRule type="expression" dxfId="3604" priority="3972">
      <formula>#REF! = "obiectiv"</formula>
    </cfRule>
  </conditionalFormatting>
  <conditionalFormatting sqref="J1510">
    <cfRule type="expression" dxfId="3603" priority="4295">
      <formula>#REF! = "produs"</formula>
    </cfRule>
    <cfRule type="expression" dxfId="3602" priority="4296">
      <formula>#REF! = "obiectiv"</formula>
    </cfRule>
  </conditionalFormatting>
  <conditionalFormatting sqref="J1763">
    <cfRule type="expression" dxfId="3601" priority="4097">
      <formula>#REF! = "produs"</formula>
    </cfRule>
    <cfRule type="expression" dxfId="3600" priority="4098">
      <formula>#REF! = "obiectiv"</formula>
    </cfRule>
  </conditionalFormatting>
  <conditionalFormatting sqref="L1756:P1756">
    <cfRule type="expression" dxfId="3599" priority="4053">
      <formula>#REF! = "produs"</formula>
    </cfRule>
    <cfRule type="expression" dxfId="3598" priority="4054">
      <formula>#REF! = "obiectiv"</formula>
    </cfRule>
  </conditionalFormatting>
  <conditionalFormatting sqref="J1773">
    <cfRule type="expression" dxfId="3597" priority="3999">
      <formula>#REF! = "produs"</formula>
    </cfRule>
    <cfRule type="expression" dxfId="3596" priority="4000">
      <formula>#REF! = "obiectiv"</formula>
    </cfRule>
  </conditionalFormatting>
  <conditionalFormatting sqref="J1783">
    <cfRule type="expression" dxfId="3595" priority="3945">
      <formula>#REF! = "produs"</formula>
    </cfRule>
    <cfRule type="expression" dxfId="3594" priority="3946">
      <formula>#REF! = "obiectiv"</formula>
    </cfRule>
  </conditionalFormatting>
  <conditionalFormatting sqref="J1793">
    <cfRule type="expression" dxfId="3593" priority="3837">
      <formula>#REF! = "produs"</formula>
    </cfRule>
    <cfRule type="expression" dxfId="3592" priority="3838">
      <formula>#REF! = "obiectiv"</formula>
    </cfRule>
  </conditionalFormatting>
  <conditionalFormatting sqref="J1803">
    <cfRule type="expression" dxfId="3591" priority="3783">
      <formula>#REF! = "produs"</formula>
    </cfRule>
    <cfRule type="expression" dxfId="3590" priority="3784">
      <formula>#REF! = "obiectiv"</formula>
    </cfRule>
  </conditionalFormatting>
  <conditionalFormatting sqref="J1784">
    <cfRule type="expression" dxfId="3589" priority="3959">
      <formula>#REF! = "produs"</formula>
    </cfRule>
    <cfRule type="expression" dxfId="3588" priority="3960">
      <formula>#REF! = "obiectiv"</formula>
    </cfRule>
  </conditionalFormatting>
  <conditionalFormatting sqref="J1511">
    <cfRule type="expression" dxfId="3587" priority="4305">
      <formula>#REF! = "produs"</formula>
    </cfRule>
    <cfRule type="expression" dxfId="3586" priority="4306">
      <formula>#REF! = "obiectiv"</formula>
    </cfRule>
  </conditionalFormatting>
  <conditionalFormatting sqref="J1515">
    <cfRule type="expression" dxfId="3585" priority="4315">
      <formula>#REF! = "produs"</formula>
    </cfRule>
    <cfRule type="expression" dxfId="3584" priority="4316">
      <formula>#REF! = "obiectiv"</formula>
    </cfRule>
  </conditionalFormatting>
  <conditionalFormatting sqref="J1509 J1516:J1517 J1514 J1512">
    <cfRule type="expression" dxfId="3583" priority="4319">
      <formula>#REF! = "produs"</formula>
    </cfRule>
    <cfRule type="expression" dxfId="3582" priority="4320">
      <formula>#REF! = "obiectiv"</formula>
    </cfRule>
  </conditionalFormatting>
  <conditionalFormatting sqref="J1513">
    <cfRule type="expression" dxfId="3581" priority="4309">
      <formula>#REF! = "produs"</formula>
    </cfRule>
    <cfRule type="expression" dxfId="3580" priority="4310">
      <formula>#REF! = "obiectiv"</formula>
    </cfRule>
  </conditionalFormatting>
  <conditionalFormatting sqref="J1781">
    <cfRule type="expression" dxfId="3579" priority="3957">
      <formula>#REF! = "produs"</formula>
    </cfRule>
    <cfRule type="expression" dxfId="3578" priority="3958">
      <formula>#REF! = "obiectiv"</formula>
    </cfRule>
  </conditionalFormatting>
  <conditionalFormatting sqref="Q1783:U1789">
    <cfRule type="expression" dxfId="3577" priority="3955">
      <formula>#REF! = "produs"</formula>
    </cfRule>
    <cfRule type="expression" dxfId="3576" priority="3956">
      <formula>#REF! = "obiectiv"</formula>
    </cfRule>
  </conditionalFormatting>
  <conditionalFormatting sqref="L1517:U1517 L1516:P1516 L1509:U1509 L1510:P1510 L1512:P1513">
    <cfRule type="expression" dxfId="3575" priority="4317">
      <formula>#REF! = "produs"</formula>
    </cfRule>
    <cfRule type="expression" dxfId="3574" priority="4318">
      <formula>#REF! = "obiectiv"</formula>
    </cfRule>
  </conditionalFormatting>
  <conditionalFormatting sqref="L1515:P1515">
    <cfRule type="expression" dxfId="3573" priority="4313">
      <formula>#REF! = "produs"</formula>
    </cfRule>
    <cfRule type="expression" dxfId="3572" priority="4314">
      <formula>#REF! = "obiectiv"</formula>
    </cfRule>
  </conditionalFormatting>
  <conditionalFormatting sqref="L1514:P1514">
    <cfRule type="expression" dxfId="3571" priority="4311">
      <formula>#REF! = "produs"</formula>
    </cfRule>
    <cfRule type="expression" dxfId="3570" priority="4312">
      <formula>#REF! = "obiectiv"</formula>
    </cfRule>
  </conditionalFormatting>
  <conditionalFormatting sqref="K1511:P1511 W1511:IU1511">
    <cfRule type="expression" dxfId="3569" priority="4307">
      <formula>#REF! = "produs"</formula>
    </cfRule>
    <cfRule type="expression" dxfId="3568" priority="4308">
      <formula>#REF! = "obiectiv"</formula>
    </cfRule>
  </conditionalFormatting>
  <conditionalFormatting sqref="J1508">
    <cfRule type="expression" dxfId="3567" priority="4303">
      <formula>#REF! = "produs"</formula>
    </cfRule>
    <cfRule type="expression" dxfId="3566" priority="4304">
      <formula>#REF! = "obiectiv"</formula>
    </cfRule>
  </conditionalFormatting>
  <conditionalFormatting sqref="Q1510:U1516">
    <cfRule type="expression" dxfId="3565" priority="4301">
      <formula>#REF! = "produs"</formula>
    </cfRule>
    <cfRule type="expression" dxfId="3564" priority="4302">
      <formula>#REF! = "obiectiv"</formula>
    </cfRule>
  </conditionalFormatting>
  <conditionalFormatting sqref="Q1508:U1508">
    <cfRule type="expression" dxfId="3563" priority="4299">
      <formula>#REF! = "produs"</formula>
    </cfRule>
    <cfRule type="expression" dxfId="3562" priority="4300">
      <formula>#REF! = "obiectiv"</formula>
    </cfRule>
  </conditionalFormatting>
  <conditionalFormatting sqref="H1508">
    <cfRule type="expression" dxfId="3561" priority="4297">
      <formula>#REF! = "produs"</formula>
    </cfRule>
    <cfRule type="expression" dxfId="3560" priority="4298">
      <formula>#REF! = "obiectiv"</formula>
    </cfRule>
  </conditionalFormatting>
  <conditionalFormatting sqref="L1768:P1768">
    <cfRule type="expression" dxfId="3559" priority="4119">
      <formula>#REF! = "produs"</formula>
    </cfRule>
    <cfRule type="expression" dxfId="3558" priority="4120">
      <formula>#REF! = "obiectiv"</formula>
    </cfRule>
  </conditionalFormatting>
  <conditionalFormatting sqref="L1767:P1767">
    <cfRule type="expression" dxfId="3557" priority="4117">
      <formula>#REF! = "produs"</formula>
    </cfRule>
    <cfRule type="expression" dxfId="3556" priority="4118">
      <formula>#REF! = "obiectiv"</formula>
    </cfRule>
  </conditionalFormatting>
  <conditionalFormatting sqref="K1764:P1764 W1764:IU1764">
    <cfRule type="expression" dxfId="3555" priority="4113">
      <formula>#REF! = "produs"</formula>
    </cfRule>
    <cfRule type="expression" dxfId="3554" priority="4114">
      <formula>#REF! = "obiectiv"</formula>
    </cfRule>
  </conditionalFormatting>
  <conditionalFormatting sqref="K1721:K1730">
    <cfRule type="expression" dxfId="3553" priority="4069">
      <formula>#REF! = "produs"</formula>
    </cfRule>
    <cfRule type="expression" dxfId="3552" priority="4070">
      <formula>#REF! = "obiectiv"</formula>
    </cfRule>
  </conditionalFormatting>
  <conditionalFormatting sqref="W1761:IU1770">
    <cfRule type="expression" dxfId="3551" priority="4135">
      <formula>#REF! = "produs"</formula>
    </cfRule>
    <cfRule type="expression" dxfId="3550" priority="4136">
      <formula>#REF! = "obiectiv"</formula>
    </cfRule>
  </conditionalFormatting>
  <conditionalFormatting sqref="W1762:IU1763 W1765:IU1770">
    <cfRule type="expression" dxfId="3549" priority="4129">
      <formula>#REF! = "produs"</formula>
    </cfRule>
    <cfRule type="expression" dxfId="3548" priority="4130">
      <formula>#REF! = "obiectiv"</formula>
    </cfRule>
  </conditionalFormatting>
  <conditionalFormatting sqref="J1762 J1769:J1770 J1767 J1765">
    <cfRule type="expression" dxfId="3547" priority="4125">
      <formula>#REF! = "produs"</formula>
    </cfRule>
    <cfRule type="expression" dxfId="3546" priority="4126">
      <formula>#REF! = "obiectiv"</formula>
    </cfRule>
  </conditionalFormatting>
  <conditionalFormatting sqref="K1762:K1763 K1765:K1770">
    <cfRule type="expression" dxfId="3545" priority="4127">
      <formula>#REF! = "produs"</formula>
    </cfRule>
    <cfRule type="expression" dxfId="3544" priority="4128">
      <formula>#REF! = "obiectiv"</formula>
    </cfRule>
  </conditionalFormatting>
  <conditionalFormatting sqref="J1761:J1762 J1764:J1770">
    <cfRule type="expression" dxfId="3543" priority="4131">
      <formula>#REF! = "produs"</formula>
    </cfRule>
    <cfRule type="expression" dxfId="3542" priority="4132">
      <formula>#REF! = "obiectiv"</formula>
    </cfRule>
  </conditionalFormatting>
  <conditionalFormatting sqref="L1770:U1770 L1762:U1762 L1763:P1763 M1767:M1769 O1767:P1769 L1768:L1769 N1768:N1769 L1765:P1767 L1769:P1769">
    <cfRule type="expression" dxfId="3541" priority="4123">
      <formula>#REF! = "produs"</formula>
    </cfRule>
    <cfRule type="expression" dxfId="3540" priority="4124">
      <formula>#REF! = "obiectiv"</formula>
    </cfRule>
  </conditionalFormatting>
  <conditionalFormatting sqref="J1721">
    <cfRule type="expression" dxfId="3539" priority="4065">
      <formula>#REF! = "produs"</formula>
    </cfRule>
    <cfRule type="expression" dxfId="3538" priority="4066">
      <formula>#REF! = "obiectiv"</formula>
    </cfRule>
  </conditionalFormatting>
  <conditionalFormatting sqref="J1768">
    <cfRule type="expression" dxfId="3537" priority="4121">
      <formula>#REF! = "produs"</formula>
    </cfRule>
    <cfRule type="expression" dxfId="3536" priority="4122">
      <formula>#REF! = "obiectiv"</formula>
    </cfRule>
  </conditionalFormatting>
  <conditionalFormatting sqref="Q1723:U1729">
    <cfRule type="expression" dxfId="3535" priority="4063">
      <formula>#REF! = "produs"</formula>
    </cfRule>
    <cfRule type="expression" dxfId="3534" priority="4064">
      <formula>#REF! = "obiectiv"</formula>
    </cfRule>
  </conditionalFormatting>
  <conditionalFormatting sqref="J1766">
    <cfRule type="expression" dxfId="3533" priority="4115">
      <formula>#REF! = "produs"</formula>
    </cfRule>
    <cfRule type="expression" dxfId="3532" priority="4116">
      <formula>#REF! = "obiectiv"</formula>
    </cfRule>
  </conditionalFormatting>
  <conditionalFormatting sqref="J1764">
    <cfRule type="expression" dxfId="3531" priority="4111">
      <formula>#REF! = "produs"</formula>
    </cfRule>
    <cfRule type="expression" dxfId="3530" priority="4112">
      <formula>#REF! = "obiectiv"</formula>
    </cfRule>
  </conditionalFormatting>
  <conditionalFormatting sqref="J1761">
    <cfRule type="expression" dxfId="3529" priority="4109">
      <formula>#REF! = "produs"</formula>
    </cfRule>
    <cfRule type="expression" dxfId="3528" priority="4110">
      <formula>#REF! = "obiectiv"</formula>
    </cfRule>
  </conditionalFormatting>
  <conditionalFormatting sqref="Q1763:U1769">
    <cfRule type="expression" dxfId="3527" priority="4107">
      <formula>#REF! = "produs"</formula>
    </cfRule>
    <cfRule type="expression" dxfId="3526" priority="4108">
      <formula>#REF! = "obiectiv"</formula>
    </cfRule>
  </conditionalFormatting>
  <conditionalFormatting sqref="Q1761:U1761">
    <cfRule type="expression" dxfId="3525" priority="4105">
      <formula>#REF! = "produs"</formula>
    </cfRule>
    <cfRule type="expression" dxfId="3524" priority="4106">
      <formula>#REF! = "obiectiv"</formula>
    </cfRule>
  </conditionalFormatting>
  <conditionalFormatting sqref="H1761">
    <cfRule type="expression" dxfId="3523" priority="4103">
      <formula>#REF! = "produs"</formula>
    </cfRule>
    <cfRule type="expression" dxfId="3522" priority="4104">
      <formula>#REF! = "obiectiv"</formula>
    </cfRule>
  </conditionalFormatting>
  <conditionalFormatting sqref="G1761">
    <cfRule type="expression" dxfId="3521" priority="4101">
      <formula>#REF! = "produs"</formula>
    </cfRule>
    <cfRule type="expression" dxfId="3520" priority="4102">
      <formula>#REF! = "obiectiv"</formula>
    </cfRule>
  </conditionalFormatting>
  <conditionalFormatting sqref="L1768:P1768">
    <cfRule type="expression" dxfId="3519" priority="4099">
      <formula>#REF! = "produs"</formula>
    </cfRule>
    <cfRule type="expression" dxfId="3518" priority="4100">
      <formula>#REF! = "obiectiv"</formula>
    </cfRule>
  </conditionalFormatting>
  <conditionalFormatting sqref="W1774:IU1774 K1774:P1774">
    <cfRule type="expression" dxfId="3517" priority="4015">
      <formula>#REF! = "produs"</formula>
    </cfRule>
    <cfRule type="expression" dxfId="3516" priority="4016">
      <formula>#REF! = "obiectiv"</formula>
    </cfRule>
  </conditionalFormatting>
  <conditionalFormatting sqref="J1726">
    <cfRule type="expression" dxfId="3515" priority="4077">
      <formula>#REF! = "produs"</formula>
    </cfRule>
    <cfRule type="expression" dxfId="3514" priority="4078">
      <formula>#REF! = "obiectiv"</formula>
    </cfRule>
  </conditionalFormatting>
  <conditionalFormatting sqref="Q1773:U1779">
    <cfRule type="expression" dxfId="3513" priority="4009">
      <formula>#REF! = "produs"</formula>
    </cfRule>
    <cfRule type="expression" dxfId="3512" priority="4010">
      <formula>#REF! = "obiectiv"</formula>
    </cfRule>
  </conditionalFormatting>
  <conditionalFormatting sqref="J1771">
    <cfRule type="expression" dxfId="3511" priority="4011">
      <formula>#REF! = "produs"</formula>
    </cfRule>
    <cfRule type="expression" dxfId="3510" priority="4012">
      <formula>#REF! = "obiectiv"</formula>
    </cfRule>
  </conditionalFormatting>
  <conditionalFormatting sqref="J1724">
    <cfRule type="expression" dxfId="3509" priority="4073">
      <formula>#REF! = "produs"</formula>
    </cfRule>
    <cfRule type="expression" dxfId="3508" priority="4074">
      <formula>#REF! = "obiectiv"</formula>
    </cfRule>
  </conditionalFormatting>
  <conditionalFormatting sqref="J1724:J1730 J1721:J1722">
    <cfRule type="expression" dxfId="3507" priority="4067">
      <formula>#REF! = "produs"</formula>
    </cfRule>
    <cfRule type="expression" dxfId="3506" priority="4068">
      <formula>#REF! = "obiectiv"</formula>
    </cfRule>
  </conditionalFormatting>
  <conditionalFormatting sqref="W1721:IU1730">
    <cfRule type="expression" dxfId="3505" priority="4071">
      <formula>#REF! = "produs"</formula>
    </cfRule>
    <cfRule type="expression" dxfId="3504" priority="4072">
      <formula>#REF! = "obiectiv"</formula>
    </cfRule>
  </conditionalFormatting>
  <conditionalFormatting sqref="L1728:P1728">
    <cfRule type="expression" dxfId="3503" priority="4081">
      <formula>#REF! = "produs"</formula>
    </cfRule>
    <cfRule type="expression" dxfId="3502" priority="4082">
      <formula>#REF! = "obiectiv"</formula>
    </cfRule>
  </conditionalFormatting>
  <conditionalFormatting sqref="L1727:P1727">
    <cfRule type="expression" dxfId="3501" priority="4079">
      <formula>#REF! = "produs"</formula>
    </cfRule>
    <cfRule type="expression" dxfId="3500" priority="4080">
      <formula>#REF! = "obiectiv"</formula>
    </cfRule>
  </conditionalFormatting>
  <conditionalFormatting sqref="K1724:P1724 W1724:IU1724">
    <cfRule type="expression" dxfId="3499" priority="4075">
      <formula>#REF! = "produs"</formula>
    </cfRule>
    <cfRule type="expression" dxfId="3498" priority="4076">
      <formula>#REF! = "obiectiv"</formula>
    </cfRule>
  </conditionalFormatting>
  <conditionalFormatting sqref="Q1721:U1721">
    <cfRule type="expression" dxfId="3497" priority="4061">
      <formula>#REF! = "produs"</formula>
    </cfRule>
    <cfRule type="expression" dxfId="3496" priority="4062">
      <formula>#REF! = "obiectiv"</formula>
    </cfRule>
  </conditionalFormatting>
  <conditionalFormatting sqref="H1721">
    <cfRule type="expression" dxfId="3495" priority="4059">
      <formula>#REF! = "produs"</formula>
    </cfRule>
    <cfRule type="expression" dxfId="3494" priority="4060">
      <formula>#REF! = "obiectiv"</formula>
    </cfRule>
  </conditionalFormatting>
  <conditionalFormatting sqref="N1729">
    <cfRule type="expression" dxfId="3493" priority="4057">
      <formula>#REF! = "produs"</formula>
    </cfRule>
    <cfRule type="expression" dxfId="3492" priority="4058">
      <formula>#REF! = "obiectiv"</formula>
    </cfRule>
  </conditionalFormatting>
  <conditionalFormatting sqref="J1723">
    <cfRule type="expression" dxfId="3491" priority="4055">
      <formula>#REF! = "produs"</formula>
    </cfRule>
    <cfRule type="expression" dxfId="3490" priority="4056">
      <formula>#REF! = "obiectiv"</formula>
    </cfRule>
  </conditionalFormatting>
  <conditionalFormatting sqref="L1761:U1770">
    <cfRule type="expression" dxfId="3489" priority="4149">
      <formula>#REF! = "produs"</formula>
    </cfRule>
    <cfRule type="expression" dxfId="3488" priority="4150">
      <formula>#REF! = "obiectiv"</formula>
    </cfRule>
  </conditionalFormatting>
  <conditionalFormatting sqref="J1761:J1762 J1764:J1770">
    <cfRule type="expression" dxfId="3487" priority="4139">
      <formula>#REF! = "produs"</formula>
    </cfRule>
    <cfRule type="expression" dxfId="3486" priority="4140">
      <formula>#REF! = "obiectiv"</formula>
    </cfRule>
  </conditionalFormatting>
  <conditionalFormatting sqref="W1761:IU1770">
    <cfRule type="expression" dxfId="3485" priority="4143">
      <formula>#REF! = "produs"</formula>
    </cfRule>
    <cfRule type="expression" dxfId="3484" priority="4144">
      <formula>#REF! = "obiectiv"</formula>
    </cfRule>
  </conditionalFormatting>
  <conditionalFormatting sqref="K1761:K1770">
    <cfRule type="expression" dxfId="3483" priority="4141">
      <formula>#REF! = "produs"</formula>
    </cfRule>
    <cfRule type="expression" dxfId="3482" priority="4142">
      <formula>#REF! = "obiectiv"</formula>
    </cfRule>
  </conditionalFormatting>
  <conditionalFormatting sqref="L1761:U1770">
    <cfRule type="expression" dxfId="3481" priority="4137">
      <formula>#REF! = "produs"</formula>
    </cfRule>
    <cfRule type="expression" dxfId="3480" priority="4138">
      <formula>#REF! = "obiectiv"</formula>
    </cfRule>
  </conditionalFormatting>
  <conditionalFormatting sqref="J1722 J1729:J1730 J1727 J1725">
    <cfRule type="expression" dxfId="3479" priority="4087">
      <formula>#REF! = "produs"</formula>
    </cfRule>
    <cfRule type="expression" dxfId="3478" priority="4088">
      <formula>#REF! = "obiectiv"</formula>
    </cfRule>
  </conditionalFormatting>
  <conditionalFormatting sqref="W1722:IU1723 W1725:IU1730">
    <cfRule type="expression" dxfId="3477" priority="4091">
      <formula>#REF! = "produs"</formula>
    </cfRule>
    <cfRule type="expression" dxfId="3476" priority="4092">
      <formula>#REF! = "obiectiv"</formula>
    </cfRule>
  </conditionalFormatting>
  <conditionalFormatting sqref="K1761:K1770">
    <cfRule type="expression" dxfId="3475" priority="4133">
      <formula>#REF! = "produs"</formula>
    </cfRule>
    <cfRule type="expression" dxfId="3474" priority="4134">
      <formula>#REF! = "obiectiv"</formula>
    </cfRule>
  </conditionalFormatting>
  <conditionalFormatting sqref="L1777:P1777">
    <cfRule type="expression" dxfId="3473" priority="4019">
      <formula>#REF! = "produs"</formula>
    </cfRule>
    <cfRule type="expression" dxfId="3472" priority="4020">
      <formula>#REF! = "obiectiv"</formula>
    </cfRule>
  </conditionalFormatting>
  <conditionalFormatting sqref="L1778:P1778">
    <cfRule type="expression" dxfId="3471" priority="4021">
      <formula>#REF! = "produs"</formula>
    </cfRule>
    <cfRule type="expression" dxfId="3470" priority="4022">
      <formula>#REF! = "obiectiv"</formula>
    </cfRule>
  </conditionalFormatting>
  <conditionalFormatting sqref="J1774">
    <cfRule type="expression" dxfId="3469" priority="4013">
      <formula>#REF! = "produs"</formula>
    </cfRule>
    <cfRule type="expression" dxfId="3468" priority="4014">
      <formula>#REF! = "obiectiv"</formula>
    </cfRule>
  </conditionalFormatting>
  <conditionalFormatting sqref="J1728">
    <cfRule type="expression" dxfId="3467" priority="4083">
      <formula>#REF! = "produs"</formula>
    </cfRule>
    <cfRule type="expression" dxfId="3466" priority="4084">
      <formula>#REF! = "obiectiv"</formula>
    </cfRule>
  </conditionalFormatting>
  <conditionalFormatting sqref="K1801:K1810">
    <cfRule type="expression" dxfId="3465" priority="3827">
      <formula>#REF! = "produs"</formula>
    </cfRule>
    <cfRule type="expression" dxfId="3464" priority="3828">
      <formula>#REF! = "obiectiv"</formula>
    </cfRule>
  </conditionalFormatting>
  <conditionalFormatting sqref="J1778">
    <cfRule type="expression" dxfId="3463" priority="4023">
      <formula>#REF! = "produs"</formula>
    </cfRule>
    <cfRule type="expression" dxfId="3462" priority="4024">
      <formula>#REF! = "obiectiv"</formula>
    </cfRule>
  </conditionalFormatting>
  <conditionalFormatting sqref="J1776">
    <cfRule type="expression" dxfId="3461" priority="4017">
      <formula>#REF! = "produs"</formula>
    </cfRule>
    <cfRule type="expression" dxfId="3460" priority="4018">
      <formula>#REF! = "obiectiv"</formula>
    </cfRule>
  </conditionalFormatting>
  <conditionalFormatting sqref="J1801:J1802 J1804:J1810">
    <cfRule type="expression" dxfId="3459" priority="3825">
      <formula>#REF! = "produs"</formula>
    </cfRule>
    <cfRule type="expression" dxfId="3458" priority="3826">
      <formula>#REF! = "obiectiv"</formula>
    </cfRule>
  </conditionalFormatting>
  <conditionalFormatting sqref="L1730:U1730 L1722:U1722 L1723:P1723 L1725:P1729">
    <cfRule type="expression" dxfId="3457" priority="4085">
      <formula>#REF! = "produs"</formula>
    </cfRule>
    <cfRule type="expression" dxfId="3456" priority="4086">
      <formula>#REF! = "obiectiv"</formula>
    </cfRule>
  </conditionalFormatting>
  <conditionalFormatting sqref="Q1771:U1771">
    <cfRule type="expression" dxfId="3455" priority="4007">
      <formula>#REF! = "produs"</formula>
    </cfRule>
    <cfRule type="expression" dxfId="3454" priority="4008">
      <formula>#REF! = "obiectiv"</formula>
    </cfRule>
  </conditionalFormatting>
  <conditionalFormatting sqref="H1771">
    <cfRule type="expression" dxfId="3453" priority="4005">
      <formula>#REF! = "produs"</formula>
    </cfRule>
    <cfRule type="expression" dxfId="3452" priority="4006">
      <formula>#REF! = "obiectiv"</formula>
    </cfRule>
  </conditionalFormatting>
  <conditionalFormatting sqref="G1771">
    <cfRule type="expression" dxfId="3451" priority="4003">
      <formula>#REF! = "produs"</formula>
    </cfRule>
    <cfRule type="expression" dxfId="3450" priority="4004">
      <formula>#REF! = "obiectiv"</formula>
    </cfRule>
  </conditionalFormatting>
  <conditionalFormatting sqref="L1778:P1778">
    <cfRule type="expression" dxfId="3449" priority="4001">
      <formula>#REF! = "produs"</formula>
    </cfRule>
    <cfRule type="expression" dxfId="3448" priority="4002">
      <formula>#REF! = "obiectiv"</formula>
    </cfRule>
  </conditionalFormatting>
  <conditionalFormatting sqref="L1721:U1730">
    <cfRule type="expression" dxfId="3447" priority="4095">
      <formula>#REF! = "produs"</formula>
    </cfRule>
    <cfRule type="expression" dxfId="3446" priority="4096">
      <formula>#REF! = "obiectiv"</formula>
    </cfRule>
  </conditionalFormatting>
  <conditionalFormatting sqref="K1722:K1723 K1725:K1730">
    <cfRule type="expression" dxfId="3445" priority="4089">
      <formula>#REF! = "produs"</formula>
    </cfRule>
    <cfRule type="expression" dxfId="3444" priority="4090">
      <formula>#REF! = "obiectiv"</formula>
    </cfRule>
  </conditionalFormatting>
  <conditionalFormatting sqref="G1391">
    <cfRule type="expression" dxfId="3443" priority="3543">
      <formula>#REF! = "produs"</formula>
    </cfRule>
    <cfRule type="expression" dxfId="3442" priority="3544">
      <formula>#REF! = "obiectiv"</formula>
    </cfRule>
  </conditionalFormatting>
  <conditionalFormatting sqref="W1801:IU1810">
    <cfRule type="expression" dxfId="3441" priority="3829">
      <formula>#REF! = "produs"</formula>
    </cfRule>
    <cfRule type="expression" dxfId="3440" priority="3830">
      <formula>#REF! = "obiectiv"</formula>
    </cfRule>
  </conditionalFormatting>
  <conditionalFormatting sqref="Q1781:U1781">
    <cfRule type="expression" dxfId="3439" priority="3953">
      <formula>#REF! = "produs"</formula>
    </cfRule>
    <cfRule type="expression" dxfId="3438" priority="3954">
      <formula>#REF! = "obiectiv"</formula>
    </cfRule>
  </conditionalFormatting>
  <conditionalFormatting sqref="H1781">
    <cfRule type="expression" dxfId="3437" priority="3951">
      <formula>#REF! = "produs"</formula>
    </cfRule>
    <cfRule type="expression" dxfId="3436" priority="3952">
      <formula>#REF! = "obiectiv"</formula>
    </cfRule>
  </conditionalFormatting>
  <conditionalFormatting sqref="G1781">
    <cfRule type="expression" dxfId="3435" priority="3949">
      <formula>#REF! = "produs"</formula>
    </cfRule>
    <cfRule type="expression" dxfId="3434" priority="3950">
      <formula>#REF! = "obiectiv"</formula>
    </cfRule>
  </conditionalFormatting>
  <conditionalFormatting sqref="L1788:P1788">
    <cfRule type="expression" dxfId="3433" priority="3947">
      <formula>#REF! = "produs"</formula>
    </cfRule>
    <cfRule type="expression" dxfId="3432" priority="3948">
      <formula>#REF! = "obiectiv"</formula>
    </cfRule>
  </conditionalFormatting>
  <conditionalFormatting sqref="K1794:P1794 W1794:IU1794">
    <cfRule type="expression" dxfId="3431" priority="3853">
      <formula>#REF! = "produs"</formula>
    </cfRule>
    <cfRule type="expression" dxfId="3430" priority="3854">
      <formula>#REF! = "obiectiv"</formula>
    </cfRule>
  </conditionalFormatting>
  <conditionalFormatting sqref="J1791">
    <cfRule type="expression" dxfId="3429" priority="3849">
      <formula>#REF! = "produs"</formula>
    </cfRule>
    <cfRule type="expression" dxfId="3428" priority="3850">
      <formula>#REF! = "obiectiv"</formula>
    </cfRule>
  </conditionalFormatting>
  <conditionalFormatting sqref="Q1793:U1799">
    <cfRule type="expression" dxfId="3427" priority="3847">
      <formula>#REF! = "produs"</formula>
    </cfRule>
    <cfRule type="expression" dxfId="3426" priority="3848">
      <formula>#REF! = "obiectiv"</formula>
    </cfRule>
  </conditionalFormatting>
  <conditionalFormatting sqref="L1801:U1810">
    <cfRule type="expression" dxfId="3425" priority="3823">
      <formula>#REF! = "produs"</formula>
    </cfRule>
    <cfRule type="expression" dxfId="3424" priority="3824">
      <formula>#REF! = "obiectiv"</formula>
    </cfRule>
  </conditionalFormatting>
  <conditionalFormatting sqref="L1771:U1780">
    <cfRule type="expression" dxfId="3423" priority="4051">
      <formula>#REF! = "produs"</formula>
    </cfRule>
    <cfRule type="expression" dxfId="3422" priority="4052">
      <formula>#REF! = "obiectiv"</formula>
    </cfRule>
  </conditionalFormatting>
  <conditionalFormatting sqref="G1791">
    <cfRule type="expression" dxfId="3421" priority="3841">
      <formula>#REF! = "produs"</formula>
    </cfRule>
    <cfRule type="expression" dxfId="3420" priority="3842">
      <formula>#REF! = "obiectiv"</formula>
    </cfRule>
  </conditionalFormatting>
  <conditionalFormatting sqref="W1771:IU1780">
    <cfRule type="expression" dxfId="3419" priority="4045">
      <formula>#REF! = "produs"</formula>
    </cfRule>
    <cfRule type="expression" dxfId="3418" priority="4046">
      <formula>#REF! = "obiectiv"</formula>
    </cfRule>
  </conditionalFormatting>
  <conditionalFormatting sqref="K1771:K1780">
    <cfRule type="expression" dxfId="3417" priority="4043">
      <formula>#REF! = "produs"</formula>
    </cfRule>
    <cfRule type="expression" dxfId="3416" priority="4044">
      <formula>#REF! = "obiectiv"</formula>
    </cfRule>
  </conditionalFormatting>
  <conditionalFormatting sqref="L1798:P1798">
    <cfRule type="expression" dxfId="3415" priority="3839">
      <formula>#REF! = "produs"</formula>
    </cfRule>
    <cfRule type="expression" dxfId="3414" priority="3840">
      <formula>#REF! = "obiectiv"</formula>
    </cfRule>
  </conditionalFormatting>
  <conditionalFormatting sqref="L1801:U1810">
    <cfRule type="expression" dxfId="3413" priority="3835">
      <formula>#REF! = "produs"</formula>
    </cfRule>
    <cfRule type="expression" dxfId="3412" priority="3836">
      <formula>#REF! = "obiectiv"</formula>
    </cfRule>
  </conditionalFormatting>
  <conditionalFormatting sqref="K1804:P1804 W1804:IU1804">
    <cfRule type="expression" dxfId="3411" priority="3799">
      <formula>#REF! = "produs"</formula>
    </cfRule>
    <cfRule type="expression" dxfId="3410" priority="3800">
      <formula>#REF! = "obiectiv"</formula>
    </cfRule>
  </conditionalFormatting>
  <conditionalFormatting sqref="L1797:P1797">
    <cfRule type="expression" dxfId="3409" priority="3857">
      <formula>#REF! = "produs"</formula>
    </cfRule>
    <cfRule type="expression" dxfId="3408" priority="3858">
      <formula>#REF! = "obiectiv"</formula>
    </cfRule>
  </conditionalFormatting>
  <conditionalFormatting sqref="L1800:U1800 L1792:U1792 L1793:P1793 L1795:P1799">
    <cfRule type="expression" dxfId="3407" priority="3863">
      <formula>#REF! = "produs"</formula>
    </cfRule>
    <cfRule type="expression" dxfId="3406" priority="3864">
      <formula>#REF! = "obiectiv"</formula>
    </cfRule>
  </conditionalFormatting>
  <conditionalFormatting sqref="L1798:P1798">
    <cfRule type="expression" dxfId="3405" priority="3859">
      <formula>#REF! = "produs"</formula>
    </cfRule>
    <cfRule type="expression" dxfId="3404" priority="3860">
      <formula>#REF! = "obiectiv"</formula>
    </cfRule>
  </conditionalFormatting>
  <conditionalFormatting sqref="J1792 J1799:J1800 J1797 J1795">
    <cfRule type="expression" dxfId="3403" priority="3865">
      <formula>#REF! = "produs"</formula>
    </cfRule>
    <cfRule type="expression" dxfId="3402" priority="3866">
      <formula>#REF! = "obiectiv"</formula>
    </cfRule>
  </conditionalFormatting>
  <conditionalFormatting sqref="J1794">
    <cfRule type="expression" dxfId="3401" priority="3851">
      <formula>#REF! = "produs"</formula>
    </cfRule>
    <cfRule type="expression" dxfId="3400" priority="3852">
      <formula>#REF! = "obiectiv"</formula>
    </cfRule>
  </conditionalFormatting>
  <conditionalFormatting sqref="J1798">
    <cfRule type="expression" dxfId="3399" priority="3861">
      <formula>#REF! = "produs"</formula>
    </cfRule>
    <cfRule type="expression" dxfId="3398" priority="3862">
      <formula>#REF! = "obiectiv"</formula>
    </cfRule>
  </conditionalFormatting>
  <conditionalFormatting sqref="J1796">
    <cfRule type="expression" dxfId="3397" priority="3855">
      <formula>#REF! = "produs"</formula>
    </cfRule>
    <cfRule type="expression" dxfId="3396" priority="3856">
      <formula>#REF! = "obiectiv"</formula>
    </cfRule>
  </conditionalFormatting>
  <conditionalFormatting sqref="H1791">
    <cfRule type="expression" dxfId="3395" priority="3843">
      <formula>#REF! = "produs"</formula>
    </cfRule>
    <cfRule type="expression" dxfId="3394" priority="3844">
      <formula>#REF! = "obiectiv"</formula>
    </cfRule>
  </conditionalFormatting>
  <conditionalFormatting sqref="J1393">
    <cfRule type="expression" dxfId="3393" priority="3547">
      <formula>#REF! = "produs"</formula>
    </cfRule>
    <cfRule type="expression" dxfId="3392" priority="3548">
      <formula>#REF! = "obiectiv"</formula>
    </cfRule>
  </conditionalFormatting>
  <conditionalFormatting sqref="H1391">
    <cfRule type="expression" dxfId="3391" priority="3545">
      <formula>#REF! = "produs"</formula>
    </cfRule>
    <cfRule type="expression" dxfId="3390" priority="3546">
      <formula>#REF! = "obiectiv"</formula>
    </cfRule>
  </conditionalFormatting>
  <conditionalFormatting sqref="L1781:U1790">
    <cfRule type="expression" dxfId="3389" priority="3997">
      <formula>#REF! = "produs"</formula>
    </cfRule>
    <cfRule type="expression" dxfId="3388" priority="3998">
      <formula>#REF! = "obiectiv"</formula>
    </cfRule>
  </conditionalFormatting>
  <conditionalFormatting sqref="L1807:P1807">
    <cfRule type="expression" dxfId="3387" priority="3803">
      <formula>#REF! = "produs"</formula>
    </cfRule>
    <cfRule type="expression" dxfId="3386" priority="3804">
      <formula>#REF! = "obiectiv"</formula>
    </cfRule>
  </conditionalFormatting>
  <conditionalFormatting sqref="J1808">
    <cfRule type="expression" dxfId="3385" priority="3807">
      <formula>#REF! = "produs"</formula>
    </cfRule>
    <cfRule type="expression" dxfId="3384" priority="3808">
      <formula>#REF! = "obiectiv"</formula>
    </cfRule>
  </conditionalFormatting>
  <conditionalFormatting sqref="J1802 J1809:J1810 J1807 J1805">
    <cfRule type="expression" dxfId="3383" priority="3811">
      <formula>#REF! = "produs"</formula>
    </cfRule>
    <cfRule type="expression" dxfId="3382" priority="3812">
      <formula>#REF! = "obiectiv"</formula>
    </cfRule>
  </conditionalFormatting>
  <conditionalFormatting sqref="L1810:U1810 L1802:U1802 L1803:P1803 L1805:P1809">
    <cfRule type="expression" dxfId="3381" priority="3809">
      <formula>#REF! = "produs"</formula>
    </cfRule>
    <cfRule type="expression" dxfId="3380" priority="3810">
      <formula>#REF! = "obiectiv"</formula>
    </cfRule>
  </conditionalFormatting>
  <conditionalFormatting sqref="L1808:P1808">
    <cfRule type="expression" dxfId="3379" priority="3805">
      <formula>#REF! = "produs"</formula>
    </cfRule>
    <cfRule type="expression" dxfId="3378" priority="3806">
      <formula>#REF! = "obiectiv"</formula>
    </cfRule>
  </conditionalFormatting>
  <conditionalFormatting sqref="J1804">
    <cfRule type="expression" dxfId="3377" priority="3797">
      <formula>#REF! = "produs"</formula>
    </cfRule>
    <cfRule type="expression" dxfId="3376" priority="3798">
      <formula>#REF! = "obiectiv"</formula>
    </cfRule>
  </conditionalFormatting>
  <conditionalFormatting sqref="J1806">
    <cfRule type="expression" dxfId="3375" priority="3801">
      <formula>#REF! = "produs"</formula>
    </cfRule>
    <cfRule type="expression" dxfId="3374" priority="3802">
      <formula>#REF! = "obiectiv"</formula>
    </cfRule>
  </conditionalFormatting>
  <conditionalFormatting sqref="J1801">
    <cfRule type="expression" dxfId="3373" priority="3795">
      <formula>#REF! = "produs"</formula>
    </cfRule>
    <cfRule type="expression" dxfId="3372" priority="3796">
      <formula>#REF! = "obiectiv"</formula>
    </cfRule>
  </conditionalFormatting>
  <conditionalFormatting sqref="Q1803:U1809">
    <cfRule type="expression" dxfId="3371" priority="3793">
      <formula>#REF! = "produs"</formula>
    </cfRule>
    <cfRule type="expression" dxfId="3370" priority="3794">
      <formula>#REF! = "obiectiv"</formula>
    </cfRule>
  </conditionalFormatting>
  <conditionalFormatting sqref="Q1801:U1801">
    <cfRule type="expression" dxfId="3369" priority="3791">
      <formula>#REF! = "produs"</formula>
    </cfRule>
    <cfRule type="expression" dxfId="3368" priority="3792">
      <formula>#REF! = "obiectiv"</formula>
    </cfRule>
  </conditionalFormatting>
  <conditionalFormatting sqref="H1801">
    <cfRule type="expression" dxfId="3367" priority="3789">
      <formula>#REF! = "produs"</formula>
    </cfRule>
    <cfRule type="expression" dxfId="3366" priority="3790">
      <formula>#REF! = "obiectiv"</formula>
    </cfRule>
  </conditionalFormatting>
  <conditionalFormatting sqref="G1801">
    <cfRule type="expression" dxfId="3365" priority="3787">
      <formula>#REF! = "produs"</formula>
    </cfRule>
    <cfRule type="expression" dxfId="3364" priority="3788">
      <formula>#REF! = "obiectiv"</formula>
    </cfRule>
  </conditionalFormatting>
  <conditionalFormatting sqref="L1808:P1808">
    <cfRule type="expression" dxfId="3363" priority="3785">
      <formula>#REF! = "produs"</formula>
    </cfRule>
    <cfRule type="expression" dxfId="3362" priority="3786">
      <formula>#REF! = "obiectiv"</formula>
    </cfRule>
  </conditionalFormatting>
  <conditionalFormatting sqref="W1791:IU1800">
    <cfRule type="expression" dxfId="3361" priority="3875">
      <formula>#REF! = "produs"</formula>
    </cfRule>
    <cfRule type="expression" dxfId="3360" priority="3876">
      <formula>#REF! = "obiectiv"</formula>
    </cfRule>
  </conditionalFormatting>
  <conditionalFormatting sqref="W1792:IU1793 W1795:IU1800">
    <cfRule type="expression" dxfId="3359" priority="3869">
      <formula>#REF! = "produs"</formula>
    </cfRule>
    <cfRule type="expression" dxfId="3358" priority="3870">
      <formula>#REF! = "obiectiv"</formula>
    </cfRule>
  </conditionalFormatting>
  <conditionalFormatting sqref="K1792:K1793 K1795:K1800">
    <cfRule type="expression" dxfId="3357" priority="3867">
      <formula>#REF! = "produs"</formula>
    </cfRule>
    <cfRule type="expression" dxfId="3356" priority="3868">
      <formula>#REF! = "obiectiv"</formula>
    </cfRule>
  </conditionalFormatting>
  <conditionalFormatting sqref="J1791:J1792 J1794:J1800">
    <cfRule type="expression" dxfId="3355" priority="3871">
      <formula>#REF! = "produs"</formula>
    </cfRule>
    <cfRule type="expression" dxfId="3354" priority="3872">
      <formula>#REF! = "obiectiv"</formula>
    </cfRule>
  </conditionalFormatting>
  <conditionalFormatting sqref="K1802:K1803 K1805:K1810">
    <cfRule type="expression" dxfId="3353" priority="3813">
      <formula>#REF! = "produs"</formula>
    </cfRule>
    <cfRule type="expression" dxfId="3352" priority="3814">
      <formula>#REF! = "obiectiv"</formula>
    </cfRule>
  </conditionalFormatting>
  <conditionalFormatting sqref="J1801:J1802 J1804:J1810">
    <cfRule type="expression" dxfId="3351" priority="3817">
      <formula>#REF! = "produs"</formula>
    </cfRule>
    <cfRule type="expression" dxfId="3350" priority="3818">
      <formula>#REF! = "obiectiv"</formula>
    </cfRule>
  </conditionalFormatting>
  <conditionalFormatting sqref="W1801:IU1810">
    <cfRule type="expression" dxfId="3349" priority="3821">
      <formula>#REF! = "produs"</formula>
    </cfRule>
    <cfRule type="expression" dxfId="3348" priority="3822">
      <formula>#REF! = "obiectiv"</formula>
    </cfRule>
  </conditionalFormatting>
  <conditionalFormatting sqref="W1802:IU1803 W1805:IU1810">
    <cfRule type="expression" dxfId="3347" priority="3815">
      <formula>#REF! = "produs"</formula>
    </cfRule>
    <cfRule type="expression" dxfId="3346" priority="3816">
      <formula>#REF! = "obiectiv"</formula>
    </cfRule>
  </conditionalFormatting>
  <conditionalFormatting sqref="L1791:U1800">
    <cfRule type="expression" dxfId="3345" priority="3889">
      <formula>#REF! = "produs"</formula>
    </cfRule>
    <cfRule type="expression" dxfId="3344" priority="3890">
      <formula>#REF! = "obiectiv"</formula>
    </cfRule>
  </conditionalFormatting>
  <conditionalFormatting sqref="J1791:J1792 J1794:J1800">
    <cfRule type="expression" dxfId="3343" priority="3879">
      <formula>#REF! = "produs"</formula>
    </cfRule>
    <cfRule type="expression" dxfId="3342" priority="3880">
      <formula>#REF! = "obiectiv"</formula>
    </cfRule>
  </conditionalFormatting>
  <conditionalFormatting sqref="W1791:IU1800">
    <cfRule type="expression" dxfId="3341" priority="3883">
      <formula>#REF! = "produs"</formula>
    </cfRule>
    <cfRule type="expression" dxfId="3340" priority="3884">
      <formula>#REF! = "obiectiv"</formula>
    </cfRule>
  </conditionalFormatting>
  <conditionalFormatting sqref="K1791:K1800">
    <cfRule type="expression" dxfId="3339" priority="3881">
      <formula>#REF! = "produs"</formula>
    </cfRule>
    <cfRule type="expression" dxfId="3338" priority="3882">
      <formula>#REF! = "obiectiv"</formula>
    </cfRule>
  </conditionalFormatting>
  <conditionalFormatting sqref="L1791:U1800">
    <cfRule type="expression" dxfId="3337" priority="3877">
      <formula>#REF! = "produs"</formula>
    </cfRule>
    <cfRule type="expression" dxfId="3336" priority="3878">
      <formula>#REF! = "obiectiv"</formula>
    </cfRule>
  </conditionalFormatting>
  <conditionalFormatting sqref="K1791:K1800">
    <cfRule type="expression" dxfId="3335" priority="3873">
      <formula>#REF! = "produs"</formula>
    </cfRule>
    <cfRule type="expression" dxfId="3334" priority="3874">
      <formula>#REF! = "obiectiv"</formula>
    </cfRule>
  </conditionalFormatting>
  <conditionalFormatting sqref="L1178:P1187">
    <cfRule type="expression" dxfId="3333" priority="3693">
      <formula>#REF! = "produs"</formula>
    </cfRule>
    <cfRule type="expression" dxfId="3332" priority="3694">
      <formula>#REF! = "obiectiv"</formula>
    </cfRule>
  </conditionalFormatting>
  <conditionalFormatting sqref="K1801:K1810">
    <cfRule type="expression" dxfId="3331" priority="3819">
      <formula>#REF! = "produs"</formula>
    </cfRule>
    <cfRule type="expression" dxfId="3330" priority="3820">
      <formula>#REF! = "obiectiv"</formula>
    </cfRule>
  </conditionalFormatting>
  <conditionalFormatting sqref="J1813">
    <cfRule type="expression" dxfId="3329" priority="3729">
      <formula>#REF! = "produs"</formula>
    </cfRule>
    <cfRule type="expression" dxfId="3328" priority="3730">
      <formula>#REF! = "obiectiv"</formula>
    </cfRule>
  </conditionalFormatting>
  <conditionalFormatting sqref="K1814:P1814 W1814:IU1814">
    <cfRule type="expression" dxfId="3327" priority="3745">
      <formula>#REF! = "produs"</formula>
    </cfRule>
    <cfRule type="expression" dxfId="3326" priority="3746">
      <formula>#REF! = "obiectiv"</formula>
    </cfRule>
  </conditionalFormatting>
  <conditionalFormatting sqref="L1817:P1817">
    <cfRule type="expression" dxfId="3325" priority="3749">
      <formula>#REF! = "produs"</formula>
    </cfRule>
    <cfRule type="expression" dxfId="3324" priority="3750">
      <formula>#REF! = "obiectiv"</formula>
    </cfRule>
  </conditionalFormatting>
  <conditionalFormatting sqref="J1818">
    <cfRule type="expression" dxfId="3323" priority="3753">
      <formula>#REF! = "produs"</formula>
    </cfRule>
    <cfRule type="expression" dxfId="3322" priority="3754">
      <formula>#REF! = "obiectiv"</formula>
    </cfRule>
  </conditionalFormatting>
  <conditionalFormatting sqref="J1812 J1819:J1820 J1817 J1815">
    <cfRule type="expression" dxfId="3321" priority="3757">
      <formula>#REF! = "produs"</formula>
    </cfRule>
    <cfRule type="expression" dxfId="3320" priority="3758">
      <formula>#REF! = "obiectiv"</formula>
    </cfRule>
  </conditionalFormatting>
  <conditionalFormatting sqref="L1820:U1820 L1812:U1812 L1813:P1813 L1815:P1819">
    <cfRule type="expression" dxfId="3319" priority="3755">
      <formula>#REF! = "produs"</formula>
    </cfRule>
    <cfRule type="expression" dxfId="3318" priority="3756">
      <formula>#REF! = "obiectiv"</formula>
    </cfRule>
  </conditionalFormatting>
  <conditionalFormatting sqref="L1818:P1818">
    <cfRule type="expression" dxfId="3317" priority="3751">
      <formula>#REF! = "produs"</formula>
    </cfRule>
    <cfRule type="expression" dxfId="3316" priority="3752">
      <formula>#REF! = "obiectiv"</formula>
    </cfRule>
  </conditionalFormatting>
  <conditionalFormatting sqref="J1814">
    <cfRule type="expression" dxfId="3315" priority="3743">
      <formula>#REF! = "produs"</formula>
    </cfRule>
    <cfRule type="expression" dxfId="3314" priority="3744">
      <formula>#REF! = "obiectiv"</formula>
    </cfRule>
  </conditionalFormatting>
  <conditionalFormatting sqref="J1816">
    <cfRule type="expression" dxfId="3313" priority="3747">
      <formula>#REF! = "produs"</formula>
    </cfRule>
    <cfRule type="expression" dxfId="3312" priority="3748">
      <formula>#REF! = "obiectiv"</formula>
    </cfRule>
  </conditionalFormatting>
  <conditionalFormatting sqref="J1811">
    <cfRule type="expression" dxfId="3311" priority="3741">
      <formula>#REF! = "produs"</formula>
    </cfRule>
    <cfRule type="expression" dxfId="3310" priority="3742">
      <formula>#REF! = "obiectiv"</formula>
    </cfRule>
  </conditionalFormatting>
  <conditionalFormatting sqref="Q1813:U1819">
    <cfRule type="expression" dxfId="3309" priority="3739">
      <formula>#REF! = "produs"</formula>
    </cfRule>
    <cfRule type="expression" dxfId="3308" priority="3740">
      <formula>#REF! = "obiectiv"</formula>
    </cfRule>
  </conditionalFormatting>
  <conditionalFormatting sqref="Q1811:U1811">
    <cfRule type="expression" dxfId="3307" priority="3737">
      <formula>#REF! = "produs"</formula>
    </cfRule>
    <cfRule type="expression" dxfId="3306" priority="3738">
      <formula>#REF! = "obiectiv"</formula>
    </cfRule>
  </conditionalFormatting>
  <conditionalFormatting sqref="H1811">
    <cfRule type="expression" dxfId="3305" priority="3735">
      <formula>#REF! = "produs"</formula>
    </cfRule>
    <cfRule type="expression" dxfId="3304" priority="3736">
      <formula>#REF! = "obiectiv"</formula>
    </cfRule>
  </conditionalFormatting>
  <conditionalFormatting sqref="G1811">
    <cfRule type="expression" dxfId="3303" priority="3733">
      <formula>#REF! = "produs"</formula>
    </cfRule>
    <cfRule type="expression" dxfId="3302" priority="3734">
      <formula>#REF! = "obiectiv"</formula>
    </cfRule>
  </conditionalFormatting>
  <conditionalFormatting sqref="L1818:P1818">
    <cfRule type="expression" dxfId="3301" priority="3731">
      <formula>#REF! = "produs"</formula>
    </cfRule>
    <cfRule type="expression" dxfId="3300" priority="3732">
      <formula>#REF! = "obiectiv"</formula>
    </cfRule>
  </conditionalFormatting>
  <conditionalFormatting sqref="K1812:K1813 K1815:K1820">
    <cfRule type="expression" dxfId="3299" priority="3759">
      <formula>#REF! = "produs"</formula>
    </cfRule>
    <cfRule type="expression" dxfId="3298" priority="3760">
      <formula>#REF! = "obiectiv"</formula>
    </cfRule>
  </conditionalFormatting>
  <conditionalFormatting sqref="J1811:J1812 J1814:J1820">
    <cfRule type="expression" dxfId="3297" priority="3763">
      <formula>#REF! = "produs"</formula>
    </cfRule>
    <cfRule type="expression" dxfId="3296" priority="3764">
      <formula>#REF! = "obiectiv"</formula>
    </cfRule>
  </conditionalFormatting>
  <conditionalFormatting sqref="W1811:IU1820">
    <cfRule type="expression" dxfId="3295" priority="3767">
      <formula>#REF! = "produs"</formula>
    </cfRule>
    <cfRule type="expression" dxfId="3294" priority="3768">
      <formula>#REF! = "obiectiv"</formula>
    </cfRule>
  </conditionalFormatting>
  <conditionalFormatting sqref="W1812:IU1813 W1815:IU1820">
    <cfRule type="expression" dxfId="3293" priority="3761">
      <formula>#REF! = "produs"</formula>
    </cfRule>
    <cfRule type="expression" dxfId="3292" priority="3762">
      <formula>#REF! = "obiectiv"</formula>
    </cfRule>
  </conditionalFormatting>
  <conditionalFormatting sqref="L1811:U1820">
    <cfRule type="expression" dxfId="3291" priority="3781">
      <formula>#REF! = "produs"</formula>
    </cfRule>
    <cfRule type="expression" dxfId="3290" priority="3782">
      <formula>#REF! = "obiectiv"</formula>
    </cfRule>
  </conditionalFormatting>
  <conditionalFormatting sqref="J1811:J1812 J1814:J1820">
    <cfRule type="expression" dxfId="3289" priority="3771">
      <formula>#REF! = "produs"</formula>
    </cfRule>
    <cfRule type="expression" dxfId="3288" priority="3772">
      <formula>#REF! = "obiectiv"</formula>
    </cfRule>
  </conditionalFormatting>
  <conditionalFormatting sqref="W1811:IU1820">
    <cfRule type="expression" dxfId="3287" priority="3775">
      <formula>#REF! = "produs"</formula>
    </cfRule>
    <cfRule type="expression" dxfId="3286" priority="3776">
      <formula>#REF! = "obiectiv"</formula>
    </cfRule>
  </conditionalFormatting>
  <conditionalFormatting sqref="K1811:K1820">
    <cfRule type="expression" dxfId="3285" priority="3773">
      <formula>#REF! = "produs"</formula>
    </cfRule>
    <cfRule type="expression" dxfId="3284" priority="3774">
      <formula>#REF! = "obiectiv"</formula>
    </cfRule>
  </conditionalFormatting>
  <conditionalFormatting sqref="L1811:U1820">
    <cfRule type="expression" dxfId="3283" priority="3769">
      <formula>#REF! = "produs"</formula>
    </cfRule>
    <cfRule type="expression" dxfId="3282" priority="3770">
      <formula>#REF! = "obiectiv"</formula>
    </cfRule>
  </conditionalFormatting>
  <conditionalFormatting sqref="K1811:K1820">
    <cfRule type="expression" dxfId="3281" priority="3765">
      <formula>#REF! = "produs"</formula>
    </cfRule>
    <cfRule type="expression" dxfId="3280" priority="3766">
      <formula>#REF! = "obiectiv"</formula>
    </cfRule>
  </conditionalFormatting>
  <conditionalFormatting sqref="V1671:V1680">
    <cfRule type="expression" dxfId="3279" priority="3727">
      <formula>#REF! = "produs"</formula>
    </cfRule>
    <cfRule type="expression" dxfId="3278" priority="3728">
      <formula>#REF! = "obiectiv"</formula>
    </cfRule>
  </conditionalFormatting>
  <conditionalFormatting sqref="J1178:K1179 K1180 J1181:K1187 Q1178:IU1187">
    <cfRule type="expression" dxfId="3277" priority="3725">
      <formula>#REF! = "produs"</formula>
    </cfRule>
    <cfRule type="expression" dxfId="3276" priority="3726">
      <formula>#REF! = "obiectiv"</formula>
    </cfRule>
  </conditionalFormatting>
  <conditionalFormatting sqref="J1179 J1186:J1187 J1184 J1182">
    <cfRule type="expression" dxfId="3275" priority="3719">
      <formula>#REF! = "produs"</formula>
    </cfRule>
    <cfRule type="expression" dxfId="3274" priority="3720">
      <formula>#REF! = "obiectiv"</formula>
    </cfRule>
  </conditionalFormatting>
  <conditionalFormatting sqref="J1181">
    <cfRule type="expression" dxfId="3273" priority="3709">
      <formula>#REF! = "produs"</formula>
    </cfRule>
    <cfRule type="expression" dxfId="3272" priority="3710">
      <formula>#REF! = "obiectiv"</formula>
    </cfRule>
  </conditionalFormatting>
  <conditionalFormatting sqref="J1185">
    <cfRule type="expression" dxfId="3271" priority="3715">
      <formula>#REF! = "produs"</formula>
    </cfRule>
    <cfRule type="expression" dxfId="3270" priority="3716">
      <formula>#REF! = "obiectiv"</formula>
    </cfRule>
  </conditionalFormatting>
  <conditionalFormatting sqref="W1179:IU1180 W1182:IU1187">
    <cfRule type="expression" dxfId="3269" priority="3723">
      <formula>#REF! = "produs"</formula>
    </cfRule>
    <cfRule type="expression" dxfId="3268" priority="3724">
      <formula>#REF! = "obiectiv"</formula>
    </cfRule>
  </conditionalFormatting>
  <conditionalFormatting sqref="K1179:K1180 K1182:K1187">
    <cfRule type="expression" dxfId="3267" priority="3721">
      <formula>#REF! = "produs"</formula>
    </cfRule>
    <cfRule type="expression" dxfId="3266" priority="3722">
      <formula>#REF! = "obiectiv"</formula>
    </cfRule>
  </conditionalFormatting>
  <conditionalFormatting sqref="J1183">
    <cfRule type="expression" dxfId="3265" priority="3713">
      <formula>#REF! = "produs"</formula>
    </cfRule>
    <cfRule type="expression" dxfId="3264" priority="3714">
      <formula>#REF! = "obiectiv"</formula>
    </cfRule>
  </conditionalFormatting>
  <conditionalFormatting sqref="Q1187:U1187 Q1179:U1179">
    <cfRule type="expression" dxfId="3263" priority="3717">
      <formula>#REF! = "produs"</formula>
    </cfRule>
    <cfRule type="expression" dxfId="3262" priority="3718">
      <formula>#REF! = "obiectiv"</formula>
    </cfRule>
  </conditionalFormatting>
  <conditionalFormatting sqref="K1181 W1181:IU1181">
    <cfRule type="expression" dxfId="3261" priority="3711">
      <formula>#REF! = "produs"</formula>
    </cfRule>
    <cfRule type="expression" dxfId="3260" priority="3712">
      <formula>#REF! = "obiectiv"</formula>
    </cfRule>
  </conditionalFormatting>
  <conditionalFormatting sqref="J1178">
    <cfRule type="expression" dxfId="3259" priority="3707">
      <formula>#REF! = "produs"</formula>
    </cfRule>
    <cfRule type="expression" dxfId="3258" priority="3708">
      <formula>#REF! = "obiectiv"</formula>
    </cfRule>
  </conditionalFormatting>
  <conditionalFormatting sqref="Q1180:U1186">
    <cfRule type="expression" dxfId="3257" priority="3705">
      <formula>#REF! = "produs"</formula>
    </cfRule>
    <cfRule type="expression" dxfId="3256" priority="3706">
      <formula>#REF! = "obiectiv"</formula>
    </cfRule>
  </conditionalFormatting>
  <conditionalFormatting sqref="Q1178:U1178">
    <cfRule type="expression" dxfId="3255" priority="3703">
      <formula>#REF! = "produs"</formula>
    </cfRule>
    <cfRule type="expression" dxfId="3254" priority="3704">
      <formula>#REF! = "obiectiv"</formula>
    </cfRule>
  </conditionalFormatting>
  <conditionalFormatting sqref="H1178">
    <cfRule type="expression" dxfId="3253" priority="3701">
      <formula>#REF! = "produs"</formula>
    </cfRule>
    <cfRule type="expression" dxfId="3252" priority="3702">
      <formula>#REF! = "obiectiv"</formula>
    </cfRule>
  </conditionalFormatting>
  <conditionalFormatting sqref="G1178">
    <cfRule type="expression" dxfId="3251" priority="3699">
      <formula>#REF! = "produs"</formula>
    </cfRule>
    <cfRule type="expression" dxfId="3250" priority="3700">
      <formula>#REF! = "obiectiv"</formula>
    </cfRule>
  </conditionalFormatting>
  <conditionalFormatting sqref="K1180 J1181:K1187 J1178:K1179 Q1178:IU1187">
    <cfRule type="expression" dxfId="3249" priority="3697">
      <formula>#REF! = "produs"</formula>
    </cfRule>
    <cfRule type="expression" dxfId="3248" priority="3698">
      <formula>#REF! = "obiectiv"</formula>
    </cfRule>
  </conditionalFormatting>
  <conditionalFormatting sqref="J1180">
    <cfRule type="expression" dxfId="3247" priority="3695">
      <formula>#REF! = "produs"</formula>
    </cfRule>
    <cfRule type="expression" dxfId="3246" priority="3696">
      <formula>#REF! = "obiectiv"</formula>
    </cfRule>
  </conditionalFormatting>
  <conditionalFormatting sqref="L1181:P1181">
    <cfRule type="expression" dxfId="3245" priority="3685">
      <formula>#REF! = "produs"</formula>
    </cfRule>
    <cfRule type="expression" dxfId="3244" priority="3686">
      <formula>#REF! = "obiectiv"</formula>
    </cfRule>
  </conditionalFormatting>
  <conditionalFormatting sqref="L1186:P1187 L1179:P1180 L1182:P1183">
    <cfRule type="expression" dxfId="3243" priority="3691">
      <formula>#REF! = "produs"</formula>
    </cfRule>
    <cfRule type="expression" dxfId="3242" priority="3692">
      <formula>#REF! = "obiectiv"</formula>
    </cfRule>
  </conditionalFormatting>
  <conditionalFormatting sqref="L1185:P1185">
    <cfRule type="expression" dxfId="3241" priority="3689">
      <formula>#REF! = "produs"</formula>
    </cfRule>
    <cfRule type="expression" dxfId="3240" priority="3690">
      <formula>#REF! = "obiectiv"</formula>
    </cfRule>
  </conditionalFormatting>
  <conditionalFormatting sqref="L1184:P1184">
    <cfRule type="expression" dxfId="3239" priority="3687">
      <formula>#REF! = "produs"</formula>
    </cfRule>
    <cfRule type="expression" dxfId="3238" priority="3688">
      <formula>#REF! = "obiectiv"</formula>
    </cfRule>
  </conditionalFormatting>
  <conditionalFormatting sqref="L1178:P1187">
    <cfRule type="expression" dxfId="3237" priority="3683">
      <formula>#REF! = "produs"</formula>
    </cfRule>
    <cfRule type="expression" dxfId="3236" priority="3684">
      <formula>#REF! = "obiectiv"</formula>
    </cfRule>
  </conditionalFormatting>
  <conditionalFormatting sqref="J1156:K1157 J1159:K1165 K1158 Q1156:IU1165">
    <cfRule type="expression" dxfId="3235" priority="3681">
      <formula>#REF! = "produs"</formula>
    </cfRule>
    <cfRule type="expression" dxfId="3234" priority="3682">
      <formula>#REF! = "obiectiv"</formula>
    </cfRule>
  </conditionalFormatting>
  <conditionalFormatting sqref="Q1156:U1165">
    <cfRule type="expression" dxfId="3233" priority="3671">
      <formula>#REF! = "produs"</formula>
    </cfRule>
    <cfRule type="expression" dxfId="3232" priority="3672">
      <formula>#REF! = "obiectiv"</formula>
    </cfRule>
  </conditionalFormatting>
  <conditionalFormatting sqref="V1156:V1165">
    <cfRule type="expression" dxfId="3231" priority="3679">
      <formula>#REF! = "produs"</formula>
    </cfRule>
    <cfRule type="expression" dxfId="3230" priority="3680">
      <formula>#REF! = "obiectiv"</formula>
    </cfRule>
  </conditionalFormatting>
  <conditionalFormatting sqref="J1156:J1157 J1159:J1165">
    <cfRule type="expression" dxfId="3229" priority="3673">
      <formula>#REF! = "produs"</formula>
    </cfRule>
    <cfRule type="expression" dxfId="3228" priority="3674">
      <formula>#REF! = "obiectiv"</formula>
    </cfRule>
  </conditionalFormatting>
  <conditionalFormatting sqref="W1156:IU1165">
    <cfRule type="expression" dxfId="3227" priority="3677">
      <formula>#REF! = "produs"</formula>
    </cfRule>
    <cfRule type="expression" dxfId="3226" priority="3678">
      <formula>#REF! = "obiectiv"</formula>
    </cfRule>
  </conditionalFormatting>
  <conditionalFormatting sqref="K1156:K1165">
    <cfRule type="expression" dxfId="3225" priority="3675">
      <formula>#REF! = "produs"</formula>
    </cfRule>
    <cfRule type="expression" dxfId="3224" priority="3676">
      <formula>#REF! = "obiectiv"</formula>
    </cfRule>
  </conditionalFormatting>
  <conditionalFormatting sqref="J1156:J1157 J1159:J1165">
    <cfRule type="expression" dxfId="3223" priority="3665">
      <formula>#REF! = "produs"</formula>
    </cfRule>
    <cfRule type="expression" dxfId="3222" priority="3666">
      <formula>#REF! = "obiectiv"</formula>
    </cfRule>
  </conditionalFormatting>
  <conditionalFormatting sqref="W1156:IU1165">
    <cfRule type="expression" dxfId="3221" priority="3669">
      <formula>#REF! = "produs"</formula>
    </cfRule>
    <cfRule type="expression" dxfId="3220" priority="3670">
      <formula>#REF! = "obiectiv"</formula>
    </cfRule>
  </conditionalFormatting>
  <conditionalFormatting sqref="K1156:K1165">
    <cfRule type="expression" dxfId="3219" priority="3667">
      <formula>#REF! = "produs"</formula>
    </cfRule>
    <cfRule type="expression" dxfId="3218" priority="3668">
      <formula>#REF! = "obiectiv"</formula>
    </cfRule>
  </conditionalFormatting>
  <conditionalFormatting sqref="Q1156:U1165">
    <cfRule type="expression" dxfId="3217" priority="3663">
      <formula>#REF! = "produs"</formula>
    </cfRule>
    <cfRule type="expression" dxfId="3216" priority="3664">
      <formula>#REF! = "obiectiv"</formula>
    </cfRule>
  </conditionalFormatting>
  <conditionalFormatting sqref="V1156:V1165">
    <cfRule type="expression" dxfId="3215" priority="3661">
      <formula>#REF! = "produs"</formula>
    </cfRule>
    <cfRule type="expression" dxfId="3214" priority="3662">
      <formula>#REF! = "obiectiv"</formula>
    </cfRule>
  </conditionalFormatting>
  <conditionalFormatting sqref="J1159">
    <cfRule type="expression" dxfId="3213" priority="3645">
      <formula>#REF! = "produs"</formula>
    </cfRule>
    <cfRule type="expression" dxfId="3212" priority="3646">
      <formula>#REF! = "obiectiv"</formula>
    </cfRule>
  </conditionalFormatting>
  <conditionalFormatting sqref="J1161">
    <cfRule type="expression" dxfId="3211" priority="3649">
      <formula>#REF! = "produs"</formula>
    </cfRule>
    <cfRule type="expression" dxfId="3210" priority="3650">
      <formula>#REF! = "obiectiv"</formula>
    </cfRule>
  </conditionalFormatting>
  <conditionalFormatting sqref="J1163">
    <cfRule type="expression" dxfId="3209" priority="3651">
      <formula>#REF! = "produs"</formula>
    </cfRule>
    <cfRule type="expression" dxfId="3208" priority="3652">
      <formula>#REF! = "obiectiv"</formula>
    </cfRule>
  </conditionalFormatting>
  <conditionalFormatting sqref="J1157 J1164:J1165 J1162 J1160">
    <cfRule type="expression" dxfId="3207" priority="3655">
      <formula>#REF! = "produs"</formula>
    </cfRule>
    <cfRule type="expression" dxfId="3206" priority="3656">
      <formula>#REF! = "obiectiv"</formula>
    </cfRule>
  </conditionalFormatting>
  <conditionalFormatting sqref="W1157:IU1158 W1160:IU1165">
    <cfRule type="expression" dxfId="3205" priority="3659">
      <formula>#REF! = "produs"</formula>
    </cfRule>
    <cfRule type="expression" dxfId="3204" priority="3660">
      <formula>#REF! = "obiectiv"</formula>
    </cfRule>
  </conditionalFormatting>
  <conditionalFormatting sqref="K1157:K1158 K1160:K1165">
    <cfRule type="expression" dxfId="3203" priority="3657">
      <formula>#REF! = "produs"</formula>
    </cfRule>
    <cfRule type="expression" dxfId="3202" priority="3658">
      <formula>#REF! = "obiectiv"</formula>
    </cfRule>
  </conditionalFormatting>
  <conditionalFormatting sqref="Q1165:U1165 Q1157:U1157">
    <cfRule type="expression" dxfId="3201" priority="3653">
      <formula>#REF! = "produs"</formula>
    </cfRule>
    <cfRule type="expression" dxfId="3200" priority="3654">
      <formula>#REF! = "obiectiv"</formula>
    </cfRule>
  </conditionalFormatting>
  <conditionalFormatting sqref="K1159 W1159:IU1159">
    <cfRule type="expression" dxfId="3199" priority="3647">
      <formula>#REF! = "produs"</formula>
    </cfRule>
    <cfRule type="expression" dxfId="3198" priority="3648">
      <formula>#REF! = "obiectiv"</formula>
    </cfRule>
  </conditionalFormatting>
  <conditionalFormatting sqref="J1156">
    <cfRule type="expression" dxfId="3197" priority="3643">
      <formula>#REF! = "produs"</formula>
    </cfRule>
    <cfRule type="expression" dxfId="3196" priority="3644">
      <formula>#REF! = "obiectiv"</formula>
    </cfRule>
  </conditionalFormatting>
  <conditionalFormatting sqref="Q1158:U1164">
    <cfRule type="expression" dxfId="3195" priority="3641">
      <formula>#REF! = "produs"</formula>
    </cfRule>
    <cfRule type="expression" dxfId="3194" priority="3642">
      <formula>#REF! = "obiectiv"</formula>
    </cfRule>
  </conditionalFormatting>
  <conditionalFormatting sqref="Q1156:U1156">
    <cfRule type="expression" dxfId="3193" priority="3639">
      <formula>#REF! = "produs"</formula>
    </cfRule>
    <cfRule type="expression" dxfId="3192" priority="3640">
      <formula>#REF! = "obiectiv"</formula>
    </cfRule>
  </conditionalFormatting>
  <conditionalFormatting sqref="G1156">
    <cfRule type="expression" dxfId="3191" priority="3637">
      <formula>#REF! = "produs"</formula>
    </cfRule>
    <cfRule type="expression" dxfId="3190" priority="3638">
      <formula>#REF! = "obiectiv"</formula>
    </cfRule>
  </conditionalFormatting>
  <conditionalFormatting sqref="H1156">
    <cfRule type="expression" dxfId="3189" priority="3635">
      <formula>#REF! = "produs"</formula>
    </cfRule>
    <cfRule type="expression" dxfId="3188" priority="3636">
      <formula>#REF! = "obiectiv"</formula>
    </cfRule>
  </conditionalFormatting>
  <conditionalFormatting sqref="J1158">
    <cfRule type="expression" dxfId="3187" priority="3633">
      <formula>#REF! = "produs"</formula>
    </cfRule>
    <cfRule type="expression" dxfId="3186" priority="3634">
      <formula>#REF! = "obiectiv"</formula>
    </cfRule>
  </conditionalFormatting>
  <conditionalFormatting sqref="L1156:P1165">
    <cfRule type="expression" dxfId="3185" priority="3631">
      <formula>#REF! = "produs"</formula>
    </cfRule>
    <cfRule type="expression" dxfId="3184" priority="3632">
      <formula>#REF! = "obiectiv"</formula>
    </cfRule>
  </conditionalFormatting>
  <conditionalFormatting sqref="L1156:P1165">
    <cfRule type="expression" dxfId="3183" priority="3629">
      <formula>#REF! = "produs"</formula>
    </cfRule>
    <cfRule type="expression" dxfId="3182" priority="3630">
      <formula>#REF! = "obiectiv"</formula>
    </cfRule>
  </conditionalFormatting>
  <conditionalFormatting sqref="L1156:P1165">
    <cfRule type="expression" dxfId="3181" priority="3627">
      <formula>#REF! = "produs"</formula>
    </cfRule>
    <cfRule type="expression" dxfId="3180" priority="3628">
      <formula>#REF! = "obiectiv"</formula>
    </cfRule>
  </conditionalFormatting>
  <conditionalFormatting sqref="L1164:P1165 L1160:P1161 L1157:P1158">
    <cfRule type="expression" dxfId="3179" priority="3625">
      <formula>#REF! = "produs"</formula>
    </cfRule>
    <cfRule type="expression" dxfId="3178" priority="3626">
      <formula>#REF! = "obiectiv"</formula>
    </cfRule>
  </conditionalFormatting>
  <conditionalFormatting sqref="L1163:P1163">
    <cfRule type="expression" dxfId="3177" priority="3623">
      <formula>#REF! = "produs"</formula>
    </cfRule>
    <cfRule type="expression" dxfId="3176" priority="3624">
      <formula>#REF! = "obiectiv"</formula>
    </cfRule>
  </conditionalFormatting>
  <conditionalFormatting sqref="L1162:P1162">
    <cfRule type="expression" dxfId="3175" priority="3621">
      <formula>#REF! = "produs"</formula>
    </cfRule>
    <cfRule type="expression" dxfId="3174" priority="3622">
      <formula>#REF! = "obiectiv"</formula>
    </cfRule>
  </conditionalFormatting>
  <conditionalFormatting sqref="L1159:P1159">
    <cfRule type="expression" dxfId="3173" priority="3619">
      <formula>#REF! = "produs"</formula>
    </cfRule>
    <cfRule type="expression" dxfId="3172" priority="3620">
      <formula>#REF! = "obiectiv"</formula>
    </cfRule>
  </conditionalFormatting>
  <conditionalFormatting sqref="V1351:V1360">
    <cfRule type="expression" dxfId="3171" priority="3615">
      <formula>#REF! = "produs"</formula>
    </cfRule>
    <cfRule type="expression" dxfId="3170" priority="3616">
      <formula>#REF! = "obiectiv"</formula>
    </cfRule>
  </conditionalFormatting>
  <conditionalFormatting sqref="K1353:IU1353 J1354:IU1360 J1351:IU1352">
    <cfRule type="expression" dxfId="3169" priority="3617">
      <formula>#REF! = "produs"</formula>
    </cfRule>
    <cfRule type="expression" dxfId="3168" priority="3618">
      <formula>#REF! = "obiectiv"</formula>
    </cfRule>
  </conditionalFormatting>
  <conditionalFormatting sqref="J1358">
    <cfRule type="expression" dxfId="3167" priority="3605">
      <formula>#REF! = "produs"</formula>
    </cfRule>
    <cfRule type="expression" dxfId="3166" priority="3606">
      <formula>#REF! = "obiectiv"</formula>
    </cfRule>
  </conditionalFormatting>
  <conditionalFormatting sqref="J1354">
    <cfRule type="expression" dxfId="3165" priority="3595">
      <formula>#REF! = "produs"</formula>
    </cfRule>
    <cfRule type="expression" dxfId="3164" priority="3596">
      <formula>#REF! = "obiectiv"</formula>
    </cfRule>
  </conditionalFormatting>
  <conditionalFormatting sqref="J1352 J1359:J1360 J1357 J1355">
    <cfRule type="expression" dxfId="3163" priority="3609">
      <formula>#REF! = "produs"</formula>
    </cfRule>
    <cfRule type="expression" dxfId="3162" priority="3610">
      <formula>#REF! = "obiectiv"</formula>
    </cfRule>
  </conditionalFormatting>
  <conditionalFormatting sqref="J1356">
    <cfRule type="expression" dxfId="3161" priority="3599">
      <formula>#REF! = "produs"</formula>
    </cfRule>
    <cfRule type="expression" dxfId="3160" priority="3600">
      <formula>#REF! = "obiectiv"</formula>
    </cfRule>
  </conditionalFormatting>
  <conditionalFormatting sqref="W1352:IU1353 W1355:IU1360">
    <cfRule type="expression" dxfId="3159" priority="3613">
      <formula>#REF! = "produs"</formula>
    </cfRule>
    <cfRule type="expression" dxfId="3158" priority="3614">
      <formula>#REF! = "obiectiv"</formula>
    </cfRule>
  </conditionalFormatting>
  <conditionalFormatting sqref="K1352:K1353 K1355:K1360">
    <cfRule type="expression" dxfId="3157" priority="3611">
      <formula>#REF! = "produs"</formula>
    </cfRule>
    <cfRule type="expression" dxfId="3156" priority="3612">
      <formula>#REF! = "obiectiv"</formula>
    </cfRule>
  </conditionalFormatting>
  <conditionalFormatting sqref="L1360:U1360 L1359:P1359 L1352:U1352 L1353:P1353 L1355:P1356">
    <cfRule type="expression" dxfId="3155" priority="3607">
      <formula>#REF! = "produs"</formula>
    </cfRule>
    <cfRule type="expression" dxfId="3154" priority="3608">
      <formula>#REF! = "obiectiv"</formula>
    </cfRule>
  </conditionalFormatting>
  <conditionalFormatting sqref="L1358:P1358">
    <cfRule type="expression" dxfId="3153" priority="3603">
      <formula>#REF! = "produs"</formula>
    </cfRule>
    <cfRule type="expression" dxfId="3152" priority="3604">
      <formula>#REF! = "obiectiv"</formula>
    </cfRule>
  </conditionalFormatting>
  <conditionalFormatting sqref="L1357:P1357">
    <cfRule type="expression" dxfId="3151" priority="3601">
      <formula>#REF! = "produs"</formula>
    </cfRule>
    <cfRule type="expression" dxfId="3150" priority="3602">
      <formula>#REF! = "obiectiv"</formula>
    </cfRule>
  </conditionalFormatting>
  <conditionalFormatting sqref="K1354:P1354 W1354:IU1354">
    <cfRule type="expression" dxfId="3149" priority="3597">
      <formula>#REF! = "produs"</formula>
    </cfRule>
    <cfRule type="expression" dxfId="3148" priority="3598">
      <formula>#REF! = "obiectiv"</formula>
    </cfRule>
  </conditionalFormatting>
  <conditionalFormatting sqref="J1351">
    <cfRule type="expression" dxfId="3147" priority="3593">
      <formula>#REF! = "produs"</formula>
    </cfRule>
    <cfRule type="expression" dxfId="3146" priority="3594">
      <formula>#REF! = "obiectiv"</formula>
    </cfRule>
  </conditionalFormatting>
  <conditionalFormatting sqref="Q1353:U1359">
    <cfRule type="expression" dxfId="3145" priority="3591">
      <formula>#REF! = "produs"</formula>
    </cfRule>
    <cfRule type="expression" dxfId="3144" priority="3592">
      <formula>#REF! = "obiectiv"</formula>
    </cfRule>
  </conditionalFormatting>
  <conditionalFormatting sqref="Q1351:U1351">
    <cfRule type="expression" dxfId="3143" priority="3589">
      <formula>#REF! = "produs"</formula>
    </cfRule>
    <cfRule type="expression" dxfId="3142" priority="3590">
      <formula>#REF! = "obiectiv"</formula>
    </cfRule>
  </conditionalFormatting>
  <conditionalFormatting sqref="H1351">
    <cfRule type="expression" dxfId="3141" priority="3587">
      <formula>#REF! = "produs"</formula>
    </cfRule>
    <cfRule type="expression" dxfId="3140" priority="3588">
      <formula>#REF! = "obiectiv"</formula>
    </cfRule>
  </conditionalFormatting>
  <conditionalFormatting sqref="G1351">
    <cfRule type="expression" dxfId="3139" priority="3585">
      <formula>#REF! = "produs"</formula>
    </cfRule>
    <cfRule type="expression" dxfId="3138" priority="3586">
      <formula>#REF! = "obiectiv"</formula>
    </cfRule>
  </conditionalFormatting>
  <conditionalFormatting sqref="J1353">
    <cfRule type="expression" dxfId="3137" priority="3583">
      <formula>#REF! = "produs"</formula>
    </cfRule>
    <cfRule type="expression" dxfId="3136" priority="3584">
      <formula>#REF! = "obiectiv"</formula>
    </cfRule>
  </conditionalFormatting>
  <conditionalFormatting sqref="V1391:V1400">
    <cfRule type="expression" dxfId="3135" priority="3579">
      <formula>#REF! = "produs"</formula>
    </cfRule>
    <cfRule type="expression" dxfId="3134" priority="3580">
      <formula>#REF! = "obiectiv"</formula>
    </cfRule>
  </conditionalFormatting>
  <conditionalFormatting sqref="K1393:IU1393 J1391:IU1392 J1394:IU1400">
    <cfRule type="expression" dxfId="3133" priority="3581">
      <formula>#REF! = "produs"</formula>
    </cfRule>
    <cfRule type="expression" dxfId="3132" priority="3582">
      <formula>#REF! = "obiectiv"</formula>
    </cfRule>
  </conditionalFormatting>
  <conditionalFormatting sqref="J1398">
    <cfRule type="expression" dxfId="3131" priority="3569">
      <formula>#REF! = "produs"</formula>
    </cfRule>
    <cfRule type="expression" dxfId="3130" priority="3570">
      <formula>#REF! = "obiectiv"</formula>
    </cfRule>
  </conditionalFormatting>
  <conditionalFormatting sqref="J1394">
    <cfRule type="expression" dxfId="3129" priority="3559">
      <formula>#REF! = "produs"</formula>
    </cfRule>
    <cfRule type="expression" dxfId="3128" priority="3560">
      <formula>#REF! = "obiectiv"</formula>
    </cfRule>
  </conditionalFormatting>
  <conditionalFormatting sqref="J1392 J1399:J1400 J1397 J1395">
    <cfRule type="expression" dxfId="3127" priority="3573">
      <formula>#REF! = "produs"</formula>
    </cfRule>
    <cfRule type="expression" dxfId="3126" priority="3574">
      <formula>#REF! = "obiectiv"</formula>
    </cfRule>
  </conditionalFormatting>
  <conditionalFormatting sqref="K1392:K1393 K1395:K1400">
    <cfRule type="expression" dxfId="3125" priority="3575">
      <formula>#REF! = "produs"</formula>
    </cfRule>
    <cfRule type="expression" dxfId="3124" priority="3576">
      <formula>#REF! = "obiectiv"</formula>
    </cfRule>
  </conditionalFormatting>
  <conditionalFormatting sqref="J1396">
    <cfRule type="expression" dxfId="3123" priority="3563">
      <formula>#REF! = "produs"</formula>
    </cfRule>
    <cfRule type="expression" dxfId="3122" priority="3564">
      <formula>#REF! = "obiectiv"</formula>
    </cfRule>
  </conditionalFormatting>
  <conditionalFormatting sqref="W1392:IU1393 W1395:IU1400">
    <cfRule type="expression" dxfId="3121" priority="3577">
      <formula>#REF! = "produs"</formula>
    </cfRule>
    <cfRule type="expression" dxfId="3120" priority="3578">
      <formula>#REF! = "obiectiv"</formula>
    </cfRule>
  </conditionalFormatting>
  <conditionalFormatting sqref="L1399:P1399 L1392:U1392 L1393:P1393 L1400:U1400 L1395:P1396">
    <cfRule type="expression" dxfId="3119" priority="3571">
      <formula>#REF! = "produs"</formula>
    </cfRule>
    <cfRule type="expression" dxfId="3118" priority="3572">
      <formula>#REF! = "obiectiv"</formula>
    </cfRule>
  </conditionalFormatting>
  <conditionalFormatting sqref="L1398:P1398">
    <cfRule type="expression" dxfId="3117" priority="3567">
      <formula>#REF! = "produs"</formula>
    </cfRule>
    <cfRule type="expression" dxfId="3116" priority="3568">
      <formula>#REF! = "obiectiv"</formula>
    </cfRule>
  </conditionalFormatting>
  <conditionalFormatting sqref="L1397:P1397">
    <cfRule type="expression" dxfId="3115" priority="3565">
      <formula>#REF! = "produs"</formula>
    </cfRule>
    <cfRule type="expression" dxfId="3114" priority="3566">
      <formula>#REF! = "obiectiv"</formula>
    </cfRule>
  </conditionalFormatting>
  <conditionalFormatting sqref="K1394:P1394 W1394:IU1394">
    <cfRule type="expression" dxfId="3113" priority="3561">
      <formula>#REF! = "produs"</formula>
    </cfRule>
    <cfRule type="expression" dxfId="3112" priority="3562">
      <formula>#REF! = "obiectiv"</formula>
    </cfRule>
  </conditionalFormatting>
  <conditionalFormatting sqref="J1391">
    <cfRule type="expression" dxfId="3111" priority="3557">
      <formula>#REF! = "produs"</formula>
    </cfRule>
    <cfRule type="expression" dxfId="3110" priority="3558">
      <formula>#REF! = "obiectiv"</formula>
    </cfRule>
  </conditionalFormatting>
  <conditionalFormatting sqref="Q1393:U1399">
    <cfRule type="expression" dxfId="3109" priority="3555">
      <formula>#REF! = "produs"</formula>
    </cfRule>
    <cfRule type="expression" dxfId="3108" priority="3556">
      <formula>#REF! = "obiectiv"</formula>
    </cfRule>
  </conditionalFormatting>
  <conditionalFormatting sqref="Q1391:U1391">
    <cfRule type="expression" dxfId="3107" priority="3553">
      <formula>#REF! = "produs"</formula>
    </cfRule>
    <cfRule type="expression" dxfId="3106" priority="3554">
      <formula>#REF! = "obiectiv"</formula>
    </cfRule>
  </conditionalFormatting>
  <conditionalFormatting sqref="V458:IU467">
    <cfRule type="expression" dxfId="3105" priority="3429">
      <formula>#REF! = "produs"</formula>
    </cfRule>
    <cfRule type="expression" dxfId="3104" priority="3430">
      <formula>#REF! = "obiectiv"</formula>
    </cfRule>
  </conditionalFormatting>
  <conditionalFormatting sqref="K460 F463:G467 F458:H462 V458:IU467">
    <cfRule type="expression" dxfId="3103" priority="3431">
      <formula>#REF! = "produs"</formula>
    </cfRule>
    <cfRule type="expression" dxfId="3102" priority="3432">
      <formula>#REF! = "obiectiv"</formula>
    </cfRule>
  </conditionalFormatting>
  <conditionalFormatting sqref="J458:J459 J461:J467">
    <cfRule type="expression" dxfId="3101" priority="3425">
      <formula>#REF! = "produs"</formula>
    </cfRule>
    <cfRule type="expression" dxfId="3100" priority="3426">
      <formula>#REF! = "obiectiv"</formula>
    </cfRule>
  </conditionalFormatting>
  <conditionalFormatting sqref="K458:K467">
    <cfRule type="expression" dxfId="3099" priority="3427">
      <formula>#REF! = "produs"</formula>
    </cfRule>
    <cfRule type="expression" dxfId="3098" priority="3428">
      <formula>#REF! = "obiectiv"</formula>
    </cfRule>
  </conditionalFormatting>
  <conditionalFormatting sqref="Q458:U467">
    <cfRule type="expression" dxfId="3097" priority="3423">
      <formula>#REF! = "produs"</formula>
    </cfRule>
    <cfRule type="expression" dxfId="3096" priority="3424">
      <formula>#REF! = "obiectiv"</formula>
    </cfRule>
  </conditionalFormatting>
  <conditionalFormatting sqref="V458:V467">
    <cfRule type="expression" dxfId="3095" priority="3421">
      <formula>#REF! = "produs"</formula>
    </cfRule>
    <cfRule type="expression" dxfId="3094" priority="3422">
      <formula>#REF! = "obiectiv"</formula>
    </cfRule>
  </conditionalFormatting>
  <conditionalFormatting sqref="J463">
    <cfRule type="expression" dxfId="3093" priority="3409">
      <formula>#REF! = "produs"</formula>
    </cfRule>
    <cfRule type="expression" dxfId="3092" priority="3410">
      <formula>#REF! = "obiectiv"</formula>
    </cfRule>
  </conditionalFormatting>
  <conditionalFormatting sqref="K462:K467 K459:K460">
    <cfRule type="expression" dxfId="3091" priority="3417">
      <formula>#REF! = "produs"</formula>
    </cfRule>
    <cfRule type="expression" dxfId="3090" priority="3418">
      <formula>#REF! = "obiectiv"</formula>
    </cfRule>
  </conditionalFormatting>
  <conditionalFormatting sqref="J461">
    <cfRule type="expression" dxfId="3089" priority="3405">
      <formula>#REF! = "produs"</formula>
    </cfRule>
    <cfRule type="expression" dxfId="3088" priority="3406">
      <formula>#REF! = "obiectiv"</formula>
    </cfRule>
  </conditionalFormatting>
  <conditionalFormatting sqref="W459:IU460 W462:IU467">
    <cfRule type="expression" dxfId="3087" priority="3419">
      <formula>#REF! = "produs"</formula>
    </cfRule>
    <cfRule type="expression" dxfId="3086" priority="3420">
      <formula>#REF! = "obiectiv"</formula>
    </cfRule>
  </conditionalFormatting>
  <conditionalFormatting sqref="J465">
    <cfRule type="expression" dxfId="3085" priority="3411">
      <formula>#REF! = "produs"</formula>
    </cfRule>
    <cfRule type="expression" dxfId="3084" priority="3412">
      <formula>#REF! = "obiectiv"</formula>
    </cfRule>
  </conditionalFormatting>
  <conditionalFormatting sqref="Q467:U467 Q459:U459">
    <cfRule type="expression" dxfId="3083" priority="3413">
      <formula>#REF! = "produs"</formula>
    </cfRule>
    <cfRule type="expression" dxfId="3082" priority="3414">
      <formula>#REF! = "obiectiv"</formula>
    </cfRule>
  </conditionalFormatting>
  <conditionalFormatting sqref="K461 W461:IU461">
    <cfRule type="expression" dxfId="3081" priority="3407">
      <formula>#REF! = "produs"</formula>
    </cfRule>
    <cfRule type="expression" dxfId="3080" priority="3408">
      <formula>#REF! = "obiectiv"</formula>
    </cfRule>
  </conditionalFormatting>
  <conditionalFormatting sqref="J459 J466:J467 J464 J462">
    <cfRule type="expression" dxfId="3079" priority="3415">
      <formula>#REF! = "produs"</formula>
    </cfRule>
    <cfRule type="expression" dxfId="3078" priority="3416">
      <formula>#REF! = "obiectiv"</formula>
    </cfRule>
  </conditionalFormatting>
  <conditionalFormatting sqref="J458">
    <cfRule type="expression" dxfId="3077" priority="3403">
      <formula>#REF! = "produs"</formula>
    </cfRule>
    <cfRule type="expression" dxfId="3076" priority="3404">
      <formula>#REF! = "obiectiv"</formula>
    </cfRule>
  </conditionalFormatting>
  <conditionalFormatting sqref="Q460:U466">
    <cfRule type="expression" dxfId="3075" priority="3401">
      <formula>#REF! = "produs"</formula>
    </cfRule>
    <cfRule type="expression" dxfId="3074" priority="3402">
      <formula>#REF! = "obiectiv"</formula>
    </cfRule>
  </conditionalFormatting>
  <conditionalFormatting sqref="Q458:U458">
    <cfRule type="expression" dxfId="3073" priority="3399">
      <formula>#REF! = "produs"</formula>
    </cfRule>
    <cfRule type="expression" dxfId="3072" priority="3400">
      <formula>#REF! = "obiectiv"</formula>
    </cfRule>
  </conditionalFormatting>
  <conditionalFormatting sqref="H458">
    <cfRule type="expression" dxfId="3071" priority="3397">
      <formula>#REF! = "produs"</formula>
    </cfRule>
    <cfRule type="expression" dxfId="3070" priority="3398">
      <formula>#REF! = "obiectiv"</formula>
    </cfRule>
  </conditionalFormatting>
  <conditionalFormatting sqref="Q458:U467">
    <cfRule type="expression" dxfId="3069" priority="3395">
      <formula>#REF! = "produs"</formula>
    </cfRule>
    <cfRule type="expression" dxfId="3068" priority="3396">
      <formula>#REF! = "obiectiv"</formula>
    </cfRule>
  </conditionalFormatting>
  <conditionalFormatting sqref="G458">
    <cfRule type="expression" dxfId="3067" priority="3393">
      <formula>#REF! = "produs"</formula>
    </cfRule>
    <cfRule type="expression" dxfId="3066" priority="3394">
      <formula>#REF! = "obiectiv"</formula>
    </cfRule>
  </conditionalFormatting>
  <conditionalFormatting sqref="J460">
    <cfRule type="expression" dxfId="3065" priority="3391">
      <formula>#REF! = "produs"</formula>
    </cfRule>
    <cfRule type="expression" dxfId="3064" priority="3392">
      <formula>#REF! = "obiectiv"</formula>
    </cfRule>
  </conditionalFormatting>
  <conditionalFormatting sqref="L465:P465">
    <cfRule type="expression" dxfId="3063" priority="3387">
      <formula>#REF! = "produs"</formula>
    </cfRule>
    <cfRule type="expression" dxfId="3062" priority="3388">
      <formula>#REF! = "obiectiv"</formula>
    </cfRule>
  </conditionalFormatting>
  <conditionalFormatting sqref="L466:P467 L462:P463">
    <cfRule type="expression" dxfId="3061" priority="3389">
      <formula>#REF! = "produs"</formula>
    </cfRule>
    <cfRule type="expression" dxfId="3060" priority="3390">
      <formula>#REF! = "obiectiv"</formula>
    </cfRule>
  </conditionalFormatting>
  <conditionalFormatting sqref="L464:P464">
    <cfRule type="expression" dxfId="3059" priority="3385">
      <formula>#REF! = "produs"</formula>
    </cfRule>
    <cfRule type="expression" dxfId="3058" priority="3386">
      <formula>#REF! = "obiectiv"</formula>
    </cfRule>
  </conditionalFormatting>
  <conditionalFormatting sqref="L461:P461">
    <cfRule type="expression" dxfId="3057" priority="3383">
      <formula>#REF! = "produs"</formula>
    </cfRule>
    <cfRule type="expression" dxfId="3056" priority="3384">
      <formula>#REF! = "obiectiv"</formula>
    </cfRule>
  </conditionalFormatting>
  <conditionalFormatting sqref="L459:P459">
    <cfRule type="expression" dxfId="3055" priority="3381">
      <formula>#REF! = "produs"</formula>
    </cfRule>
    <cfRule type="expression" dxfId="3054" priority="3382">
      <formula>#REF! = "obiectiv"</formula>
    </cfRule>
  </conditionalFormatting>
  <conditionalFormatting sqref="L460:P460">
    <cfRule type="expression" dxfId="3053" priority="3379">
      <formula>#REF! = "produs"</formula>
    </cfRule>
    <cfRule type="expression" dxfId="3052" priority="3380">
      <formula>#REF! = "obiectiv"</formula>
    </cfRule>
  </conditionalFormatting>
  <conditionalFormatting sqref="V499:IU508">
    <cfRule type="expression" dxfId="3051" priority="3225">
      <formula>#REF! = "produs"</formula>
    </cfRule>
    <cfRule type="expression" dxfId="3050" priority="3226">
      <formula>#REF! = "obiectiv"</formula>
    </cfRule>
  </conditionalFormatting>
  <conditionalFormatting sqref="K501 F504:G508 F499:H503 J499:K500 V499:IU508 J502:K508">
    <cfRule type="expression" dxfId="3049" priority="3227">
      <formula>#REF! = "produs"</formula>
    </cfRule>
    <cfRule type="expression" dxfId="3048" priority="3228">
      <formula>#REF! = "obiectiv"</formula>
    </cfRule>
  </conditionalFormatting>
  <conditionalFormatting sqref="J499:J500 J502:J508">
    <cfRule type="expression" dxfId="3047" priority="3221">
      <formula>#REF! = "produs"</formula>
    </cfRule>
    <cfRule type="expression" dxfId="3046" priority="3222">
      <formula>#REF! = "obiectiv"</formula>
    </cfRule>
  </conditionalFormatting>
  <conditionalFormatting sqref="K499:K508">
    <cfRule type="expression" dxfId="3045" priority="3223">
      <formula>#REF! = "produs"</formula>
    </cfRule>
    <cfRule type="expression" dxfId="3044" priority="3224">
      <formula>#REF! = "obiectiv"</formula>
    </cfRule>
  </conditionalFormatting>
  <conditionalFormatting sqref="L499:U508">
    <cfRule type="expression" dxfId="3043" priority="3219">
      <formula>#REF! = "produs"</formula>
    </cfRule>
    <cfRule type="expression" dxfId="3042" priority="3220">
      <formula>#REF! = "obiectiv"</formula>
    </cfRule>
  </conditionalFormatting>
  <conditionalFormatting sqref="V499:V508">
    <cfRule type="expression" dxfId="3041" priority="3217">
      <formula>#REF! = "produs"</formula>
    </cfRule>
    <cfRule type="expression" dxfId="3040" priority="3218">
      <formula>#REF! = "obiectiv"</formula>
    </cfRule>
  </conditionalFormatting>
  <conditionalFormatting sqref="J504">
    <cfRule type="expression" dxfId="3039" priority="3205">
      <formula>#REF! = "produs"</formula>
    </cfRule>
    <cfRule type="expression" dxfId="3038" priority="3206">
      <formula>#REF! = "obiectiv"</formula>
    </cfRule>
  </conditionalFormatting>
  <conditionalFormatting sqref="K500:K508">
    <cfRule type="expression" dxfId="3037" priority="3213">
      <formula>#REF! = "produs"</formula>
    </cfRule>
    <cfRule type="expression" dxfId="3036" priority="3214">
      <formula>#REF! = "obiectiv"</formula>
    </cfRule>
  </conditionalFormatting>
  <conditionalFormatting sqref="J502">
    <cfRule type="expression" dxfId="3035" priority="3201">
      <formula>#REF! = "produs"</formula>
    </cfRule>
    <cfRule type="expression" dxfId="3034" priority="3202">
      <formula>#REF! = "obiectiv"</formula>
    </cfRule>
  </conditionalFormatting>
  <conditionalFormatting sqref="J506">
    <cfRule type="expression" dxfId="3033" priority="3207">
      <formula>#REF! = "produs"</formula>
    </cfRule>
    <cfRule type="expression" dxfId="3032" priority="3208">
      <formula>#REF! = "obiectiv"</formula>
    </cfRule>
  </conditionalFormatting>
  <conditionalFormatting sqref="J500 J507:J508 J505 J503">
    <cfRule type="expression" dxfId="3031" priority="3211">
      <formula>#REF! = "produs"</formula>
    </cfRule>
    <cfRule type="expression" dxfId="3030" priority="3212">
      <formula>#REF! = "obiectiv"</formula>
    </cfRule>
  </conditionalFormatting>
  <conditionalFormatting sqref="W500:IU501 W503:IU508">
    <cfRule type="expression" dxfId="3029" priority="3215">
      <formula>#REF! = "produs"</formula>
    </cfRule>
    <cfRule type="expression" dxfId="3028" priority="3216">
      <formula>#REF! = "obiectiv"</formula>
    </cfRule>
  </conditionalFormatting>
  <conditionalFormatting sqref="L508:U508 L500:U500 L501:P501 L503:P507">
    <cfRule type="expression" dxfId="3027" priority="3209">
      <formula>#REF! = "produs"</formula>
    </cfRule>
    <cfRule type="expression" dxfId="3026" priority="3210">
      <formula>#REF! = "obiectiv"</formula>
    </cfRule>
  </conditionalFormatting>
  <conditionalFormatting sqref="W502:IU502 L501:P501 K502:P502">
    <cfRule type="expression" dxfId="3025" priority="3203">
      <formula>#REF! = "produs"</formula>
    </cfRule>
    <cfRule type="expression" dxfId="3024" priority="3204">
      <formula>#REF! = "obiectiv"</formula>
    </cfRule>
  </conditionalFormatting>
  <conditionalFormatting sqref="J499">
    <cfRule type="expression" dxfId="3023" priority="3199">
      <formula>#REF! = "produs"</formula>
    </cfRule>
    <cfRule type="expression" dxfId="3022" priority="3200">
      <formula>#REF! = "obiectiv"</formula>
    </cfRule>
  </conditionalFormatting>
  <conditionalFormatting sqref="Q501:U507">
    <cfRule type="expression" dxfId="3021" priority="3197">
      <formula>#REF! = "produs"</formula>
    </cfRule>
    <cfRule type="expression" dxfId="3020" priority="3198">
      <formula>#REF! = "obiectiv"</formula>
    </cfRule>
  </conditionalFormatting>
  <conditionalFormatting sqref="Q499:U499">
    <cfRule type="expression" dxfId="3019" priority="3195">
      <formula>#REF! = "produs"</formula>
    </cfRule>
    <cfRule type="expression" dxfId="3018" priority="3196">
      <formula>#REF! = "obiectiv"</formula>
    </cfRule>
  </conditionalFormatting>
  <conditionalFormatting sqref="H499">
    <cfRule type="expression" dxfId="3017" priority="3193">
      <formula>#REF! = "produs"</formula>
    </cfRule>
    <cfRule type="expression" dxfId="3016" priority="3194">
      <formula>#REF! = "obiectiv"</formula>
    </cfRule>
  </conditionalFormatting>
  <conditionalFormatting sqref="L499:U508">
    <cfRule type="expression" dxfId="3015" priority="3191">
      <formula>#REF! = "produs"</formula>
    </cfRule>
    <cfRule type="expression" dxfId="3014" priority="3192">
      <formula>#REF! = "obiectiv"</formula>
    </cfRule>
  </conditionalFormatting>
  <conditionalFormatting sqref="Q468:U477">
    <cfRule type="expression" dxfId="3013" priority="3289">
      <formula>#REF! = "produs"</formula>
    </cfRule>
    <cfRule type="expression" dxfId="3012" priority="3290">
      <formula>#REF! = "obiectiv"</formula>
    </cfRule>
  </conditionalFormatting>
  <conditionalFormatting sqref="G499">
    <cfRule type="expression" dxfId="3011" priority="3189">
      <formula>#REF! = "produs"</formula>
    </cfRule>
    <cfRule type="expression" dxfId="3010" priority="3190">
      <formula>#REF! = "obiectiv"</formula>
    </cfRule>
  </conditionalFormatting>
  <conditionalFormatting sqref="J501">
    <cfRule type="expression" dxfId="3009" priority="3187">
      <formula>#REF! = "produs"</formula>
    </cfRule>
    <cfRule type="expression" dxfId="3008" priority="3188">
      <formula>#REF! = "obiectiv"</formula>
    </cfRule>
  </conditionalFormatting>
  <conditionalFormatting sqref="K491 F489:F498 J489:K490 V489:IU498 J492:K498">
    <cfRule type="expression" dxfId="3007" priority="3183">
      <formula>#REF! = "produs"</formula>
    </cfRule>
    <cfRule type="expression" dxfId="3006" priority="3184">
      <formula>#REF! = "obiectiv"</formula>
    </cfRule>
  </conditionalFormatting>
  <conditionalFormatting sqref="L471:P471">
    <cfRule type="expression" dxfId="3005" priority="3279">
      <formula>#REF! = "produs"</formula>
    </cfRule>
    <cfRule type="expression" dxfId="3004" priority="3280">
      <formula>#REF! = "obiectiv"</formula>
    </cfRule>
  </conditionalFormatting>
  <conditionalFormatting sqref="V489:IU498">
    <cfRule type="expression" dxfId="3003" priority="3181">
      <formula>#REF! = "produs"</formula>
    </cfRule>
    <cfRule type="expression" dxfId="3002" priority="3182">
      <formula>#REF! = "obiectiv"</formula>
    </cfRule>
  </conditionalFormatting>
  <conditionalFormatting sqref="W469:IU470 W472:IU477">
    <cfRule type="expression" dxfId="3001" priority="3313">
      <formula>#REF! = "produs"</formula>
    </cfRule>
    <cfRule type="expression" dxfId="3000" priority="3314">
      <formula>#REF! = "obiectiv"</formula>
    </cfRule>
  </conditionalFormatting>
  <conditionalFormatting sqref="G468:G477">
    <cfRule type="expression" dxfId="2999" priority="3329">
      <formula>#REF! = "produs"</formula>
    </cfRule>
    <cfRule type="expression" dxfId="2998" priority="3330">
      <formula>#REF! = "obiectiv"</formula>
    </cfRule>
  </conditionalFormatting>
  <conditionalFormatting sqref="G468">
    <cfRule type="expression" dxfId="2997" priority="3327">
      <formula>#REF! = "produs"</formula>
    </cfRule>
    <cfRule type="expression" dxfId="2996" priority="3328">
      <formula>#REF! = "obiectiv"</formula>
    </cfRule>
  </conditionalFormatting>
  <conditionalFormatting sqref="V468:IU477">
    <cfRule type="expression" dxfId="2995" priority="3323">
      <formula>#REF! = "produs"</formula>
    </cfRule>
    <cfRule type="expression" dxfId="2994" priority="3324">
      <formula>#REF! = "obiectiv"</formula>
    </cfRule>
  </conditionalFormatting>
  <conditionalFormatting sqref="K470 F468:F477 V468:IU477 H468:H472">
    <cfRule type="expression" dxfId="2993" priority="3325">
      <formula>#REF! = "produs"</formula>
    </cfRule>
    <cfRule type="expression" dxfId="2992" priority="3326">
      <formula>#REF! = "obiectiv"</formula>
    </cfRule>
  </conditionalFormatting>
  <conditionalFormatting sqref="J471:J477 J468:J469">
    <cfRule type="expression" dxfId="2991" priority="3319">
      <formula>#REF! = "produs"</formula>
    </cfRule>
    <cfRule type="expression" dxfId="2990" priority="3320">
      <formula>#REF! = "obiectiv"</formula>
    </cfRule>
  </conditionalFormatting>
  <conditionalFormatting sqref="K468:K477">
    <cfRule type="expression" dxfId="2989" priority="3321">
      <formula>#REF! = "produs"</formula>
    </cfRule>
    <cfRule type="expression" dxfId="2988" priority="3322">
      <formula>#REF! = "obiectiv"</formula>
    </cfRule>
  </conditionalFormatting>
  <conditionalFormatting sqref="Q468:U477">
    <cfRule type="expression" dxfId="2987" priority="3317">
      <formula>#REF! = "produs"</formula>
    </cfRule>
    <cfRule type="expression" dxfId="2986" priority="3318">
      <formula>#REF! = "obiectiv"</formula>
    </cfRule>
  </conditionalFormatting>
  <conditionalFormatting sqref="V468:V477">
    <cfRule type="expression" dxfId="2985" priority="3315">
      <formula>#REF! = "produs"</formula>
    </cfRule>
    <cfRule type="expression" dxfId="2984" priority="3316">
      <formula>#REF! = "obiectiv"</formula>
    </cfRule>
  </conditionalFormatting>
  <conditionalFormatting sqref="J473">
    <cfRule type="expression" dxfId="2983" priority="3303">
      <formula>#REF! = "produs"</formula>
    </cfRule>
    <cfRule type="expression" dxfId="2982" priority="3304">
      <formula>#REF! = "obiectiv"</formula>
    </cfRule>
  </conditionalFormatting>
  <conditionalFormatting sqref="K469:K470 K472:K477">
    <cfRule type="expression" dxfId="2981" priority="3311">
      <formula>#REF! = "produs"</formula>
    </cfRule>
    <cfRule type="expression" dxfId="2980" priority="3312">
      <formula>#REF! = "obiectiv"</formula>
    </cfRule>
  </conditionalFormatting>
  <conditionalFormatting sqref="J471">
    <cfRule type="expression" dxfId="2979" priority="3299">
      <formula>#REF! = "produs"</formula>
    </cfRule>
    <cfRule type="expression" dxfId="2978" priority="3300">
      <formula>#REF! = "obiectiv"</formula>
    </cfRule>
  </conditionalFormatting>
  <conditionalFormatting sqref="J475">
    <cfRule type="expression" dxfId="2977" priority="3305">
      <formula>#REF! = "produs"</formula>
    </cfRule>
    <cfRule type="expression" dxfId="2976" priority="3306">
      <formula>#REF! = "obiectiv"</formula>
    </cfRule>
  </conditionalFormatting>
  <conditionalFormatting sqref="J469 J476:J477 J474 J472">
    <cfRule type="expression" dxfId="2975" priority="3309">
      <formula>#REF! = "produs"</formula>
    </cfRule>
    <cfRule type="expression" dxfId="2974" priority="3310">
      <formula>#REF! = "obiectiv"</formula>
    </cfRule>
  </conditionalFormatting>
  <conditionalFormatting sqref="Q477:U477 Q469:U469">
    <cfRule type="expression" dxfId="2973" priority="3307">
      <formula>#REF! = "produs"</formula>
    </cfRule>
    <cfRule type="expression" dxfId="2972" priority="3308">
      <formula>#REF! = "obiectiv"</formula>
    </cfRule>
  </conditionalFormatting>
  <conditionalFormatting sqref="K471 W471:IU471">
    <cfRule type="expression" dxfId="2971" priority="3301">
      <formula>#REF! = "produs"</formula>
    </cfRule>
    <cfRule type="expression" dxfId="2970" priority="3302">
      <formula>#REF! = "obiectiv"</formula>
    </cfRule>
  </conditionalFormatting>
  <conditionalFormatting sqref="J468">
    <cfRule type="expression" dxfId="2969" priority="3297">
      <formula>#REF! = "produs"</formula>
    </cfRule>
    <cfRule type="expression" dxfId="2968" priority="3298">
      <formula>#REF! = "obiectiv"</formula>
    </cfRule>
  </conditionalFormatting>
  <conditionalFormatting sqref="Q470:U476">
    <cfRule type="expression" dxfId="2967" priority="3295">
      <formula>#REF! = "produs"</formula>
    </cfRule>
    <cfRule type="expression" dxfId="2966" priority="3296">
      <formula>#REF! = "obiectiv"</formula>
    </cfRule>
  </conditionalFormatting>
  <conditionalFormatting sqref="Q468:U468">
    <cfRule type="expression" dxfId="2965" priority="3293">
      <formula>#REF! = "produs"</formula>
    </cfRule>
    <cfRule type="expression" dxfId="2964" priority="3294">
      <formula>#REF! = "obiectiv"</formula>
    </cfRule>
  </conditionalFormatting>
  <conditionalFormatting sqref="H468">
    <cfRule type="expression" dxfId="2963" priority="3291">
      <formula>#REF! = "produs"</formula>
    </cfRule>
    <cfRule type="expression" dxfId="2962" priority="3292">
      <formula>#REF! = "obiectiv"</formula>
    </cfRule>
  </conditionalFormatting>
  <conditionalFormatting sqref="J470">
    <cfRule type="expression" dxfId="2961" priority="3287">
      <formula>#REF! = "produs"</formula>
    </cfRule>
    <cfRule type="expression" dxfId="2960" priority="3288">
      <formula>#REF! = "obiectiv"</formula>
    </cfRule>
  </conditionalFormatting>
  <conditionalFormatting sqref="L475:P475">
    <cfRule type="expression" dxfId="2959" priority="3283">
      <formula>#REF! = "produs"</formula>
    </cfRule>
    <cfRule type="expression" dxfId="2958" priority="3284">
      <formula>#REF! = "obiectiv"</formula>
    </cfRule>
  </conditionalFormatting>
  <conditionalFormatting sqref="L476:P477 L472:P473">
    <cfRule type="expression" dxfId="2957" priority="3285">
      <formula>#REF! = "produs"</formula>
    </cfRule>
    <cfRule type="expression" dxfId="2956" priority="3286">
      <formula>#REF! = "obiectiv"</formula>
    </cfRule>
  </conditionalFormatting>
  <conditionalFormatting sqref="L474:P474">
    <cfRule type="expression" dxfId="2955" priority="3281">
      <formula>#REF! = "produs"</formula>
    </cfRule>
    <cfRule type="expression" dxfId="2954" priority="3282">
      <formula>#REF! = "obiectiv"</formula>
    </cfRule>
  </conditionalFormatting>
  <conditionalFormatting sqref="L469:P469">
    <cfRule type="expression" dxfId="2953" priority="3277">
      <formula>#REF! = "produs"</formula>
    </cfRule>
    <cfRule type="expression" dxfId="2952" priority="3278">
      <formula>#REF! = "obiectiv"</formula>
    </cfRule>
  </conditionalFormatting>
  <conditionalFormatting sqref="L470:P470">
    <cfRule type="expression" dxfId="2951" priority="3275">
      <formula>#REF! = "produs"</formula>
    </cfRule>
    <cfRule type="expression" dxfId="2950" priority="3276">
      <formula>#REF! = "obiectiv"</formula>
    </cfRule>
  </conditionalFormatting>
  <conditionalFormatting sqref="J616">
    <cfRule type="expression" dxfId="2949" priority="2169">
      <formula>#REF! = "produs"</formula>
    </cfRule>
    <cfRule type="expression" dxfId="2948" priority="2170">
      <formula>#REF! = "obiectiv"</formula>
    </cfRule>
  </conditionalFormatting>
  <conditionalFormatting sqref="V479:IU488">
    <cfRule type="expression" dxfId="2947" priority="3269">
      <formula>#REF! = "produs"</formula>
    </cfRule>
    <cfRule type="expression" dxfId="2946" priority="3270">
      <formula>#REF! = "obiectiv"</formula>
    </cfRule>
  </conditionalFormatting>
  <conditionalFormatting sqref="K481 F484:G488 F479:H483 J479:K480 V479:IU488 J482:K488">
    <cfRule type="expression" dxfId="2945" priority="3271">
      <formula>#REF! = "produs"</formula>
    </cfRule>
    <cfRule type="expression" dxfId="2944" priority="3272">
      <formula>#REF! = "obiectiv"</formula>
    </cfRule>
  </conditionalFormatting>
  <conditionalFormatting sqref="J479:J480 J482:J488">
    <cfRule type="expression" dxfId="2943" priority="3265">
      <formula>#REF! = "produs"</formula>
    </cfRule>
    <cfRule type="expression" dxfId="2942" priority="3266">
      <formula>#REF! = "obiectiv"</formula>
    </cfRule>
  </conditionalFormatting>
  <conditionalFormatting sqref="K479:K488">
    <cfRule type="expression" dxfId="2941" priority="3267">
      <formula>#REF! = "produs"</formula>
    </cfRule>
    <cfRule type="expression" dxfId="2940" priority="3268">
      <formula>#REF! = "obiectiv"</formula>
    </cfRule>
  </conditionalFormatting>
  <conditionalFormatting sqref="L479:U488">
    <cfRule type="expression" dxfId="2939" priority="3263">
      <formula>#REF! = "produs"</formula>
    </cfRule>
    <cfRule type="expression" dxfId="2938" priority="3264">
      <formula>#REF! = "obiectiv"</formula>
    </cfRule>
  </conditionalFormatting>
  <conditionalFormatting sqref="J482">
    <cfRule type="expression" dxfId="2937" priority="3245">
      <formula>#REF! = "produs"</formula>
    </cfRule>
    <cfRule type="expression" dxfId="2936" priority="3246">
      <formula>#REF! = "obiectiv"</formula>
    </cfRule>
  </conditionalFormatting>
  <conditionalFormatting sqref="V479:V488">
    <cfRule type="expression" dxfId="2935" priority="3261">
      <formula>#REF! = "produs"</formula>
    </cfRule>
    <cfRule type="expression" dxfId="2934" priority="3262">
      <formula>#REF! = "obiectiv"</formula>
    </cfRule>
  </conditionalFormatting>
  <conditionalFormatting sqref="J486">
    <cfRule type="expression" dxfId="2933" priority="3251">
      <formula>#REF! = "produs"</formula>
    </cfRule>
    <cfRule type="expression" dxfId="2932" priority="3252">
      <formula>#REF! = "obiectiv"</formula>
    </cfRule>
  </conditionalFormatting>
  <conditionalFormatting sqref="K480:K481 K483:K488">
    <cfRule type="expression" dxfId="2931" priority="3257">
      <formula>#REF! = "produs"</formula>
    </cfRule>
    <cfRule type="expression" dxfId="2930" priority="3258">
      <formula>#REF! = "obiectiv"</formula>
    </cfRule>
  </conditionalFormatting>
  <conditionalFormatting sqref="J484">
    <cfRule type="expression" dxfId="2929" priority="3249">
      <formula>#REF! = "produs"</formula>
    </cfRule>
    <cfRule type="expression" dxfId="2928" priority="3250">
      <formula>#REF! = "obiectiv"</formula>
    </cfRule>
  </conditionalFormatting>
  <conditionalFormatting sqref="W480:IU481 W483:IU488">
    <cfRule type="expression" dxfId="2927" priority="3259">
      <formula>#REF! = "produs"</formula>
    </cfRule>
    <cfRule type="expression" dxfId="2926" priority="3260">
      <formula>#REF! = "obiectiv"</formula>
    </cfRule>
  </conditionalFormatting>
  <conditionalFormatting sqref="L488:U488 L481:P481 L483:P487 L480:U480">
    <cfRule type="expression" dxfId="2925" priority="3253">
      <formula>#REF! = "produs"</formula>
    </cfRule>
    <cfRule type="expression" dxfId="2924" priority="3254">
      <formula>#REF! = "obiectiv"</formula>
    </cfRule>
  </conditionalFormatting>
  <conditionalFormatting sqref="W482:IU482 L481:P481 K482:P482">
    <cfRule type="expression" dxfId="2923" priority="3247">
      <formula>#REF! = "produs"</formula>
    </cfRule>
    <cfRule type="expression" dxfId="2922" priority="3248">
      <formula>#REF! = "obiectiv"</formula>
    </cfRule>
  </conditionalFormatting>
  <conditionalFormatting sqref="J480 J487:J488 J485 J483">
    <cfRule type="expression" dxfId="2921" priority="3255">
      <formula>#REF! = "produs"</formula>
    </cfRule>
    <cfRule type="expression" dxfId="2920" priority="3256">
      <formula>#REF! = "obiectiv"</formula>
    </cfRule>
  </conditionalFormatting>
  <conditionalFormatting sqref="J479">
    <cfRule type="expression" dxfId="2919" priority="3243">
      <formula>#REF! = "produs"</formula>
    </cfRule>
    <cfRule type="expression" dxfId="2918" priority="3244">
      <formula>#REF! = "obiectiv"</formula>
    </cfRule>
  </conditionalFormatting>
  <conditionalFormatting sqref="Q481:U487">
    <cfRule type="expression" dxfId="2917" priority="3241">
      <formula>#REF! = "produs"</formula>
    </cfRule>
    <cfRule type="expression" dxfId="2916" priority="3242">
      <formula>#REF! = "obiectiv"</formula>
    </cfRule>
  </conditionalFormatting>
  <conditionalFormatting sqref="Q479:U488">
    <cfRule type="expression" dxfId="2915" priority="3239">
      <formula>#REF! = "produs"</formula>
    </cfRule>
    <cfRule type="expression" dxfId="2914" priority="3240">
      <formula>#REF! = "obiectiv"</formula>
    </cfRule>
  </conditionalFormatting>
  <conditionalFormatting sqref="H479">
    <cfRule type="expression" dxfId="2913" priority="3237">
      <formula>#REF! = "produs"</formula>
    </cfRule>
    <cfRule type="expression" dxfId="2912" priority="3238">
      <formula>#REF! = "obiectiv"</formula>
    </cfRule>
  </conditionalFormatting>
  <conditionalFormatting sqref="L479:U488">
    <cfRule type="expression" dxfId="2911" priority="3235">
      <formula>#REF! = "produs"</formula>
    </cfRule>
    <cfRule type="expression" dxfId="2910" priority="3236">
      <formula>#REF! = "obiectiv"</formula>
    </cfRule>
  </conditionalFormatting>
  <conditionalFormatting sqref="G479">
    <cfRule type="expression" dxfId="2909" priority="3233">
      <formula>#REF! = "produs"</formula>
    </cfRule>
    <cfRule type="expression" dxfId="2908" priority="3234">
      <formula>#REF! = "obiectiv"</formula>
    </cfRule>
  </conditionalFormatting>
  <conditionalFormatting sqref="J481">
    <cfRule type="expression" dxfId="2907" priority="3231">
      <formula>#REF! = "produs"</formula>
    </cfRule>
    <cfRule type="expression" dxfId="2906" priority="3232">
      <formula>#REF! = "obiectiv"</formula>
    </cfRule>
  </conditionalFormatting>
  <conditionalFormatting sqref="L491:P496">
    <cfRule type="expression" dxfId="2905" priority="3137">
      <formula>#REF! = "produs"</formula>
    </cfRule>
    <cfRule type="expression" dxfId="2904" priority="3138">
      <formula>#REF! = "obiectiv"</formula>
    </cfRule>
  </conditionalFormatting>
  <conditionalFormatting sqref="L493:P496 L491:P491">
    <cfRule type="expression" dxfId="2903" priority="3135">
      <formula>#REF! = "produs"</formula>
    </cfRule>
    <cfRule type="expression" dxfId="2902" priority="3136">
      <formula>#REF! = "obiectiv"</formula>
    </cfRule>
  </conditionalFormatting>
  <conditionalFormatting sqref="L491:P492">
    <cfRule type="expression" dxfId="2901" priority="3133">
      <formula>#REF! = "produs"</formula>
    </cfRule>
    <cfRule type="expression" dxfId="2900" priority="3134">
      <formula>#REF! = "obiectiv"</formula>
    </cfRule>
  </conditionalFormatting>
  <conditionalFormatting sqref="K595:K596 K598:K603">
    <cfRule type="expression" dxfId="2899" priority="2271">
      <formula>#REF! = "produs"</formula>
    </cfRule>
    <cfRule type="expression" dxfId="2898" priority="2272">
      <formula>#REF! = "obiectiv"</formula>
    </cfRule>
  </conditionalFormatting>
  <conditionalFormatting sqref="W595:IU596 W598:IU603">
    <cfRule type="expression" dxfId="2897" priority="2273">
      <formula>#REF! = "produs"</formula>
    </cfRule>
    <cfRule type="expression" dxfId="2896" priority="2274">
      <formula>#REF! = "obiectiv"</formula>
    </cfRule>
  </conditionalFormatting>
  <conditionalFormatting sqref="L602:P602 L595:U595 L603:V603 L596:P599">
    <cfRule type="expression" dxfId="2895" priority="2267">
      <formula>#REF! = "produs"</formula>
    </cfRule>
    <cfRule type="expression" dxfId="2894" priority="2268">
      <formula>#REF! = "obiectiv"</formula>
    </cfRule>
  </conditionalFormatting>
  <conditionalFormatting sqref="J595 J602:J603 J600 J598">
    <cfRule type="expression" dxfId="2893" priority="2269">
      <formula>#REF! = "produs"</formula>
    </cfRule>
    <cfRule type="expression" dxfId="2892" priority="2270">
      <formula>#REF! = "obiectiv"</formula>
    </cfRule>
  </conditionalFormatting>
  <conditionalFormatting sqref="J601">
    <cfRule type="expression" dxfId="2891" priority="2265">
      <formula>#REF! = "produs"</formula>
    </cfRule>
    <cfRule type="expression" dxfId="2890" priority="2266">
      <formula>#REF! = "obiectiv"</formula>
    </cfRule>
  </conditionalFormatting>
  <conditionalFormatting sqref="H594">
    <cfRule type="expression" dxfId="2889" priority="2247">
      <formula>#REF! = "produs"</formula>
    </cfRule>
    <cfRule type="expression" dxfId="2888" priority="2248">
      <formula>#REF! = "obiectiv"</formula>
    </cfRule>
  </conditionalFormatting>
  <conditionalFormatting sqref="L601:P601">
    <cfRule type="expression" dxfId="2887" priority="2263">
      <formula>#REF! = "produs"</formula>
    </cfRule>
    <cfRule type="expression" dxfId="2886" priority="2264">
      <formula>#REF! = "obiectiv"</formula>
    </cfRule>
  </conditionalFormatting>
  <conditionalFormatting sqref="J594">
    <cfRule type="expression" dxfId="2885" priority="2253">
      <formula>#REF! = "produs"</formula>
    </cfRule>
    <cfRule type="expression" dxfId="2884" priority="2254">
      <formula>#REF! = "obiectiv"</formula>
    </cfRule>
  </conditionalFormatting>
  <conditionalFormatting sqref="J599">
    <cfRule type="expression" dxfId="2883" priority="2259">
      <formula>#REF! = "produs"</formula>
    </cfRule>
    <cfRule type="expression" dxfId="2882" priority="2260">
      <formula>#REF! = "obiectiv"</formula>
    </cfRule>
  </conditionalFormatting>
  <conditionalFormatting sqref="L600:P600">
    <cfRule type="expression" dxfId="2881" priority="2261">
      <formula>#REF! = "produs"</formula>
    </cfRule>
    <cfRule type="expression" dxfId="2880" priority="2262">
      <formula>#REF! = "obiectiv"</formula>
    </cfRule>
  </conditionalFormatting>
  <conditionalFormatting sqref="J597">
    <cfRule type="expression" dxfId="2879" priority="2255">
      <formula>#REF! = "produs"</formula>
    </cfRule>
    <cfRule type="expression" dxfId="2878" priority="2256">
      <formula>#REF! = "obiectiv"</formula>
    </cfRule>
  </conditionalFormatting>
  <conditionalFormatting sqref="Q594:U594">
    <cfRule type="expression" dxfId="2877" priority="2249">
      <formula>#REF! = "produs"</formula>
    </cfRule>
    <cfRule type="expression" dxfId="2876" priority="2250">
      <formula>#REF! = "obiectiv"</formula>
    </cfRule>
  </conditionalFormatting>
  <conditionalFormatting sqref="K597 W597:IU597">
    <cfRule type="expression" dxfId="2875" priority="2257">
      <formula>#REF! = "produs"</formula>
    </cfRule>
    <cfRule type="expression" dxfId="2874" priority="2258">
      <formula>#REF! = "obiectiv"</formula>
    </cfRule>
  </conditionalFormatting>
  <conditionalFormatting sqref="G594:G603">
    <cfRule type="expression" dxfId="2873" priority="2245">
      <formula>#REF! = "produs"</formula>
    </cfRule>
    <cfRule type="expression" dxfId="2872" priority="2246">
      <formula>#REF! = "obiectiv"</formula>
    </cfRule>
  </conditionalFormatting>
  <conditionalFormatting sqref="G594">
    <cfRule type="expression" dxfId="2871" priority="2243">
      <formula>#REF! = "produs"</formula>
    </cfRule>
    <cfRule type="expression" dxfId="2870" priority="2244">
      <formula>#REF! = "obiectiv"</formula>
    </cfRule>
  </conditionalFormatting>
  <conditionalFormatting sqref="J596">
    <cfRule type="expression" dxfId="2869" priority="2241">
      <formula>#REF! = "produs"</formula>
    </cfRule>
    <cfRule type="expression" dxfId="2868" priority="2242">
      <formula>#REF! = "obiectiv"</formula>
    </cfRule>
  </conditionalFormatting>
  <conditionalFormatting sqref="L491:P496">
    <cfRule type="expression" dxfId="2867" priority="3131">
      <formula>#REF! = "produs"</formula>
    </cfRule>
    <cfRule type="expression" dxfId="2866" priority="3132">
      <formula>#REF! = "obiectiv"</formula>
    </cfRule>
  </conditionalFormatting>
  <conditionalFormatting sqref="K489:K498">
    <cfRule type="expression" dxfId="2865" priority="3179">
      <formula>#REF! = "produs"</formula>
    </cfRule>
    <cfRule type="expression" dxfId="2864" priority="3180">
      <formula>#REF! = "obiectiv"</formula>
    </cfRule>
  </conditionalFormatting>
  <conditionalFormatting sqref="J489:J490 J492:J498">
    <cfRule type="expression" dxfId="2863" priority="3177">
      <formula>#REF! = "produs"</formula>
    </cfRule>
    <cfRule type="expression" dxfId="2862" priority="3178">
      <formula>#REF! = "obiectiv"</formula>
    </cfRule>
  </conditionalFormatting>
  <conditionalFormatting sqref="L497:U498 Q491:U496 L489:U490">
    <cfRule type="expression" dxfId="2861" priority="3175">
      <formula>#REF! = "produs"</formula>
    </cfRule>
    <cfRule type="expression" dxfId="2860" priority="3176">
      <formula>#REF! = "obiectiv"</formula>
    </cfRule>
  </conditionalFormatting>
  <conditionalFormatting sqref="J492">
    <cfRule type="expression" dxfId="2859" priority="3157">
      <formula>#REF! = "produs"</formula>
    </cfRule>
    <cfRule type="expression" dxfId="2858" priority="3158">
      <formula>#REF! = "obiectiv"</formula>
    </cfRule>
  </conditionalFormatting>
  <conditionalFormatting sqref="V489:V498">
    <cfRule type="expression" dxfId="2857" priority="3173">
      <formula>#REF! = "produs"</formula>
    </cfRule>
    <cfRule type="expression" dxfId="2856" priority="3174">
      <formula>#REF! = "obiectiv"</formula>
    </cfRule>
  </conditionalFormatting>
  <conditionalFormatting sqref="J496">
    <cfRule type="expression" dxfId="2855" priority="3163">
      <formula>#REF! = "produs"</formula>
    </cfRule>
    <cfRule type="expression" dxfId="2854" priority="3164">
      <formula>#REF! = "obiectiv"</formula>
    </cfRule>
  </conditionalFormatting>
  <conditionalFormatting sqref="K490:K491 K493:K498">
    <cfRule type="expression" dxfId="2853" priority="3169">
      <formula>#REF! = "produs"</formula>
    </cfRule>
    <cfRule type="expression" dxfId="2852" priority="3170">
      <formula>#REF! = "obiectiv"</formula>
    </cfRule>
  </conditionalFormatting>
  <conditionalFormatting sqref="J494">
    <cfRule type="expression" dxfId="2851" priority="3161">
      <formula>#REF! = "produs"</formula>
    </cfRule>
    <cfRule type="expression" dxfId="2850" priority="3162">
      <formula>#REF! = "obiectiv"</formula>
    </cfRule>
  </conditionalFormatting>
  <conditionalFormatting sqref="W490:IU491 W493:IU498">
    <cfRule type="expression" dxfId="2849" priority="3171">
      <formula>#REF! = "produs"</formula>
    </cfRule>
    <cfRule type="expression" dxfId="2848" priority="3172">
      <formula>#REF! = "obiectiv"</formula>
    </cfRule>
  </conditionalFormatting>
  <conditionalFormatting sqref="L497:P497 L498:U498 L490:U490">
    <cfRule type="expression" dxfId="2847" priority="3165">
      <formula>#REF! = "produs"</formula>
    </cfRule>
    <cfRule type="expression" dxfId="2846" priority="3166">
      <formula>#REF! = "obiectiv"</formula>
    </cfRule>
  </conditionalFormatting>
  <conditionalFormatting sqref="L497:U498 Q491:U496 L489:U490">
    <cfRule type="expression" dxfId="2845" priority="3149">
      <formula>#REF! = "produs"</formula>
    </cfRule>
    <cfRule type="expression" dxfId="2844" priority="3150">
      <formula>#REF! = "obiectiv"</formula>
    </cfRule>
  </conditionalFormatting>
  <conditionalFormatting sqref="W492:IU492 K492">
    <cfRule type="expression" dxfId="2843" priority="3159">
      <formula>#REF! = "produs"</formula>
    </cfRule>
    <cfRule type="expression" dxfId="2842" priority="3160">
      <formula>#REF! = "obiectiv"</formula>
    </cfRule>
  </conditionalFormatting>
  <conditionalFormatting sqref="J490 J497:J498 J495 J493">
    <cfRule type="expression" dxfId="2841" priority="3167">
      <formula>#REF! = "produs"</formula>
    </cfRule>
    <cfRule type="expression" dxfId="2840" priority="3168">
      <formula>#REF! = "obiectiv"</formula>
    </cfRule>
  </conditionalFormatting>
  <conditionalFormatting sqref="J489">
    <cfRule type="expression" dxfId="2839" priority="3155">
      <formula>#REF! = "produs"</formula>
    </cfRule>
    <cfRule type="expression" dxfId="2838" priority="3156">
      <formula>#REF! = "obiectiv"</formula>
    </cfRule>
  </conditionalFormatting>
  <conditionalFormatting sqref="Q491:U497">
    <cfRule type="expression" dxfId="2837" priority="3153">
      <formula>#REF! = "produs"</formula>
    </cfRule>
    <cfRule type="expression" dxfId="2836" priority="3154">
      <formula>#REF! = "obiectiv"</formula>
    </cfRule>
  </conditionalFormatting>
  <conditionalFormatting sqref="Q489:U489">
    <cfRule type="expression" dxfId="2835" priority="3151">
      <formula>#REF! = "produs"</formula>
    </cfRule>
    <cfRule type="expression" dxfId="2834" priority="3152">
      <formula>#REF! = "obiectiv"</formula>
    </cfRule>
  </conditionalFormatting>
  <conditionalFormatting sqref="J491">
    <cfRule type="expression" dxfId="2833" priority="3147">
      <formula>#REF! = "produs"</formula>
    </cfRule>
    <cfRule type="expression" dxfId="2832" priority="3148">
      <formula>#REF! = "obiectiv"</formula>
    </cfRule>
  </conditionalFormatting>
  <conditionalFormatting sqref="G494:G498 G489:H493">
    <cfRule type="expression" dxfId="2831" priority="3145">
      <formula>#REF! = "produs"</formula>
    </cfRule>
    <cfRule type="expression" dxfId="2830" priority="3146">
      <formula>#REF! = "obiectiv"</formula>
    </cfRule>
  </conditionalFormatting>
  <conditionalFormatting sqref="H489">
    <cfRule type="expression" dxfId="2829" priority="3143">
      <formula>#REF! = "produs"</formula>
    </cfRule>
    <cfRule type="expression" dxfId="2828" priority="3144">
      <formula>#REF! = "obiectiv"</formula>
    </cfRule>
  </conditionalFormatting>
  <conditionalFormatting sqref="G489">
    <cfRule type="expression" dxfId="2827" priority="3141">
      <formula>#REF! = "produs"</formula>
    </cfRule>
    <cfRule type="expression" dxfId="2826" priority="3142">
      <formula>#REF! = "obiectiv"</formula>
    </cfRule>
  </conditionalFormatting>
  <conditionalFormatting sqref="G614:G623">
    <cfRule type="expression" dxfId="2825" priority="2173">
      <formula>#REF! = "produs"</formula>
    </cfRule>
    <cfRule type="expression" dxfId="2824" priority="2174">
      <formula>#REF! = "obiectiv"</formula>
    </cfRule>
  </conditionalFormatting>
  <conditionalFormatting sqref="G614">
    <cfRule type="expression" dxfId="2823" priority="2171">
      <formula>#REF! = "produs"</formula>
    </cfRule>
    <cfRule type="expression" dxfId="2822" priority="2172">
      <formula>#REF! = "obiectiv"</formula>
    </cfRule>
  </conditionalFormatting>
  <conditionalFormatting sqref="J606">
    <cfRule type="expression" dxfId="2821" priority="2099">
      <formula>#REF! = "produs"</formula>
    </cfRule>
    <cfRule type="expression" dxfId="2820" priority="2100">
      <formula>#REF! = "obiectiv"</formula>
    </cfRule>
  </conditionalFormatting>
  <conditionalFormatting sqref="W566:IU566 K566:P566">
    <cfRule type="expression" dxfId="2819" priority="2369">
      <formula>#REF! = "produs"</formula>
    </cfRule>
    <cfRule type="expression" dxfId="2818" priority="2370">
      <formula>#REF! = "obiectiv"</formula>
    </cfRule>
  </conditionalFormatting>
  <conditionalFormatting sqref="K564:K565 K567:K572">
    <cfRule type="expression" dxfId="2817" priority="2383">
      <formula>#REF! = "produs"</formula>
    </cfRule>
    <cfRule type="expression" dxfId="2816" priority="2384">
      <formula>#REF! = "obiectiv"</formula>
    </cfRule>
  </conditionalFormatting>
  <conditionalFormatting sqref="J566">
    <cfRule type="expression" dxfId="2815" priority="2367">
      <formula>#REF! = "produs"</formula>
    </cfRule>
    <cfRule type="expression" dxfId="2814" priority="2368">
      <formula>#REF! = "obiectiv"</formula>
    </cfRule>
  </conditionalFormatting>
  <conditionalFormatting sqref="W564:IU565 W567:IU572">
    <cfRule type="expression" dxfId="2813" priority="2385">
      <formula>#REF! = "produs"</formula>
    </cfRule>
    <cfRule type="expression" dxfId="2812" priority="2386">
      <formula>#REF! = "obiectiv"</formula>
    </cfRule>
  </conditionalFormatting>
  <conditionalFormatting sqref="L572:U572 L571:P571 L567:P567 L564:U564 L565:P565">
    <cfRule type="expression" dxfId="2811" priority="2379">
      <formula>#REF! = "produs"</formula>
    </cfRule>
    <cfRule type="expression" dxfId="2810" priority="2380">
      <formula>#REF! = "obiectiv"</formula>
    </cfRule>
  </conditionalFormatting>
  <conditionalFormatting sqref="L570:P570">
    <cfRule type="expression" dxfId="2809" priority="2375">
      <formula>#REF! = "produs"</formula>
    </cfRule>
    <cfRule type="expression" dxfId="2808" priority="2376">
      <formula>#REF! = "obiectiv"</formula>
    </cfRule>
  </conditionalFormatting>
  <conditionalFormatting sqref="L569:P569">
    <cfRule type="expression" dxfId="2807" priority="2373">
      <formula>#REF! = "produs"</formula>
    </cfRule>
    <cfRule type="expression" dxfId="2806" priority="2374">
      <formula>#REF! = "obiectiv"</formula>
    </cfRule>
  </conditionalFormatting>
  <conditionalFormatting sqref="Q565:U571">
    <cfRule type="expression" dxfId="2805" priority="2363">
      <formula>#REF! = "produs"</formula>
    </cfRule>
    <cfRule type="expression" dxfId="2804" priority="2364">
      <formula>#REF! = "obiectiv"</formula>
    </cfRule>
  </conditionalFormatting>
  <conditionalFormatting sqref="Q574:U574">
    <cfRule type="expression" dxfId="2803" priority="2323">
      <formula>#REF! = "produs"</formula>
    </cfRule>
    <cfRule type="expression" dxfId="2802" priority="2324">
      <formula>#REF! = "obiectiv"</formula>
    </cfRule>
  </conditionalFormatting>
  <conditionalFormatting sqref="Q551:U551 L543:U543">
    <cfRule type="expression" dxfId="2801" priority="2633">
      <formula>#REF! = "produs"</formula>
    </cfRule>
    <cfRule type="expression" dxfId="2800" priority="2634">
      <formula>#REF! = "obiectiv"</formula>
    </cfRule>
  </conditionalFormatting>
  <conditionalFormatting sqref="L519:P519">
    <cfRule type="expression" dxfId="2799" priority="2669">
      <formula>#REF! = "produs"</formula>
    </cfRule>
    <cfRule type="expression" dxfId="2798" priority="2670">
      <formula>#REF! = "obiectiv"</formula>
    </cfRule>
  </conditionalFormatting>
  <conditionalFormatting sqref="W515:IU515 K515:N515">
    <cfRule type="expression" dxfId="2797" priority="2663">
      <formula>#REF! = "produs"</formula>
    </cfRule>
    <cfRule type="expression" dxfId="2796" priority="2664">
      <formula>#REF! = "obiectiv"</formula>
    </cfRule>
  </conditionalFormatting>
  <conditionalFormatting sqref="W523:IU524 W526:IU531">
    <cfRule type="expression" dxfId="2795" priority="2659">
      <formula>#REF! = "produs"</formula>
    </cfRule>
    <cfRule type="expression" dxfId="2794" priority="2660">
      <formula>#REF! = "obiectiv"</formula>
    </cfRule>
  </conditionalFormatting>
  <conditionalFormatting sqref="L703:P703 L704:N705 O704:P706">
    <cfRule type="expression" dxfId="2793" priority="1715">
      <formula>#REF! = "produs"</formula>
    </cfRule>
    <cfRule type="expression" dxfId="2792" priority="1716">
      <formula>#REF! = "obiectiv"</formula>
    </cfRule>
  </conditionalFormatting>
  <conditionalFormatting sqref="L523:U523 Q531:V531">
    <cfRule type="expression" dxfId="2791" priority="2653">
      <formula>#REF! = "produs"</formula>
    </cfRule>
    <cfRule type="expression" dxfId="2790" priority="2654">
      <formula>#REF! = "obiectiv"</formula>
    </cfRule>
  </conditionalFormatting>
  <conditionalFormatting sqref="J517">
    <cfRule type="expression" dxfId="2789" priority="2665">
      <formula>#REF! = "produs"</formula>
    </cfRule>
    <cfRule type="expression" dxfId="2788" priority="2666">
      <formula>#REF! = "obiectiv"</formula>
    </cfRule>
  </conditionalFormatting>
  <conditionalFormatting sqref="J515">
    <cfRule type="expression" dxfId="2787" priority="2661">
      <formula>#REF! = "produs"</formula>
    </cfRule>
    <cfRule type="expression" dxfId="2786" priority="2662">
      <formula>#REF! = "obiectiv"</formula>
    </cfRule>
  </conditionalFormatting>
  <conditionalFormatting sqref="K523:K524 K526:K531">
    <cfRule type="expression" dxfId="2785" priority="2657">
      <formula>#REF! = "produs"</formula>
    </cfRule>
    <cfRule type="expression" dxfId="2784" priority="2658">
      <formula>#REF! = "obiectiv"</formula>
    </cfRule>
  </conditionalFormatting>
  <conditionalFormatting sqref="J523 J530:J531 J528 J526">
    <cfRule type="expression" dxfId="2783" priority="2655">
      <formula>#REF! = "produs"</formula>
    </cfRule>
    <cfRule type="expression" dxfId="2782" priority="2656">
      <formula>#REF! = "obiectiv"</formula>
    </cfRule>
  </conditionalFormatting>
  <conditionalFormatting sqref="J529">
    <cfRule type="expression" dxfId="2781" priority="2651">
      <formula>#REF! = "produs"</formula>
    </cfRule>
    <cfRule type="expression" dxfId="2780" priority="2652">
      <formula>#REF! = "obiectiv"</formula>
    </cfRule>
  </conditionalFormatting>
  <conditionalFormatting sqref="J527">
    <cfRule type="expression" dxfId="2779" priority="2645">
      <formula>#REF! = "produs"</formula>
    </cfRule>
    <cfRule type="expression" dxfId="2778" priority="2646">
      <formula>#REF! = "obiectiv"</formula>
    </cfRule>
  </conditionalFormatting>
  <conditionalFormatting sqref="K525 W525:IU525">
    <cfRule type="expression" dxfId="2777" priority="2643">
      <formula>#REF! = "produs"</formula>
    </cfRule>
    <cfRule type="expression" dxfId="2776" priority="2644">
      <formula>#REF! = "obiectiv"</formula>
    </cfRule>
  </conditionalFormatting>
  <conditionalFormatting sqref="J525">
    <cfRule type="expression" dxfId="2775" priority="2641">
      <formula>#REF! = "produs"</formula>
    </cfRule>
    <cfRule type="expression" dxfId="2774" priority="2642">
      <formula>#REF! = "obiectiv"</formula>
    </cfRule>
  </conditionalFormatting>
  <conditionalFormatting sqref="W543:IU544 W546:IU551">
    <cfRule type="expression" dxfId="2773" priority="2639">
      <formula>#REF! = "produs"</formula>
    </cfRule>
    <cfRule type="expression" dxfId="2772" priority="2640">
      <formula>#REF! = "obiectiv"</formula>
    </cfRule>
  </conditionalFormatting>
  <conditionalFormatting sqref="K543:K544 K546:K551">
    <cfRule type="expression" dxfId="2771" priority="2637">
      <formula>#REF! = "produs"</formula>
    </cfRule>
    <cfRule type="expression" dxfId="2770" priority="2638">
      <formula>#REF! = "obiectiv"</formula>
    </cfRule>
  </conditionalFormatting>
  <conditionalFormatting sqref="J543 J550:J551 J548 J546">
    <cfRule type="expression" dxfId="2769" priority="2635">
      <formula>#REF! = "produs"</formula>
    </cfRule>
    <cfRule type="expression" dxfId="2768" priority="2636">
      <formula>#REF! = "obiectiv"</formula>
    </cfRule>
  </conditionalFormatting>
  <conditionalFormatting sqref="L535:P535">
    <cfRule type="expression" dxfId="2767" priority="2431">
      <formula>#REF! = "produs"</formula>
    </cfRule>
    <cfRule type="expression" dxfId="2766" priority="2432">
      <formula>#REF! = "obiectiv"</formula>
    </cfRule>
  </conditionalFormatting>
  <conditionalFormatting sqref="O528:P528">
    <cfRule type="expression" dxfId="2765" priority="2441">
      <formula>#REF! = "produs"</formula>
    </cfRule>
    <cfRule type="expression" dxfId="2764" priority="2442">
      <formula>#REF! = "obiectiv"</formula>
    </cfRule>
  </conditionalFormatting>
  <conditionalFormatting sqref="L539:P539">
    <cfRule type="expression" dxfId="2763" priority="2435">
      <formula>#REF! = "produs"</formula>
    </cfRule>
    <cfRule type="expression" dxfId="2762" priority="2436">
      <formula>#REF! = "obiectiv"</formula>
    </cfRule>
  </conditionalFormatting>
  <conditionalFormatting sqref="L554:P554">
    <cfRule type="expression" dxfId="2761" priority="2395">
      <formula>#REF! = "produs"</formula>
    </cfRule>
    <cfRule type="expression" dxfId="2760" priority="2396">
      <formula>#REF! = "obiectiv"</formula>
    </cfRule>
  </conditionalFormatting>
  <conditionalFormatting sqref="L524:P524">
    <cfRule type="expression" dxfId="2759" priority="2445">
      <formula>#REF! = "produs"</formula>
    </cfRule>
    <cfRule type="expression" dxfId="2758" priority="2446">
      <formula>#REF! = "obiectiv"</formula>
    </cfRule>
  </conditionalFormatting>
  <conditionalFormatting sqref="L550:P550 L546:N546">
    <cfRule type="expression" dxfId="2757" priority="2421">
      <formula>#REF! = "produs"</formula>
    </cfRule>
    <cfRule type="expression" dxfId="2756" priority="2422">
      <formula>#REF! = "obiectiv"</formula>
    </cfRule>
  </conditionalFormatting>
  <conditionalFormatting sqref="L529:P529">
    <cfRule type="expression" dxfId="2755" priority="2451">
      <formula>#REF! = "produs"</formula>
    </cfRule>
    <cfRule type="expression" dxfId="2754" priority="2452">
      <formula>#REF! = "obiectiv"</formula>
    </cfRule>
  </conditionalFormatting>
  <conditionalFormatting sqref="L555:P555">
    <cfRule type="expression" dxfId="2753" priority="2397">
      <formula>#REF! = "produs"</formula>
    </cfRule>
    <cfRule type="expression" dxfId="2752" priority="2398">
      <formula>#REF! = "obiectiv"</formula>
    </cfRule>
  </conditionalFormatting>
  <conditionalFormatting sqref="O515:P515">
    <cfRule type="expression" dxfId="2751" priority="2457">
      <formula>#REF! = "produs"</formula>
    </cfRule>
    <cfRule type="expression" dxfId="2750" priority="2458">
      <formula>#REF! = "obiectiv"</formula>
    </cfRule>
  </conditionalFormatting>
  <conditionalFormatting sqref="L530:P530 L526:P526">
    <cfRule type="expression" dxfId="2749" priority="2453">
      <formula>#REF! = "produs"</formula>
    </cfRule>
    <cfRule type="expression" dxfId="2748" priority="2454">
      <formula>#REF! = "obiectiv"</formula>
    </cfRule>
  </conditionalFormatting>
  <conditionalFormatting sqref="L525:P525">
    <cfRule type="expression" dxfId="2747" priority="2447">
      <formula>#REF! = "produs"</formula>
    </cfRule>
    <cfRule type="expression" dxfId="2746" priority="2448">
      <formula>#REF! = "obiectiv"</formula>
    </cfRule>
  </conditionalFormatting>
  <conditionalFormatting sqref="O538:P538">
    <cfRule type="expression" dxfId="2745" priority="2425">
      <formula>#REF! = "produs"</formula>
    </cfRule>
    <cfRule type="expression" dxfId="2744" priority="2426">
      <formula>#REF! = "obiectiv"</formula>
    </cfRule>
  </conditionalFormatting>
  <conditionalFormatting sqref="H512">
    <cfRule type="expression" dxfId="2743" priority="2469">
      <formula>#REF! = "produs"</formula>
    </cfRule>
    <cfRule type="expression" dxfId="2742" priority="2470">
      <formula>#REF! = "obiectiv"</formula>
    </cfRule>
  </conditionalFormatting>
  <conditionalFormatting sqref="L557:P557">
    <cfRule type="expression" dxfId="2741" priority="2393">
      <formula>#REF! = "produs"</formula>
    </cfRule>
    <cfRule type="expression" dxfId="2740" priority="2394">
      <formula>#REF! = "obiectiv"</formula>
    </cfRule>
  </conditionalFormatting>
  <conditionalFormatting sqref="L521:P521">
    <cfRule type="expression" dxfId="2739" priority="2459">
      <formula>#REF! = "produs"</formula>
    </cfRule>
    <cfRule type="expression" dxfId="2738" priority="2460">
      <formula>#REF! = "obiectiv"</formula>
    </cfRule>
  </conditionalFormatting>
  <conditionalFormatting sqref="L528:N528">
    <cfRule type="expression" dxfId="2737" priority="2449">
      <formula>#REF! = "produs"</formula>
    </cfRule>
    <cfRule type="expression" dxfId="2736" priority="2450">
      <formula>#REF! = "obiectiv"</formula>
    </cfRule>
  </conditionalFormatting>
  <conditionalFormatting sqref="L527:P527">
    <cfRule type="expression" dxfId="2735" priority="2443">
      <formula>#REF! = "produs"</formula>
    </cfRule>
    <cfRule type="expression" dxfId="2734" priority="2444">
      <formula>#REF! = "obiectiv"</formula>
    </cfRule>
  </conditionalFormatting>
  <conditionalFormatting sqref="L531:P531">
    <cfRule type="expression" dxfId="2733" priority="2439">
      <formula>#REF! = "produs"</formula>
    </cfRule>
    <cfRule type="expression" dxfId="2732" priority="2440">
      <formula>#REF! = "obiectiv"</formula>
    </cfRule>
  </conditionalFormatting>
  <conditionalFormatting sqref="L540:P540 L536:P536">
    <cfRule type="expression" dxfId="2731" priority="2437">
      <formula>#REF! = "produs"</formula>
    </cfRule>
    <cfRule type="expression" dxfId="2730" priority="2438">
      <formula>#REF! = "obiectiv"</formula>
    </cfRule>
  </conditionalFormatting>
  <conditionalFormatting sqref="L538:N538">
    <cfRule type="expression" dxfId="2729" priority="2433">
      <formula>#REF! = "produs"</formula>
    </cfRule>
    <cfRule type="expression" dxfId="2728" priority="2434">
      <formula>#REF! = "obiectiv"</formula>
    </cfRule>
  </conditionalFormatting>
  <conditionalFormatting sqref="L534:P534">
    <cfRule type="expression" dxfId="2727" priority="2429">
      <formula>#REF! = "produs"</formula>
    </cfRule>
    <cfRule type="expression" dxfId="2726" priority="2430">
      <formula>#REF! = "obiectiv"</formula>
    </cfRule>
  </conditionalFormatting>
  <conditionalFormatting sqref="L537:P537">
    <cfRule type="expression" dxfId="2725" priority="2427">
      <formula>#REF! = "produs"</formula>
    </cfRule>
    <cfRule type="expression" dxfId="2724" priority="2428">
      <formula>#REF! = "obiectiv"</formula>
    </cfRule>
  </conditionalFormatting>
  <conditionalFormatting sqref="L541:P541">
    <cfRule type="expression" dxfId="2723" priority="2423">
      <formula>#REF! = "produs"</formula>
    </cfRule>
    <cfRule type="expression" dxfId="2722" priority="2424">
      <formula>#REF! = "obiectiv"</formula>
    </cfRule>
  </conditionalFormatting>
  <conditionalFormatting sqref="L549:N549">
    <cfRule type="expression" dxfId="2721" priority="2419">
      <formula>#REF! = "produs"</formula>
    </cfRule>
    <cfRule type="expression" dxfId="2720" priority="2420">
      <formula>#REF! = "obiectiv"</formula>
    </cfRule>
  </conditionalFormatting>
  <conditionalFormatting sqref="L548:N548">
    <cfRule type="expression" dxfId="2719" priority="2417">
      <formula>#REF! = "produs"</formula>
    </cfRule>
    <cfRule type="expression" dxfId="2718" priority="2418">
      <formula>#REF! = "obiectiv"</formula>
    </cfRule>
  </conditionalFormatting>
  <conditionalFormatting sqref="L545:N545">
    <cfRule type="expression" dxfId="2717" priority="2415">
      <formula>#REF! = "produs"</formula>
    </cfRule>
    <cfRule type="expression" dxfId="2716" priority="2416">
      <formula>#REF! = "obiectiv"</formula>
    </cfRule>
  </conditionalFormatting>
  <conditionalFormatting sqref="L544:P544">
    <cfRule type="expression" dxfId="2715" priority="2413">
      <formula>#REF! = "produs"</formula>
    </cfRule>
    <cfRule type="expression" dxfId="2714" priority="2414">
      <formula>#REF! = "obiectiv"</formula>
    </cfRule>
  </conditionalFormatting>
  <conditionalFormatting sqref="L547:N547">
    <cfRule type="expression" dxfId="2713" priority="2411">
      <formula>#REF! = "produs"</formula>
    </cfRule>
    <cfRule type="expression" dxfId="2712" priority="2412">
      <formula>#REF! = "obiectiv"</formula>
    </cfRule>
  </conditionalFormatting>
  <conditionalFormatting sqref="O545:P549">
    <cfRule type="expression" dxfId="2711" priority="2409">
      <formula>#REF! = "produs"</formula>
    </cfRule>
    <cfRule type="expression" dxfId="2710" priority="2410">
      <formula>#REF! = "obiectiv"</formula>
    </cfRule>
  </conditionalFormatting>
  <conditionalFormatting sqref="L551:P551">
    <cfRule type="expression" dxfId="2709" priority="2407">
      <formula>#REF! = "produs"</formula>
    </cfRule>
    <cfRule type="expression" dxfId="2708" priority="2408">
      <formula>#REF! = "obiectiv"</formula>
    </cfRule>
  </conditionalFormatting>
  <conditionalFormatting sqref="L553:P553">
    <cfRule type="expression" dxfId="2707" priority="2405">
      <formula>#REF! = "produs"</formula>
    </cfRule>
    <cfRule type="expression" dxfId="2706" priority="2406">
      <formula>#REF! = "obiectiv"</formula>
    </cfRule>
  </conditionalFormatting>
  <conditionalFormatting sqref="L560:P560 L556:P556">
    <cfRule type="expression" dxfId="2705" priority="2403">
      <formula>#REF! = "produs"</formula>
    </cfRule>
    <cfRule type="expression" dxfId="2704" priority="2404">
      <formula>#REF! = "obiectiv"</formula>
    </cfRule>
  </conditionalFormatting>
  <conditionalFormatting sqref="L559:N559">
    <cfRule type="expression" dxfId="2703" priority="2401">
      <formula>#REF! = "produs"</formula>
    </cfRule>
    <cfRule type="expression" dxfId="2702" priority="2402">
      <formula>#REF! = "obiectiv"</formula>
    </cfRule>
  </conditionalFormatting>
  <conditionalFormatting sqref="L558:N558">
    <cfRule type="expression" dxfId="2701" priority="2399">
      <formula>#REF! = "produs"</formula>
    </cfRule>
    <cfRule type="expression" dxfId="2700" priority="2400">
      <formula>#REF! = "obiectiv"</formula>
    </cfRule>
  </conditionalFormatting>
  <conditionalFormatting sqref="O558:P559">
    <cfRule type="expression" dxfId="2699" priority="2391">
      <formula>#REF! = "produs"</formula>
    </cfRule>
    <cfRule type="expression" dxfId="2698" priority="2392">
      <formula>#REF! = "obiectiv"</formula>
    </cfRule>
  </conditionalFormatting>
  <conditionalFormatting sqref="L561:P561">
    <cfRule type="expression" dxfId="2697" priority="2389">
      <formula>#REF! = "produs"</formula>
    </cfRule>
    <cfRule type="expression" dxfId="2696" priority="2390">
      <formula>#REF! = "obiectiv"</formula>
    </cfRule>
  </conditionalFormatting>
  <conditionalFormatting sqref="J619">
    <cfRule type="expression" dxfId="2695" priority="2187">
      <formula>#REF! = "produs"</formula>
    </cfRule>
    <cfRule type="expression" dxfId="2694" priority="2188">
      <formula>#REF! = "obiectiv"</formula>
    </cfRule>
  </conditionalFormatting>
  <conditionalFormatting sqref="K617 W617:IU617">
    <cfRule type="expression" dxfId="2693" priority="2185">
      <formula>#REF! = "produs"</formula>
    </cfRule>
    <cfRule type="expression" dxfId="2692" priority="2186">
      <formula>#REF! = "obiectiv"</formula>
    </cfRule>
  </conditionalFormatting>
  <conditionalFormatting sqref="V584:V592">
    <cfRule type="expression" dxfId="2691" priority="2313">
      <formula>#REF! = "produs"</formula>
    </cfRule>
    <cfRule type="expression" dxfId="2690" priority="2314">
      <formula>#REF! = "obiectiv"</formula>
    </cfRule>
  </conditionalFormatting>
  <conditionalFormatting sqref="J614">
    <cfRule type="expression" dxfId="2689" priority="2181">
      <formula>#REF! = "produs"</formula>
    </cfRule>
    <cfRule type="expression" dxfId="2688" priority="2182">
      <formula>#REF! = "obiectiv"</formula>
    </cfRule>
  </conditionalFormatting>
  <conditionalFormatting sqref="K585:K586 K588:K593">
    <cfRule type="expression" dxfId="2687" priority="2309">
      <formula>#REF! = "produs"</formula>
    </cfRule>
    <cfRule type="expression" dxfId="2686" priority="2310">
      <formula>#REF! = "obiectiv"</formula>
    </cfRule>
  </conditionalFormatting>
  <conditionalFormatting sqref="J585 J592:J593 J590 J588">
    <cfRule type="expression" dxfId="2685" priority="2307">
      <formula>#REF! = "produs"</formula>
    </cfRule>
    <cfRule type="expression" dxfId="2684" priority="2308">
      <formula>#REF! = "obiectiv"</formula>
    </cfRule>
  </conditionalFormatting>
  <conditionalFormatting sqref="L592:P592 L585:U585 L593:V593 L586:P589">
    <cfRule type="expression" dxfId="2683" priority="2305">
      <formula>#REF! = "produs"</formula>
    </cfRule>
    <cfRule type="expression" dxfId="2682" priority="2306">
      <formula>#REF! = "obiectiv"</formula>
    </cfRule>
  </conditionalFormatting>
  <conditionalFormatting sqref="H584">
    <cfRule type="expression" dxfId="2681" priority="2285">
      <formula>#REF! = "produs"</formula>
    </cfRule>
    <cfRule type="expression" dxfId="2680" priority="2286">
      <formula>#REF! = "obiectiv"</formula>
    </cfRule>
  </conditionalFormatting>
  <conditionalFormatting sqref="L590:P590">
    <cfRule type="expression" dxfId="2679" priority="2299">
      <formula>#REF! = "produs"</formula>
    </cfRule>
    <cfRule type="expression" dxfId="2678" priority="2300">
      <formula>#REF! = "obiectiv"</formula>
    </cfRule>
  </conditionalFormatting>
  <conditionalFormatting sqref="K587 W587:IU587">
    <cfRule type="expression" dxfId="2677" priority="2295">
      <formula>#REF! = "produs"</formula>
    </cfRule>
    <cfRule type="expression" dxfId="2676" priority="2296">
      <formula>#REF! = "obiectiv"</formula>
    </cfRule>
  </conditionalFormatting>
  <conditionalFormatting sqref="L591:P591">
    <cfRule type="expression" dxfId="2675" priority="2301">
      <formula>#REF! = "produs"</formula>
    </cfRule>
    <cfRule type="expression" dxfId="2674" priority="2302">
      <formula>#REF! = "obiectiv"</formula>
    </cfRule>
  </conditionalFormatting>
  <conditionalFormatting sqref="J589">
    <cfRule type="expression" dxfId="2673" priority="2297">
      <formula>#REF! = "produs"</formula>
    </cfRule>
    <cfRule type="expression" dxfId="2672" priority="2298">
      <formula>#REF! = "obiectiv"</formula>
    </cfRule>
  </conditionalFormatting>
  <conditionalFormatting sqref="J584">
    <cfRule type="expression" dxfId="2671" priority="2291">
      <formula>#REF! = "produs"</formula>
    </cfRule>
    <cfRule type="expression" dxfId="2670" priority="2292">
      <formula>#REF! = "obiectiv"</formula>
    </cfRule>
  </conditionalFormatting>
  <conditionalFormatting sqref="J591">
    <cfRule type="expression" dxfId="2669" priority="2303">
      <formula>#REF! = "produs"</formula>
    </cfRule>
    <cfRule type="expression" dxfId="2668" priority="2304">
      <formula>#REF! = "obiectiv"</formula>
    </cfRule>
  </conditionalFormatting>
  <conditionalFormatting sqref="J587">
    <cfRule type="expression" dxfId="2667" priority="2293">
      <formula>#REF! = "produs"</formula>
    </cfRule>
    <cfRule type="expression" dxfId="2666" priority="2294">
      <formula>#REF! = "obiectiv"</formula>
    </cfRule>
  </conditionalFormatting>
  <conditionalFormatting sqref="Q584:U584">
    <cfRule type="expression" dxfId="2665" priority="2287">
      <formula>#REF! = "produs"</formula>
    </cfRule>
    <cfRule type="expression" dxfId="2664" priority="2288">
      <formula>#REF! = "obiectiv"</formula>
    </cfRule>
  </conditionalFormatting>
  <conditionalFormatting sqref="G584:G593">
    <cfRule type="expression" dxfId="2663" priority="2283">
      <formula>#REF! = "produs"</formula>
    </cfRule>
    <cfRule type="expression" dxfId="2662" priority="2284">
      <formula>#REF! = "obiectiv"</formula>
    </cfRule>
  </conditionalFormatting>
  <conditionalFormatting sqref="L568:P568">
    <cfRule type="expression" dxfId="2661" priority="2351">
      <formula>#REF! = "produs"</formula>
    </cfRule>
    <cfRule type="expression" dxfId="2660" priority="2352">
      <formula>#REF! = "obiectiv"</formula>
    </cfRule>
  </conditionalFormatting>
  <conditionalFormatting sqref="J586">
    <cfRule type="expression" dxfId="2659" priority="2279">
      <formula>#REF! = "produs"</formula>
    </cfRule>
    <cfRule type="expression" dxfId="2658" priority="2280">
      <formula>#REF! = "obiectiv"</formula>
    </cfRule>
  </conditionalFormatting>
  <conditionalFormatting sqref="L575:P575">
    <cfRule type="expression" dxfId="2657" priority="2277">
      <formula>#REF! = "produs"</formula>
    </cfRule>
    <cfRule type="expression" dxfId="2656" priority="2278">
      <formula>#REF! = "obiectiv"</formula>
    </cfRule>
  </conditionalFormatting>
  <conditionalFormatting sqref="V594:V602">
    <cfRule type="expression" dxfId="2655" priority="2275">
      <formula>#REF! = "produs"</formula>
    </cfRule>
    <cfRule type="expression" dxfId="2654" priority="2276">
      <formula>#REF! = "obiectiv"</formula>
    </cfRule>
  </conditionalFormatting>
  <conditionalFormatting sqref="J772">
    <cfRule type="expression" dxfId="2653" priority="1575">
      <formula>#REF! = "produs"</formula>
    </cfRule>
    <cfRule type="expression" dxfId="2652" priority="1576">
      <formula>#REF! = "obiectiv"</formula>
    </cfRule>
  </conditionalFormatting>
  <conditionalFormatting sqref="J769">
    <cfRule type="expression" dxfId="2651" priority="1573">
      <formula>#REF! = "produs"</formula>
    </cfRule>
    <cfRule type="expression" dxfId="2650" priority="1574">
      <formula>#REF! = "obiectiv"</formula>
    </cfRule>
  </conditionalFormatting>
  <conditionalFormatting sqref="Q771:U777">
    <cfRule type="expression" dxfId="2649" priority="1571">
      <formula>#REF! = "produs"</formula>
    </cfRule>
    <cfRule type="expression" dxfId="2648" priority="1572">
      <formula>#REF! = "obiectiv"</formula>
    </cfRule>
  </conditionalFormatting>
  <conditionalFormatting sqref="Q769:U769">
    <cfRule type="expression" dxfId="2647" priority="1569">
      <formula>#REF! = "produs"</formula>
    </cfRule>
    <cfRule type="expression" dxfId="2646" priority="1570">
      <formula>#REF! = "obiectiv"</formula>
    </cfRule>
  </conditionalFormatting>
  <conditionalFormatting sqref="J771">
    <cfRule type="expression" dxfId="2645" priority="1567">
      <formula>#REF! = "produs"</formula>
    </cfRule>
    <cfRule type="expression" dxfId="2644" priority="1568">
      <formula>#REF! = "obiectiv"</formula>
    </cfRule>
  </conditionalFormatting>
  <conditionalFormatting sqref="V1024:V1033">
    <cfRule type="expression" dxfId="2643" priority="1239">
      <formula>#REF! = "produs"</formula>
    </cfRule>
    <cfRule type="expression" dxfId="2642" priority="1240">
      <formula>#REF! = "obiectiv"</formula>
    </cfRule>
  </conditionalFormatting>
  <conditionalFormatting sqref="W1025:IU1026 W1028:IU1033">
    <cfRule type="expression" dxfId="2641" priority="1237">
      <formula>#REF! = "produs"</formula>
    </cfRule>
    <cfRule type="expression" dxfId="2640" priority="1238">
      <formula>#REF! = "obiectiv"</formula>
    </cfRule>
  </conditionalFormatting>
  <conditionalFormatting sqref="W605:IU606 W608:IU613">
    <cfRule type="expression" dxfId="2639" priority="2165">
      <formula>#REF! = "produs"</formula>
    </cfRule>
    <cfRule type="expression" dxfId="2638" priority="2166">
      <formula>#REF! = "obiectiv"</formula>
    </cfRule>
  </conditionalFormatting>
  <conditionalFormatting sqref="H759">
    <cfRule type="expression" dxfId="2637" priority="1595">
      <formula>#REF! = "produs"</formula>
    </cfRule>
    <cfRule type="expression" dxfId="2636" priority="1596">
      <formula>#REF! = "obiectiv"</formula>
    </cfRule>
  </conditionalFormatting>
  <conditionalFormatting sqref="H769">
    <cfRule type="expression" dxfId="2635" priority="1565">
      <formula>#REF! = "produs"</formula>
    </cfRule>
    <cfRule type="expression" dxfId="2634" priority="1566">
      <formula>#REF! = "obiectiv"</formula>
    </cfRule>
  </conditionalFormatting>
  <conditionalFormatting sqref="J609">
    <cfRule type="expression" dxfId="2633" priority="2117">
      <formula>#REF! = "produs"</formula>
    </cfRule>
    <cfRule type="expression" dxfId="2632" priority="2118">
      <formula>#REF! = "obiectiv"</formula>
    </cfRule>
  </conditionalFormatting>
  <conditionalFormatting sqref="J617">
    <cfRule type="expression" dxfId="2631" priority="2183">
      <formula>#REF! = "produs"</formula>
    </cfRule>
    <cfRule type="expression" dxfId="2630" priority="2184">
      <formula>#REF! = "obiectiv"</formula>
    </cfRule>
  </conditionalFormatting>
  <conditionalFormatting sqref="J605 J612:J613 J610 J608">
    <cfRule type="expression" dxfId="2629" priority="2127">
      <formula>#REF! = "produs"</formula>
    </cfRule>
    <cfRule type="expression" dxfId="2628" priority="2128">
      <formula>#REF! = "obiectiv"</formula>
    </cfRule>
  </conditionalFormatting>
  <conditionalFormatting sqref="J611">
    <cfRule type="expression" dxfId="2627" priority="2123">
      <formula>#REF! = "produs"</formula>
    </cfRule>
    <cfRule type="expression" dxfId="2626" priority="2124">
      <formula>#REF! = "obiectiv"</formula>
    </cfRule>
  </conditionalFormatting>
  <conditionalFormatting sqref="K605:K606 K608:K613">
    <cfRule type="expression" dxfId="2625" priority="2129">
      <formula>#REF! = "produs"</formula>
    </cfRule>
    <cfRule type="expression" dxfId="2624" priority="2130">
      <formula>#REF! = "obiectiv"</formula>
    </cfRule>
  </conditionalFormatting>
  <conditionalFormatting sqref="L612:P612 L605:U605 L613:V613 L606:P609">
    <cfRule type="expression" dxfId="2623" priority="2125">
      <formula>#REF! = "produs"</formula>
    </cfRule>
    <cfRule type="expression" dxfId="2622" priority="2126">
      <formula>#REF! = "obiectiv"</formula>
    </cfRule>
  </conditionalFormatting>
  <conditionalFormatting sqref="L610:P610">
    <cfRule type="expression" dxfId="2621" priority="2119">
      <formula>#REF! = "produs"</formula>
    </cfRule>
    <cfRule type="expression" dxfId="2620" priority="2120">
      <formula>#REF! = "obiectiv"</formula>
    </cfRule>
  </conditionalFormatting>
  <conditionalFormatting sqref="V604:V612">
    <cfRule type="expression" dxfId="2619" priority="2131">
      <formula>#REF! = "produs"</formula>
    </cfRule>
    <cfRule type="expression" dxfId="2618" priority="2132">
      <formula>#REF! = "obiectiv"</formula>
    </cfRule>
  </conditionalFormatting>
  <conditionalFormatting sqref="L611:P611">
    <cfRule type="expression" dxfId="2617" priority="2121">
      <formula>#REF! = "produs"</formula>
    </cfRule>
    <cfRule type="expression" dxfId="2616" priority="2122">
      <formula>#REF! = "obiectiv"</formula>
    </cfRule>
  </conditionalFormatting>
  <conditionalFormatting sqref="K607">
    <cfRule type="expression" dxfId="2615" priority="2115">
      <formula>#REF! = "produs"</formula>
    </cfRule>
    <cfRule type="expression" dxfId="2614" priority="2116">
      <formula>#REF! = "obiectiv"</formula>
    </cfRule>
  </conditionalFormatting>
  <conditionalFormatting sqref="J604">
    <cfRule type="expression" dxfId="2613" priority="2111">
      <formula>#REF! = "produs"</formula>
    </cfRule>
    <cfRule type="expression" dxfId="2612" priority="2112">
      <formula>#REF! = "obiectiv"</formula>
    </cfRule>
  </conditionalFormatting>
  <conditionalFormatting sqref="Q614:U614">
    <cfRule type="expression" dxfId="2611" priority="2177">
      <formula>#REF! = "produs"</formula>
    </cfRule>
    <cfRule type="expression" dxfId="2610" priority="2178">
      <formula>#REF! = "obiectiv"</formula>
    </cfRule>
  </conditionalFormatting>
  <conditionalFormatting sqref="H614">
    <cfRule type="expression" dxfId="2609" priority="2175">
      <formula>#REF! = "produs"</formula>
    </cfRule>
    <cfRule type="expression" dxfId="2608" priority="2176">
      <formula>#REF! = "obiectiv"</formula>
    </cfRule>
  </conditionalFormatting>
  <conditionalFormatting sqref="K1025:K1026 K1028:K1033">
    <cfRule type="expression" dxfId="2607" priority="1235">
      <formula>#REF! = "produs"</formula>
    </cfRule>
    <cfRule type="expression" dxfId="2606" priority="1236">
      <formula>#REF! = "obiectiv"</formula>
    </cfRule>
  </conditionalFormatting>
  <conditionalFormatting sqref="J1025 J1032:J1033 J1030 J1028">
    <cfRule type="expression" dxfId="2605" priority="1233">
      <formula>#REF! = "produs"</formula>
    </cfRule>
    <cfRule type="expression" dxfId="2604" priority="1234">
      <formula>#REF! = "obiectiv"</formula>
    </cfRule>
  </conditionalFormatting>
  <conditionalFormatting sqref="V769:V778">
    <cfRule type="expression" dxfId="2603" priority="1593">
      <formula>#REF! = "produs"</formula>
    </cfRule>
    <cfRule type="expression" dxfId="2602" priority="1594">
      <formula>#REF! = "obiectiv"</formula>
    </cfRule>
  </conditionalFormatting>
  <conditionalFormatting sqref="K770:K771 K773:K778">
    <cfRule type="expression" dxfId="2601" priority="1591">
      <formula>#REF! = "produs"</formula>
    </cfRule>
    <cfRule type="expression" dxfId="2600" priority="1592">
      <formula>#REF! = "obiectiv"</formula>
    </cfRule>
  </conditionalFormatting>
  <conditionalFormatting sqref="J770 J777:J778 J775 J773">
    <cfRule type="expression" dxfId="2599" priority="1589">
      <formula>#REF! = "produs"</formula>
    </cfRule>
    <cfRule type="expression" dxfId="2598" priority="1590">
      <formula>#REF! = "obiectiv"</formula>
    </cfRule>
  </conditionalFormatting>
  <conditionalFormatting sqref="Q778:U778 Q770:U770">
    <cfRule type="expression" dxfId="2597" priority="1587">
      <formula>#REF! = "produs"</formula>
    </cfRule>
    <cfRule type="expression" dxfId="2596" priority="1588">
      <formula>#REF! = "obiectiv"</formula>
    </cfRule>
  </conditionalFormatting>
  <conditionalFormatting sqref="J776">
    <cfRule type="expression" dxfId="2595" priority="1585">
      <formula>#REF! = "produs"</formula>
    </cfRule>
    <cfRule type="expression" dxfId="2594" priority="1586">
      <formula>#REF! = "obiectiv"</formula>
    </cfRule>
  </conditionalFormatting>
  <conditionalFormatting sqref="G584">
    <cfRule type="expression" dxfId="2593" priority="2281">
      <formula>#REF! = "produs"</formula>
    </cfRule>
    <cfRule type="expression" dxfId="2592" priority="2282">
      <formula>#REF! = "obiectiv"</formula>
    </cfRule>
  </conditionalFormatting>
  <conditionalFormatting sqref="W607:IU607">
    <cfRule type="expression" dxfId="2591" priority="2149">
      <formula>#REF! = "produs"</formula>
    </cfRule>
    <cfRule type="expression" dxfId="2590" priority="2150">
      <formula>#REF! = "obiectiv"</formula>
    </cfRule>
  </conditionalFormatting>
  <conditionalFormatting sqref="J537">
    <cfRule type="expression" dxfId="2589" priority="2539">
      <formula>#REF! = "produs"</formula>
    </cfRule>
    <cfRule type="expression" dxfId="2588" priority="2540">
      <formula>#REF! = "obiectiv"</formula>
    </cfRule>
  </conditionalFormatting>
  <conditionalFormatting sqref="J557">
    <cfRule type="expression" dxfId="2587" priority="2605">
      <formula>#REF! = "produs"</formula>
    </cfRule>
    <cfRule type="expression" dxfId="2586" priority="2606">
      <formula>#REF! = "obiectiv"</formula>
    </cfRule>
  </conditionalFormatting>
  <conditionalFormatting sqref="K535 W535:IU535">
    <cfRule type="expression" dxfId="2585" priority="2537">
      <formula>#REF! = "produs"</formula>
    </cfRule>
    <cfRule type="expression" dxfId="2584" priority="2538">
      <formula>#REF! = "obiectiv"</formula>
    </cfRule>
  </conditionalFormatting>
  <conditionalFormatting sqref="J555">
    <cfRule type="expression" dxfId="2583" priority="2601">
      <formula>#REF! = "produs"</formula>
    </cfRule>
    <cfRule type="expression" dxfId="2582" priority="2602">
      <formula>#REF! = "obiectiv"</formula>
    </cfRule>
  </conditionalFormatting>
  <conditionalFormatting sqref="Q514:U520">
    <cfRule type="expression" dxfId="2581" priority="2597">
      <formula>#REF! = "produs"</formula>
    </cfRule>
    <cfRule type="expression" dxfId="2580" priority="2598">
      <formula>#REF! = "obiectiv"</formula>
    </cfRule>
  </conditionalFormatting>
  <conditionalFormatting sqref="G522:G561">
    <cfRule type="expression" dxfId="2579" priority="2587">
      <formula>#REF! = "produs"</formula>
    </cfRule>
    <cfRule type="expression" dxfId="2578" priority="2588">
      <formula>#REF! = "obiectiv"</formula>
    </cfRule>
  </conditionalFormatting>
  <conditionalFormatting sqref="Q554:U560">
    <cfRule type="expression" dxfId="2577" priority="2591">
      <formula>#REF! = "produs"</formula>
    </cfRule>
    <cfRule type="expression" dxfId="2576" priority="2592">
      <formula>#REF! = "obiectiv"</formula>
    </cfRule>
  </conditionalFormatting>
  <conditionalFormatting sqref="K555 W555:IU555">
    <cfRule type="expression" dxfId="2575" priority="2603">
      <formula>#REF! = "produs"</formula>
    </cfRule>
    <cfRule type="expression" dxfId="2574" priority="2604">
      <formula>#REF! = "obiectiv"</formula>
    </cfRule>
  </conditionalFormatting>
  <conditionalFormatting sqref="J552 J542 J522 J512">
    <cfRule type="expression" dxfId="2573" priority="2599">
      <formula>#REF! = "produs"</formula>
    </cfRule>
    <cfRule type="expression" dxfId="2572" priority="2600">
      <formula>#REF! = "obiectiv"</formula>
    </cfRule>
  </conditionalFormatting>
  <conditionalFormatting sqref="Q524:U530">
    <cfRule type="expression" dxfId="2571" priority="2595">
      <formula>#REF! = "produs"</formula>
    </cfRule>
    <cfRule type="expression" dxfId="2570" priority="2596">
      <formula>#REF! = "obiectiv"</formula>
    </cfRule>
  </conditionalFormatting>
  <conditionalFormatting sqref="Q544:U550">
    <cfRule type="expression" dxfId="2569" priority="2593">
      <formula>#REF! = "produs"</formula>
    </cfRule>
    <cfRule type="expression" dxfId="2568" priority="2594">
      <formula>#REF! = "obiectiv"</formula>
    </cfRule>
  </conditionalFormatting>
  <conditionalFormatting sqref="Q552:U552 Q542:U542 Q522:U522 Q512:U512">
    <cfRule type="expression" dxfId="2567" priority="2589">
      <formula>#REF! = "produs"</formula>
    </cfRule>
    <cfRule type="expression" dxfId="2566" priority="2590">
      <formula>#REF! = "obiectiv"</formula>
    </cfRule>
  </conditionalFormatting>
  <conditionalFormatting sqref="J554 J544 J524 J514">
    <cfRule type="expression" dxfId="2565" priority="2585">
      <formula>#REF! = "produs"</formula>
    </cfRule>
    <cfRule type="expression" dxfId="2564" priority="2586">
      <formula>#REF! = "obiectiv"</formula>
    </cfRule>
  </conditionalFormatting>
  <conditionalFormatting sqref="L512:P512">
    <cfRule type="expression" dxfId="2563" priority="2583">
      <formula>#REF! = "produs"</formula>
    </cfRule>
    <cfRule type="expression" dxfId="2562" priority="2584">
      <formula>#REF! = "obiectiv"</formula>
    </cfRule>
  </conditionalFormatting>
  <conditionalFormatting sqref="H522">
    <cfRule type="expression" dxfId="2561" priority="2581">
      <formula>#REF! = "produs"</formula>
    </cfRule>
    <cfRule type="expression" dxfId="2560" priority="2582">
      <formula>#REF! = "obiectiv"</formula>
    </cfRule>
  </conditionalFormatting>
  <conditionalFormatting sqref="H542">
    <cfRule type="expression" dxfId="2559" priority="2579">
      <formula>#REF! = "produs"</formula>
    </cfRule>
    <cfRule type="expression" dxfId="2558" priority="2580">
      <formula>#REF! = "obiectiv"</formula>
    </cfRule>
  </conditionalFormatting>
  <conditionalFormatting sqref="H552">
    <cfRule type="expression" dxfId="2557" priority="2577">
      <formula>#REF! = "produs"</formula>
    </cfRule>
    <cfRule type="expression" dxfId="2556" priority="2578">
      <formula>#REF! = "obiectiv"</formula>
    </cfRule>
  </conditionalFormatting>
  <conditionalFormatting sqref="L514:P514">
    <cfRule type="expression" dxfId="2555" priority="2575">
      <formula>#REF! = "produs"</formula>
    </cfRule>
    <cfRule type="expression" dxfId="2554" priority="2576">
      <formula>#REF! = "obiectiv"</formula>
    </cfRule>
  </conditionalFormatting>
  <conditionalFormatting sqref="L517:N517">
    <cfRule type="expression" dxfId="2553" priority="2573">
      <formula>#REF! = "produs"</formula>
    </cfRule>
    <cfRule type="expression" dxfId="2552" priority="2574">
      <formula>#REF! = "obiectiv"</formula>
    </cfRule>
  </conditionalFormatting>
  <conditionalFormatting sqref="W638:IU638 K638:P638">
    <cfRule type="expression" dxfId="2551" priority="2039">
      <formula>#REF! = "produs"</formula>
    </cfRule>
    <cfRule type="expression" dxfId="2550" priority="2040">
      <formula>#REF! = "obiectiv"</formula>
    </cfRule>
  </conditionalFormatting>
  <conditionalFormatting sqref="O518:P518">
    <cfRule type="expression" dxfId="2549" priority="2571">
      <formula>#REF! = "produs"</formula>
    </cfRule>
    <cfRule type="expression" dxfId="2548" priority="2572">
      <formula>#REF! = "obiectiv"</formula>
    </cfRule>
  </conditionalFormatting>
  <conditionalFormatting sqref="J635">
    <cfRule type="expression" dxfId="2547" priority="2035">
      <formula>#REF! = "produs"</formula>
    </cfRule>
    <cfRule type="expression" dxfId="2546" priority="2036">
      <formula>#REF! = "obiectiv"</formula>
    </cfRule>
  </conditionalFormatting>
  <conditionalFormatting sqref="Q635:U635">
    <cfRule type="expression" dxfId="2545" priority="2031">
      <formula>#REF! = "produs"</formula>
    </cfRule>
    <cfRule type="expression" dxfId="2544" priority="2032">
      <formula>#REF! = "obiectiv"</formula>
    </cfRule>
  </conditionalFormatting>
  <conditionalFormatting sqref="K533:K534 K536:K541">
    <cfRule type="expression" dxfId="2543" priority="2551">
      <formula>#REF! = "produs"</formula>
    </cfRule>
    <cfRule type="expression" dxfId="2542" priority="2552">
      <formula>#REF! = "obiectiv"</formula>
    </cfRule>
  </conditionalFormatting>
  <conditionalFormatting sqref="V532 V534:V540">
    <cfRule type="expression" dxfId="2541" priority="2555">
      <formula>#REF! = "produs"</formula>
    </cfRule>
    <cfRule type="expression" dxfId="2540" priority="2556">
      <formula>#REF! = "obiectiv"</formula>
    </cfRule>
  </conditionalFormatting>
  <conditionalFormatting sqref="J638">
    <cfRule type="expression" dxfId="2539" priority="2037">
      <formula>#REF! = "produs"</formula>
    </cfRule>
    <cfRule type="expression" dxfId="2538" priority="2038">
      <formula>#REF! = "obiectiv"</formula>
    </cfRule>
  </conditionalFormatting>
  <conditionalFormatting sqref="Q637:U643">
    <cfRule type="expression" dxfId="2537" priority="2033">
      <formula>#REF! = "produs"</formula>
    </cfRule>
    <cfRule type="expression" dxfId="2536" priority="2034">
      <formula>#REF! = "obiectiv"</formula>
    </cfRule>
  </conditionalFormatting>
  <conditionalFormatting sqref="G512:G521">
    <cfRule type="expression" dxfId="2535" priority="2559">
      <formula>#REF! = "produs"</formula>
    </cfRule>
    <cfRule type="expression" dxfId="2534" priority="2560">
      <formula>#REF! = "obiectiv"</formula>
    </cfRule>
  </conditionalFormatting>
  <conditionalFormatting sqref="G512">
    <cfRule type="expression" dxfId="2533" priority="2557">
      <formula>#REF! = "produs"</formula>
    </cfRule>
    <cfRule type="expression" dxfId="2532" priority="2558">
      <formula>#REF! = "obiectiv"</formula>
    </cfRule>
  </conditionalFormatting>
  <conditionalFormatting sqref="W533:IU534 W536:IU541">
    <cfRule type="expression" dxfId="2531" priority="2553">
      <formula>#REF! = "produs"</formula>
    </cfRule>
    <cfRule type="expression" dxfId="2530" priority="2554">
      <formula>#REF! = "obiectiv"</formula>
    </cfRule>
  </conditionalFormatting>
  <conditionalFormatting sqref="J533 J540:J541 J538 J536">
    <cfRule type="expression" dxfId="2529" priority="2549">
      <formula>#REF! = "produs"</formula>
    </cfRule>
    <cfRule type="expression" dxfId="2528" priority="2550">
      <formula>#REF! = "obiectiv"</formula>
    </cfRule>
  </conditionalFormatting>
  <conditionalFormatting sqref="Q541:V541 L533:V533">
    <cfRule type="expression" dxfId="2527" priority="2547">
      <formula>#REF! = "produs"</formula>
    </cfRule>
    <cfRule type="expression" dxfId="2526" priority="2548">
      <formula>#REF! = "obiectiv"</formula>
    </cfRule>
  </conditionalFormatting>
  <conditionalFormatting sqref="J539">
    <cfRule type="expression" dxfId="2525" priority="2545">
      <formula>#REF! = "produs"</formula>
    </cfRule>
    <cfRule type="expression" dxfId="2524" priority="2546">
      <formula>#REF! = "obiectiv"</formula>
    </cfRule>
  </conditionalFormatting>
  <conditionalFormatting sqref="L639:P639 Q644:V644 L643:P643 L636:V636">
    <cfRule type="expression" dxfId="2523" priority="2049">
      <formula>#REF! = "produs"</formula>
    </cfRule>
    <cfRule type="expression" dxfId="2522" priority="2050">
      <formula>#REF! = "obiectiv"</formula>
    </cfRule>
  </conditionalFormatting>
  <conditionalFormatting sqref="J642">
    <cfRule type="expression" dxfId="2521" priority="2047">
      <formula>#REF! = "produs"</formula>
    </cfRule>
    <cfRule type="expression" dxfId="2520" priority="2048">
      <formula>#REF! = "obiectiv"</formula>
    </cfRule>
  </conditionalFormatting>
  <conditionalFormatting sqref="Q799:U799">
    <cfRule type="expression" dxfId="2519" priority="1475">
      <formula>#REF! = "produs"</formula>
    </cfRule>
    <cfRule type="expression" dxfId="2518" priority="1476">
      <formula>#REF! = "obiectiv"</formula>
    </cfRule>
  </conditionalFormatting>
  <conditionalFormatting sqref="J607">
    <cfRule type="expression" dxfId="2517" priority="2113">
      <formula>#REF! = "produs"</formula>
    </cfRule>
    <cfRule type="expression" dxfId="2516" priority="2114">
      <formula>#REF! = "obiectiv"</formula>
    </cfRule>
  </conditionalFormatting>
  <conditionalFormatting sqref="L532:P532">
    <cfRule type="expression" dxfId="2515" priority="2523">
      <formula>#REF! = "produs"</formula>
    </cfRule>
    <cfRule type="expression" dxfId="2514" priority="2524">
      <formula>#REF! = "obiectiv"</formula>
    </cfRule>
  </conditionalFormatting>
  <conditionalFormatting sqref="J534">
    <cfRule type="expression" dxfId="2513" priority="2525">
      <formula>#REF! = "produs"</formula>
    </cfRule>
    <cfRule type="expression" dxfId="2512" priority="2526">
      <formula>#REF! = "obiectiv"</formula>
    </cfRule>
  </conditionalFormatting>
  <conditionalFormatting sqref="L635:P635">
    <cfRule type="expression" dxfId="2511" priority="2025">
      <formula>#REF! = "produs"</formula>
    </cfRule>
    <cfRule type="expression" dxfId="2510" priority="2026">
      <formula>#REF! = "obiectiv"</formula>
    </cfRule>
  </conditionalFormatting>
  <conditionalFormatting sqref="G522 G532 G542 G552">
    <cfRule type="expression" dxfId="2509" priority="2515">
      <formula>#REF! = "produs"</formula>
    </cfRule>
    <cfRule type="expression" dxfId="2508" priority="2516">
      <formula>#REF! = "obiectiv"</formula>
    </cfRule>
  </conditionalFormatting>
  <conditionalFormatting sqref="J637">
    <cfRule type="expression" dxfId="2507" priority="2027">
      <formula>#REF! = "produs"</formula>
    </cfRule>
    <cfRule type="expression" dxfId="2506" priority="2028">
      <formula>#REF! = "obiectiv"</formula>
    </cfRule>
  </conditionalFormatting>
  <conditionalFormatting sqref="L637:P637">
    <cfRule type="expression" dxfId="2505" priority="2023">
      <formula>#REF! = "produs"</formula>
    </cfRule>
    <cfRule type="expression" dxfId="2504" priority="2024">
      <formula>#REF! = "obiectiv"</formula>
    </cfRule>
  </conditionalFormatting>
  <conditionalFormatting sqref="J532">
    <cfRule type="expression" dxfId="2503" priority="2533">
      <formula>#REF! = "produs"</formula>
    </cfRule>
    <cfRule type="expression" dxfId="2502" priority="2534">
      <formula>#REF! = "obiectiv"</formula>
    </cfRule>
  </conditionalFormatting>
  <conditionalFormatting sqref="J535">
    <cfRule type="expression" dxfId="2501" priority="2535">
      <formula>#REF! = "produs"</formula>
    </cfRule>
    <cfRule type="expression" dxfId="2500" priority="2536">
      <formula>#REF! = "obiectiv"</formula>
    </cfRule>
  </conditionalFormatting>
  <conditionalFormatting sqref="Q532:U532">
    <cfRule type="expression" dxfId="2499" priority="2529">
      <formula>#REF! = "produs"</formula>
    </cfRule>
    <cfRule type="expression" dxfId="2498" priority="2530">
      <formula>#REF! = "obiectiv"</formula>
    </cfRule>
  </conditionalFormatting>
  <conditionalFormatting sqref="Q534:U540">
    <cfRule type="expression" dxfId="2497" priority="2531">
      <formula>#REF! = "produs"</formula>
    </cfRule>
    <cfRule type="expression" dxfId="2496" priority="2532">
      <formula>#REF! = "obiectiv"</formula>
    </cfRule>
  </conditionalFormatting>
  <conditionalFormatting sqref="H532">
    <cfRule type="expression" dxfId="2495" priority="2527">
      <formula>#REF! = "produs"</formula>
    </cfRule>
    <cfRule type="expression" dxfId="2494" priority="2528">
      <formula>#REF! = "obiectiv"</formula>
    </cfRule>
  </conditionalFormatting>
  <conditionalFormatting sqref="V512:V520 V522:V530 V542:V560">
    <cfRule type="expression" dxfId="2493" priority="2681">
      <formula>#REF! = "produs"</formula>
    </cfRule>
    <cfRule type="expression" dxfId="2492" priority="2682">
      <formula>#REF! = "obiectiv"</formula>
    </cfRule>
  </conditionalFormatting>
  <conditionalFormatting sqref="J559">
    <cfRule type="expression" dxfId="2491" priority="2611">
      <formula>#REF! = "produs"</formula>
    </cfRule>
    <cfRule type="expression" dxfId="2490" priority="2612">
      <formula>#REF! = "obiectiv"</formula>
    </cfRule>
  </conditionalFormatting>
  <conditionalFormatting sqref="J545">
    <cfRule type="expression" dxfId="2489" priority="2621">
      <formula>#REF! = "produs"</formula>
    </cfRule>
    <cfRule type="expression" dxfId="2488" priority="2622">
      <formula>#REF! = "obiectiv"</formula>
    </cfRule>
  </conditionalFormatting>
  <conditionalFormatting sqref="J553 J560:J561 J558 J556">
    <cfRule type="expression" dxfId="2487" priority="2615">
      <formula>#REF! = "produs"</formula>
    </cfRule>
    <cfRule type="expression" dxfId="2486" priority="2616">
      <formula>#REF! = "obiectiv"</formula>
    </cfRule>
  </conditionalFormatting>
  <conditionalFormatting sqref="L683:P684 O685:P685">
    <cfRule type="expression" dxfId="2485" priority="1731">
      <formula>#REF! = "produs"</formula>
    </cfRule>
    <cfRule type="expression" dxfId="2484" priority="1732">
      <formula>#REF! = "obiectiv"</formula>
    </cfRule>
  </conditionalFormatting>
  <conditionalFormatting sqref="J547">
    <cfRule type="expression" dxfId="2483" priority="2625">
      <formula>#REF! = "produs"</formula>
    </cfRule>
    <cfRule type="expression" dxfId="2482" priority="2626">
      <formula>#REF! = "obiectiv"</formula>
    </cfRule>
  </conditionalFormatting>
  <conditionalFormatting sqref="L713:P714 L715:N715">
    <cfRule type="expression" dxfId="2481" priority="1707">
      <formula>#REF! = "produs"</formula>
    </cfRule>
    <cfRule type="expression" dxfId="2480" priority="1708">
      <formula>#REF! = "obiectiv"</formula>
    </cfRule>
  </conditionalFormatting>
  <conditionalFormatting sqref="Q604:U604">
    <cfRule type="expression" dxfId="2479" priority="2107">
      <formula>#REF! = "produs"</formula>
    </cfRule>
    <cfRule type="expression" dxfId="2478" priority="2108">
      <formula>#REF! = "obiectiv"</formula>
    </cfRule>
  </conditionalFormatting>
  <conditionalFormatting sqref="J549">
    <cfRule type="expression" dxfId="2477" priority="2631">
      <formula>#REF! = "produs"</formula>
    </cfRule>
    <cfRule type="expression" dxfId="2476" priority="2632">
      <formula>#REF! = "obiectiv"</formula>
    </cfRule>
  </conditionalFormatting>
  <conditionalFormatting sqref="J513 J520:J521 J518 J516">
    <cfRule type="expression" dxfId="2475" priority="2675">
      <formula>#REF! = "produs"</formula>
    </cfRule>
    <cfRule type="expression" dxfId="2474" priority="2676">
      <formula>#REF! = "obiectiv"</formula>
    </cfRule>
  </conditionalFormatting>
  <conditionalFormatting sqref="J519">
    <cfRule type="expression" dxfId="2473" priority="2671">
      <formula>#REF! = "produs"</formula>
    </cfRule>
    <cfRule type="expression" dxfId="2472" priority="2672">
      <formula>#REF! = "obiectiv"</formula>
    </cfRule>
  </conditionalFormatting>
  <conditionalFormatting sqref="K513:K514 K516:K521">
    <cfRule type="expression" dxfId="2471" priority="2677">
      <formula>#REF! = "produs"</formula>
    </cfRule>
    <cfRule type="expression" dxfId="2470" priority="2678">
      <formula>#REF! = "obiectiv"</formula>
    </cfRule>
  </conditionalFormatting>
  <conditionalFormatting sqref="L520:P520 L516:P516 L513:U513 Q521:V521 O517:P517">
    <cfRule type="expression" dxfId="2469" priority="2673">
      <formula>#REF! = "produs"</formula>
    </cfRule>
    <cfRule type="expression" dxfId="2468" priority="2674">
      <formula>#REF! = "obiectiv"</formula>
    </cfRule>
  </conditionalFormatting>
  <conditionalFormatting sqref="L518:N518">
    <cfRule type="expression" dxfId="2467" priority="2667">
      <formula>#REF! = "produs"</formula>
    </cfRule>
    <cfRule type="expression" dxfId="2466" priority="2668">
      <formula>#REF! = "obiectiv"</formula>
    </cfRule>
  </conditionalFormatting>
  <conditionalFormatting sqref="L693:P694">
    <cfRule type="expression" dxfId="2465" priority="1723">
      <formula>#REF! = "produs"</formula>
    </cfRule>
    <cfRule type="expression" dxfId="2464" priority="1724">
      <formula>#REF! = "obiectiv"</formula>
    </cfRule>
  </conditionalFormatting>
  <conditionalFormatting sqref="J1029">
    <cfRule type="expression" dxfId="2463" priority="1227">
      <formula>#REF! = "produs"</formula>
    </cfRule>
    <cfRule type="expression" dxfId="2462" priority="1228">
      <formula>#REF! = "obiectiv"</formula>
    </cfRule>
  </conditionalFormatting>
  <conditionalFormatting sqref="L723:P724 L725:N725">
    <cfRule type="expression" dxfId="2461" priority="1699">
      <formula>#REF! = "produs"</formula>
    </cfRule>
    <cfRule type="expression" dxfId="2460" priority="1700">
      <formula>#REF! = "obiectiv"</formula>
    </cfRule>
  </conditionalFormatting>
  <conditionalFormatting sqref="W513:IU514 W516:IU521">
    <cfRule type="expression" dxfId="2459" priority="2679">
      <formula>#REF! = "produs"</formula>
    </cfRule>
    <cfRule type="expression" dxfId="2458" priority="2680">
      <formula>#REF! = "obiectiv"</formula>
    </cfRule>
  </conditionalFormatting>
  <conditionalFormatting sqref="G604">
    <cfRule type="expression" dxfId="2457" priority="2101">
      <formula>#REF! = "produs"</formula>
    </cfRule>
    <cfRule type="expression" dxfId="2456" priority="2102">
      <formula>#REF! = "obiectiv"</formula>
    </cfRule>
  </conditionalFormatting>
  <conditionalFormatting sqref="H799">
    <cfRule type="expression" dxfId="2455" priority="1471">
      <formula>#REF! = "produs"</formula>
    </cfRule>
    <cfRule type="expression" dxfId="2454" priority="1472">
      <formula>#REF! = "obiectiv"</formula>
    </cfRule>
  </conditionalFormatting>
  <conditionalFormatting sqref="J1031">
    <cfRule type="expression" dxfId="2453" priority="1229">
      <formula>#REF! = "produs"</formula>
    </cfRule>
    <cfRule type="expression" dxfId="2452" priority="1230">
      <formula>#REF! = "obiectiv"</formula>
    </cfRule>
  </conditionalFormatting>
  <conditionalFormatting sqref="K545 W545:IU545">
    <cfRule type="expression" dxfId="2451" priority="2623">
      <formula>#REF! = "produs"</formula>
    </cfRule>
    <cfRule type="expression" dxfId="2450" priority="2624">
      <formula>#REF! = "obiectiv"</formula>
    </cfRule>
  </conditionalFormatting>
  <conditionalFormatting sqref="W553:IU554 W556:IU561">
    <cfRule type="expression" dxfId="2449" priority="2619">
      <formula>#REF! = "produs"</formula>
    </cfRule>
    <cfRule type="expression" dxfId="2448" priority="2620">
      <formula>#REF! = "obiectiv"</formula>
    </cfRule>
  </conditionalFormatting>
  <conditionalFormatting sqref="K553:K554 K556:K561">
    <cfRule type="expression" dxfId="2447" priority="2617">
      <formula>#REF! = "produs"</formula>
    </cfRule>
    <cfRule type="expression" dxfId="2446" priority="2618">
      <formula>#REF! = "obiectiv"</formula>
    </cfRule>
  </conditionalFormatting>
  <conditionalFormatting sqref="Q553:U553 Q561:V561">
    <cfRule type="expression" dxfId="2445" priority="2613">
      <formula>#REF! = "produs"</formula>
    </cfRule>
    <cfRule type="expression" dxfId="2444" priority="2614">
      <formula>#REF! = "obiectiv"</formula>
    </cfRule>
  </conditionalFormatting>
  <conditionalFormatting sqref="H604">
    <cfRule type="expression" dxfId="2443" priority="2105">
      <formula>#REF! = "produs"</formula>
    </cfRule>
    <cfRule type="expression" dxfId="2442" priority="2106">
      <formula>#REF! = "obiectiv"</formula>
    </cfRule>
  </conditionalFormatting>
  <conditionalFormatting sqref="G604:G613">
    <cfRule type="expression" dxfId="2441" priority="2103">
      <formula>#REF! = "produs"</formula>
    </cfRule>
    <cfRule type="expression" dxfId="2440" priority="2104">
      <formula>#REF! = "obiectiv"</formula>
    </cfRule>
  </conditionalFormatting>
  <conditionalFormatting sqref="L818:U818 L817:P817 L810:U810 L811:P811 L813:P814">
    <cfRule type="expression" dxfId="2439" priority="1459">
      <formula>#REF! = "produs"</formula>
    </cfRule>
    <cfRule type="expression" dxfId="2438" priority="1460">
      <formula>#REF! = "obiectiv"</formula>
    </cfRule>
  </conditionalFormatting>
  <conditionalFormatting sqref="L630:P630">
    <cfRule type="expression" dxfId="2437" priority="2061">
      <formula>#REF! = "produs"</formula>
    </cfRule>
    <cfRule type="expression" dxfId="2436" priority="2062">
      <formula>#REF! = "obiectiv"</formula>
    </cfRule>
  </conditionalFormatting>
  <conditionalFormatting sqref="G635:G644">
    <cfRule type="expression" dxfId="2435" priority="2059">
      <formula>#REF! = "produs"</formula>
    </cfRule>
    <cfRule type="expression" dxfId="2434" priority="2060">
      <formula>#REF! = "obiectiv"</formula>
    </cfRule>
  </conditionalFormatting>
  <conditionalFormatting sqref="V635 V637:V643">
    <cfRule type="expression" dxfId="2433" priority="2057">
      <formula>#REF! = "produs"</formula>
    </cfRule>
    <cfRule type="expression" dxfId="2432" priority="2058">
      <formula>#REF! = "obiectiv"</formula>
    </cfRule>
  </conditionalFormatting>
  <conditionalFormatting sqref="W636:IU637 W639:IU644">
    <cfRule type="expression" dxfId="2431" priority="2055">
      <formula>#REF! = "produs"</formula>
    </cfRule>
    <cfRule type="expression" dxfId="2430" priority="2056">
      <formula>#REF! = "obiectiv"</formula>
    </cfRule>
  </conditionalFormatting>
  <conditionalFormatting sqref="K636:K637 K639:K644">
    <cfRule type="expression" dxfId="2429" priority="2053">
      <formula>#REF! = "produs"</formula>
    </cfRule>
    <cfRule type="expression" dxfId="2428" priority="2054">
      <formula>#REF! = "obiectiv"</formula>
    </cfRule>
  </conditionalFormatting>
  <conditionalFormatting sqref="J636 J643:J644 J641 J639">
    <cfRule type="expression" dxfId="2427" priority="2051">
      <formula>#REF! = "produs"</formula>
    </cfRule>
    <cfRule type="expression" dxfId="2426" priority="2052">
      <formula>#REF! = "obiectiv"</formula>
    </cfRule>
  </conditionalFormatting>
  <conditionalFormatting sqref="J809">
    <cfRule type="expression" dxfId="2425" priority="1445">
      <formula>#REF! = "produs"</formula>
    </cfRule>
    <cfRule type="expression" dxfId="2424" priority="1446">
      <formula>#REF! = "obiectiv"</formula>
    </cfRule>
  </conditionalFormatting>
  <conditionalFormatting sqref="Q811:U817">
    <cfRule type="expression" dxfId="2423" priority="1443">
      <formula>#REF! = "produs"</formula>
    </cfRule>
    <cfRule type="expression" dxfId="2422" priority="1444">
      <formula>#REF! = "obiectiv"</formula>
    </cfRule>
  </conditionalFormatting>
  <conditionalFormatting sqref="L642:P642">
    <cfRule type="expression" dxfId="2421" priority="2045">
      <formula>#REF! = "produs"</formula>
    </cfRule>
    <cfRule type="expression" dxfId="2420" priority="2046">
      <formula>#REF! = "obiectiv"</formula>
    </cfRule>
  </conditionalFormatting>
  <conditionalFormatting sqref="L641:N641">
    <cfRule type="expression" dxfId="2419" priority="2043">
      <formula>#REF! = "produs"</formula>
    </cfRule>
    <cfRule type="expression" dxfId="2418" priority="2044">
      <formula>#REF! = "obiectiv"</formula>
    </cfRule>
  </conditionalFormatting>
  <conditionalFormatting sqref="J640">
    <cfRule type="expression" dxfId="2417" priority="2041">
      <formula>#REF! = "produs"</formula>
    </cfRule>
    <cfRule type="expression" dxfId="2416" priority="2042">
      <formula>#REF! = "obiectiv"</formula>
    </cfRule>
  </conditionalFormatting>
  <conditionalFormatting sqref="K741 W741:IU741">
    <cfRule type="expression" dxfId="2415" priority="1781">
      <formula>#REF! = "produs"</formula>
    </cfRule>
    <cfRule type="expression" dxfId="2414" priority="1782">
      <formula>#REF! = "obiectiv"</formula>
    </cfRule>
  </conditionalFormatting>
  <conditionalFormatting sqref="W739:IU740 W742:IU747">
    <cfRule type="expression" dxfId="2413" priority="1795">
      <formula>#REF! = "produs"</formula>
    </cfRule>
    <cfRule type="expression" dxfId="2412" priority="1796">
      <formula>#REF! = "obiectiv"</formula>
    </cfRule>
  </conditionalFormatting>
  <conditionalFormatting sqref="K739:K740 K742:K747">
    <cfRule type="expression" dxfId="2411" priority="1793">
      <formula>#REF! = "produs"</formula>
    </cfRule>
    <cfRule type="expression" dxfId="2410" priority="1794">
      <formula>#REF! = "obiectiv"</formula>
    </cfRule>
  </conditionalFormatting>
  <conditionalFormatting sqref="H635">
    <cfRule type="expression" dxfId="2409" priority="2029">
      <formula>#REF! = "produs"</formula>
    </cfRule>
    <cfRule type="expression" dxfId="2408" priority="2030">
      <formula>#REF! = "obiectiv"</formula>
    </cfRule>
  </conditionalFormatting>
  <conditionalFormatting sqref="Q747:U747 Q739:U739">
    <cfRule type="expression" dxfId="2407" priority="1789">
      <formula>#REF! = "produs"</formula>
    </cfRule>
    <cfRule type="expression" dxfId="2406" priority="1790">
      <formula>#REF! = "obiectiv"</formula>
    </cfRule>
  </conditionalFormatting>
  <conditionalFormatting sqref="J816">
    <cfRule type="expression" dxfId="2405" priority="1457">
      <formula>#REF! = "produs"</formula>
    </cfRule>
    <cfRule type="expression" dxfId="2404" priority="1458">
      <formula>#REF! = "obiectiv"</formula>
    </cfRule>
  </conditionalFormatting>
  <conditionalFormatting sqref="Q809:U809">
    <cfRule type="expression" dxfId="2403" priority="1441">
      <formula>#REF! = "produs"</formula>
    </cfRule>
    <cfRule type="expression" dxfId="2402" priority="1442">
      <formula>#REF! = "obiectiv"</formula>
    </cfRule>
  </conditionalFormatting>
  <conditionalFormatting sqref="H809">
    <cfRule type="expression" dxfId="2401" priority="1437">
      <formula>#REF! = "produs"</formula>
    </cfRule>
    <cfRule type="expression" dxfId="2400" priority="1438">
      <formula>#REF! = "obiectiv"</formula>
    </cfRule>
  </conditionalFormatting>
  <conditionalFormatting sqref="J814">
    <cfRule type="expression" dxfId="2399" priority="1451">
      <formula>#REF! = "produs"</formula>
    </cfRule>
    <cfRule type="expression" dxfId="2398" priority="1452">
      <formula>#REF! = "obiectiv"</formula>
    </cfRule>
  </conditionalFormatting>
  <conditionalFormatting sqref="J812">
    <cfRule type="expression" dxfId="2397" priority="1447">
      <formula>#REF! = "produs"</formula>
    </cfRule>
    <cfRule type="expression" dxfId="2396" priority="1448">
      <formula>#REF! = "obiectiv"</formula>
    </cfRule>
  </conditionalFormatting>
  <conditionalFormatting sqref="L815:P815">
    <cfRule type="expression" dxfId="2395" priority="1453">
      <formula>#REF! = "produs"</formula>
    </cfRule>
    <cfRule type="expression" dxfId="2394" priority="1454">
      <formula>#REF! = "obiectiv"</formula>
    </cfRule>
  </conditionalFormatting>
  <conditionalFormatting sqref="K812:P812">
    <cfRule type="expression" dxfId="2393" priority="1449">
      <formula>#REF! = "produs"</formula>
    </cfRule>
    <cfRule type="expression" dxfId="2392" priority="1450">
      <formula>#REF! = "obiectiv"</formula>
    </cfRule>
  </conditionalFormatting>
  <conditionalFormatting sqref="W615:IU616 W618:IU623">
    <cfRule type="expression" dxfId="2391" priority="2201">
      <formula>#REF! = "produs"</formula>
    </cfRule>
    <cfRule type="expression" dxfId="2390" priority="2202">
      <formula>#REF! = "obiectiv"</formula>
    </cfRule>
  </conditionalFormatting>
  <conditionalFormatting sqref="L816:P816">
    <cfRule type="expression" dxfId="2389" priority="1455">
      <formula>#REF! = "produs"</formula>
    </cfRule>
    <cfRule type="expression" dxfId="2388" priority="1456">
      <formula>#REF! = "obiectiv"</formula>
    </cfRule>
  </conditionalFormatting>
  <conditionalFormatting sqref="V614:V622">
    <cfRule type="expression" dxfId="2387" priority="2203">
      <formula>#REF! = "produs"</formula>
    </cfRule>
    <cfRule type="expression" dxfId="2386" priority="2204">
      <formula>#REF! = "obiectiv"</formula>
    </cfRule>
  </conditionalFormatting>
  <conditionalFormatting sqref="J811">
    <cfRule type="expression" dxfId="2385" priority="1439">
      <formula>#REF! = "produs"</formula>
    </cfRule>
    <cfRule type="expression" dxfId="2384" priority="1440">
      <formula>#REF! = "obiectiv"</formula>
    </cfRule>
  </conditionalFormatting>
  <conditionalFormatting sqref="L673:P674">
    <cfRule type="expression" dxfId="2383" priority="1799">
      <formula>#REF! = "produs"</formula>
    </cfRule>
    <cfRule type="expression" dxfId="2382" priority="1800">
      <formula>#REF! = "obiectiv"</formula>
    </cfRule>
  </conditionalFormatting>
  <conditionalFormatting sqref="V738:V747">
    <cfRule type="expression" dxfId="2381" priority="1797">
      <formula>#REF! = "produs"</formula>
    </cfRule>
    <cfRule type="expression" dxfId="2380" priority="1798">
      <formula>#REF! = "obiectiv"</formula>
    </cfRule>
  </conditionalFormatting>
  <conditionalFormatting sqref="J739 J746:J747 J744 J742">
    <cfRule type="expression" dxfId="2379" priority="1791">
      <formula>#REF! = "produs"</formula>
    </cfRule>
    <cfRule type="expression" dxfId="2378" priority="1792">
      <formula>#REF! = "obiectiv"</formula>
    </cfRule>
  </conditionalFormatting>
  <conditionalFormatting sqref="L1015:P1015">
    <cfRule type="expression" dxfId="2377" priority="1247">
      <formula>#REF! = "produs"</formula>
    </cfRule>
    <cfRule type="expression" dxfId="2376" priority="1248">
      <formula>#REF! = "obiectiv"</formula>
    </cfRule>
  </conditionalFormatting>
  <conditionalFormatting sqref="L640:P640">
    <cfRule type="expression" dxfId="2375" priority="2021">
      <formula>#REF! = "produs"</formula>
    </cfRule>
    <cfRule type="expression" dxfId="2374" priority="2022">
      <formula>#REF! = "obiectiv"</formula>
    </cfRule>
  </conditionalFormatting>
  <conditionalFormatting sqref="O641:P641">
    <cfRule type="expression" dxfId="2373" priority="2019">
      <formula>#REF! = "produs"</formula>
    </cfRule>
    <cfRule type="expression" dxfId="2372" priority="2020">
      <formula>#REF! = "obiectiv"</formula>
    </cfRule>
  </conditionalFormatting>
  <conditionalFormatting sqref="L644:P644">
    <cfRule type="expression" dxfId="2371" priority="2015">
      <formula>#REF! = "produs"</formula>
    </cfRule>
    <cfRule type="expression" dxfId="2370" priority="2016">
      <formula>#REF! = "obiectiv"</formula>
    </cfRule>
  </conditionalFormatting>
  <conditionalFormatting sqref="G635">
    <cfRule type="expression" dxfId="2369" priority="2017">
      <formula>#REF! = "produs"</formula>
    </cfRule>
    <cfRule type="expression" dxfId="2368" priority="2018">
      <formula>#REF! = "obiectiv"</formula>
    </cfRule>
  </conditionalFormatting>
  <conditionalFormatting sqref="L622:P622 L615:U615 L623:V623 L616:P619">
    <cfRule type="expression" dxfId="2367" priority="2195">
      <formula>#REF! = "produs"</formula>
    </cfRule>
    <cfRule type="expression" dxfId="2366" priority="2196">
      <formula>#REF! = "obiectiv"</formula>
    </cfRule>
  </conditionalFormatting>
  <conditionalFormatting sqref="Q738:U738">
    <cfRule type="expression" dxfId="2365" priority="1773">
      <formula>#REF! = "produs"</formula>
    </cfRule>
    <cfRule type="expression" dxfId="2364" priority="1774">
      <formula>#REF! = "obiectiv"</formula>
    </cfRule>
  </conditionalFormatting>
  <conditionalFormatting sqref="L1043:P1043">
    <cfRule type="expression" dxfId="2363" priority="1327">
      <formula>#REF! = "produs"</formula>
    </cfRule>
    <cfRule type="expression" dxfId="2362" priority="1328">
      <formula>#REF! = "obiectiv"</formula>
    </cfRule>
  </conditionalFormatting>
  <conditionalFormatting sqref="L733:P734 L735:O735">
    <cfRule type="expression" dxfId="2361" priority="1691">
      <formula>#REF! = "produs"</formula>
    </cfRule>
    <cfRule type="expression" dxfId="2360" priority="1692">
      <formula>#REF! = "obiectiv"</formula>
    </cfRule>
  </conditionalFormatting>
  <conditionalFormatting sqref="L1011:P1011">
    <cfRule type="expression" dxfId="2359" priority="1321">
      <formula>#REF! = "produs"</formula>
    </cfRule>
    <cfRule type="expression" dxfId="2358" priority="1322">
      <formula>#REF! = "obiectiv"</formula>
    </cfRule>
  </conditionalFormatting>
  <conditionalFormatting sqref="L1012:P1013 L1008:P1009 L1005:P1006 L1010:N1010">
    <cfRule type="expression" dxfId="2357" priority="1323">
      <formula>#REF! = "produs"</formula>
    </cfRule>
    <cfRule type="expression" dxfId="2356" priority="1324">
      <formula>#REF! = "obiectiv"</formula>
    </cfRule>
  </conditionalFormatting>
  <conditionalFormatting sqref="L1040:P1040">
    <cfRule type="expression" dxfId="2355" priority="1311">
      <formula>#REF! = "produs"</formula>
    </cfRule>
    <cfRule type="expression" dxfId="2354" priority="1312">
      <formula>#REF! = "obiectiv"</formula>
    </cfRule>
  </conditionalFormatting>
  <conditionalFormatting sqref="L1042:P1042 L1035:P1036 L1038:P1039">
    <cfRule type="expression" dxfId="2353" priority="1315">
      <formula>#REF! = "produs"</formula>
    </cfRule>
    <cfRule type="expression" dxfId="2352" priority="1316">
      <formula>#REF! = "obiectiv"</formula>
    </cfRule>
  </conditionalFormatting>
  <conditionalFormatting sqref="L743:P744 L745:N745">
    <cfRule type="expression" dxfId="2351" priority="1683">
      <formula>#REF! = "produs"</formula>
    </cfRule>
    <cfRule type="expression" dxfId="2350" priority="1684">
      <formula>#REF! = "obiectiv"</formula>
    </cfRule>
  </conditionalFormatting>
  <conditionalFormatting sqref="L1041:P1041">
    <cfRule type="expression" dxfId="2349" priority="1313">
      <formula>#REF! = "produs"</formula>
    </cfRule>
    <cfRule type="expression" dxfId="2348" priority="1314">
      <formula>#REF! = "obiectiv"</formula>
    </cfRule>
  </conditionalFormatting>
  <conditionalFormatting sqref="L1037:P1037">
    <cfRule type="expression" dxfId="2347" priority="1309">
      <formula>#REF! = "produs"</formula>
    </cfRule>
    <cfRule type="expression" dxfId="2346" priority="1310">
      <formula>#REF! = "obiectiv"</formula>
    </cfRule>
  </conditionalFormatting>
  <conditionalFormatting sqref="V748:V757">
    <cfRule type="expression" dxfId="2345" priority="1673">
      <formula>#REF! = "produs"</formula>
    </cfRule>
    <cfRule type="expression" dxfId="2344" priority="1674">
      <formula>#REF! = "obiectiv"</formula>
    </cfRule>
  </conditionalFormatting>
  <conditionalFormatting sqref="W749:IU750 W752:IU757">
    <cfRule type="expression" dxfId="2343" priority="1671">
      <formula>#REF! = "produs"</formula>
    </cfRule>
    <cfRule type="expression" dxfId="2342" priority="1672">
      <formula>#REF! = "obiectiv"</formula>
    </cfRule>
  </conditionalFormatting>
  <conditionalFormatting sqref="J753">
    <cfRule type="expression" dxfId="2341" priority="1661">
      <formula>#REF! = "produs"</formula>
    </cfRule>
    <cfRule type="expression" dxfId="2340" priority="1662">
      <formula>#REF! = "obiectiv"</formula>
    </cfRule>
  </conditionalFormatting>
  <conditionalFormatting sqref="K749:K750 K752:K757">
    <cfRule type="expression" dxfId="2339" priority="1669">
      <formula>#REF! = "produs"</formula>
    </cfRule>
    <cfRule type="expression" dxfId="2338" priority="1670">
      <formula>#REF! = "obiectiv"</formula>
    </cfRule>
  </conditionalFormatting>
  <conditionalFormatting sqref="Q757:U757 Q749:U749">
    <cfRule type="expression" dxfId="2337" priority="1665">
      <formula>#REF! = "produs"</formula>
    </cfRule>
    <cfRule type="expression" dxfId="2336" priority="1666">
      <formula>#REF! = "obiectiv"</formula>
    </cfRule>
  </conditionalFormatting>
  <conditionalFormatting sqref="J749 J756:J757 J754 J752">
    <cfRule type="expression" dxfId="2335" priority="1667">
      <formula>#REF! = "produs"</formula>
    </cfRule>
    <cfRule type="expression" dxfId="2334" priority="1668">
      <formula>#REF! = "obiectiv"</formula>
    </cfRule>
  </conditionalFormatting>
  <conditionalFormatting sqref="J755">
    <cfRule type="expression" dxfId="2333" priority="1663">
      <formula>#REF! = "produs"</formula>
    </cfRule>
    <cfRule type="expression" dxfId="2332" priority="1664">
      <formula>#REF! = "obiectiv"</formula>
    </cfRule>
  </conditionalFormatting>
  <conditionalFormatting sqref="K751 W751:IU751">
    <cfRule type="expression" dxfId="2331" priority="1659">
      <formula>#REF! = "produs"</formula>
    </cfRule>
    <cfRule type="expression" dxfId="2330" priority="1660">
      <formula>#REF! = "obiectiv"</formula>
    </cfRule>
  </conditionalFormatting>
  <conditionalFormatting sqref="J986">
    <cfRule type="expression" dxfId="2329" priority="1279">
      <formula>#REF! = "produs"</formula>
    </cfRule>
    <cfRule type="expression" dxfId="2328" priority="1280">
      <formula>#REF! = "obiectiv"</formula>
    </cfRule>
  </conditionalFormatting>
  <conditionalFormatting sqref="H984">
    <cfRule type="expression" dxfId="2327" priority="1277">
      <formula>#REF! = "produs"</formula>
    </cfRule>
    <cfRule type="expression" dxfId="2326" priority="1278">
      <formula>#REF! = "obiectiv"</formula>
    </cfRule>
  </conditionalFormatting>
  <conditionalFormatting sqref="K1017 W1017:IU1017">
    <cfRule type="expression" dxfId="2325" priority="1261">
      <formula>#REF! = "produs"</formula>
    </cfRule>
    <cfRule type="expression" dxfId="2324" priority="1262">
      <formula>#REF! = "obiectiv"</formula>
    </cfRule>
  </conditionalFormatting>
  <conditionalFormatting sqref="J1015 J1022:J1023 J1020 J1018">
    <cfRule type="expression" dxfId="2323" priority="1269">
      <formula>#REF! = "produs"</formula>
    </cfRule>
    <cfRule type="expression" dxfId="2322" priority="1270">
      <formula>#REF! = "obiectiv"</formula>
    </cfRule>
  </conditionalFormatting>
  <conditionalFormatting sqref="K615:K616 K618:K623">
    <cfRule type="expression" dxfId="2321" priority="2199">
      <formula>#REF! = "produs"</formula>
    </cfRule>
    <cfRule type="expression" dxfId="2320" priority="2200">
      <formula>#REF! = "obiectiv"</formula>
    </cfRule>
  </conditionalFormatting>
  <conditionalFormatting sqref="Q1023:U1023 Q1015:U1015">
    <cfRule type="expression" dxfId="2319" priority="1267">
      <formula>#REF! = "produs"</formula>
    </cfRule>
    <cfRule type="expression" dxfId="2318" priority="1268">
      <formula>#REF! = "obiectiv"</formula>
    </cfRule>
  </conditionalFormatting>
  <conditionalFormatting sqref="J615 J622:J623 J620 J618">
    <cfRule type="expression" dxfId="2317" priority="2197">
      <formula>#REF! = "produs"</formula>
    </cfRule>
    <cfRule type="expression" dxfId="2316" priority="2198">
      <formula>#REF! = "obiectiv"</formula>
    </cfRule>
  </conditionalFormatting>
  <conditionalFormatting sqref="J621">
    <cfRule type="expression" dxfId="2315" priority="2193">
      <formula>#REF! = "produs"</formula>
    </cfRule>
    <cfRule type="expression" dxfId="2314" priority="2194">
      <formula>#REF! = "obiectiv"</formula>
    </cfRule>
  </conditionalFormatting>
  <conditionalFormatting sqref="L621:P621">
    <cfRule type="expression" dxfId="2313" priority="2191">
      <formula>#REF! = "produs"</formula>
    </cfRule>
    <cfRule type="expression" dxfId="2312" priority="2192">
      <formula>#REF! = "obiectiv"</formula>
    </cfRule>
  </conditionalFormatting>
  <conditionalFormatting sqref="L620:P620">
    <cfRule type="expression" dxfId="2311" priority="2189">
      <formula>#REF! = "produs"</formula>
    </cfRule>
    <cfRule type="expression" dxfId="2310" priority="2190">
      <formula>#REF! = "obiectiv"</formula>
    </cfRule>
  </conditionalFormatting>
  <conditionalFormatting sqref="V563:V572">
    <cfRule type="expression" dxfId="2309" priority="2387">
      <formula>#REF! = "produs"</formula>
    </cfRule>
    <cfRule type="expression" dxfId="2308" priority="2388">
      <formula>#REF! = "obiectiv"</formula>
    </cfRule>
  </conditionalFormatting>
  <conditionalFormatting sqref="J564 J571:J572 J569 J567">
    <cfRule type="expression" dxfId="2307" priority="2381">
      <formula>#REF! = "produs"</formula>
    </cfRule>
    <cfRule type="expression" dxfId="2306" priority="2382">
      <formula>#REF! = "obiectiv"</formula>
    </cfRule>
  </conditionalFormatting>
  <conditionalFormatting sqref="J568">
    <cfRule type="expression" dxfId="2305" priority="2371">
      <formula>#REF! = "produs"</formula>
    </cfRule>
    <cfRule type="expression" dxfId="2304" priority="2372">
      <formula>#REF! = "obiectiv"</formula>
    </cfRule>
  </conditionalFormatting>
  <conditionalFormatting sqref="J570">
    <cfRule type="expression" dxfId="2303" priority="2377">
      <formula>#REF! = "produs"</formula>
    </cfRule>
    <cfRule type="expression" dxfId="2302" priority="2378">
      <formula>#REF! = "obiectiv"</formula>
    </cfRule>
  </conditionalFormatting>
  <conditionalFormatting sqref="J563">
    <cfRule type="expression" dxfId="2301" priority="2365">
      <formula>#REF! = "produs"</formula>
    </cfRule>
    <cfRule type="expression" dxfId="2300" priority="2366">
      <formula>#REF! = "obiectiv"</formula>
    </cfRule>
  </conditionalFormatting>
  <conditionalFormatting sqref="J574">
    <cfRule type="expression" dxfId="2299" priority="2327">
      <formula>#REF! = "produs"</formula>
    </cfRule>
    <cfRule type="expression" dxfId="2298" priority="2328">
      <formula>#REF! = "obiectiv"</formula>
    </cfRule>
  </conditionalFormatting>
  <conditionalFormatting sqref="Q563:U563">
    <cfRule type="expression" dxfId="2297" priority="2361">
      <formula>#REF! = "produs"</formula>
    </cfRule>
    <cfRule type="expression" dxfId="2296" priority="2362">
      <formula>#REF! = "obiectiv"</formula>
    </cfRule>
  </conditionalFormatting>
  <conditionalFormatting sqref="H563">
    <cfRule type="expression" dxfId="2295" priority="2359">
      <formula>#REF! = "produs"</formula>
    </cfRule>
    <cfRule type="expression" dxfId="2294" priority="2360">
      <formula>#REF! = "obiectiv"</formula>
    </cfRule>
  </conditionalFormatting>
  <conditionalFormatting sqref="G563">
    <cfRule type="expression" dxfId="2293" priority="2355">
      <formula>#REF! = "produs"</formula>
    </cfRule>
    <cfRule type="expression" dxfId="2292" priority="2356">
      <formula>#REF! = "obiectiv"</formula>
    </cfRule>
  </conditionalFormatting>
  <conditionalFormatting sqref="G563:G572">
    <cfRule type="expression" dxfId="2291" priority="2357">
      <formula>#REF! = "produs"</formula>
    </cfRule>
    <cfRule type="expression" dxfId="2290" priority="2358">
      <formula>#REF! = "obiectiv"</formula>
    </cfRule>
  </conditionalFormatting>
  <conditionalFormatting sqref="J565">
    <cfRule type="expression" dxfId="2289" priority="2353">
      <formula>#REF! = "produs"</formula>
    </cfRule>
    <cfRule type="expression" dxfId="2288" priority="2354">
      <formula>#REF! = "obiectiv"</formula>
    </cfRule>
  </conditionalFormatting>
  <conditionalFormatting sqref="Q1024:U1024">
    <cfRule type="expression" dxfId="2287" priority="1217">
      <formula>#REF! = "produs"</formula>
    </cfRule>
    <cfRule type="expression" dxfId="2286" priority="1218">
      <formula>#REF! = "obiectiv"</formula>
    </cfRule>
  </conditionalFormatting>
  <conditionalFormatting sqref="V574:V582">
    <cfRule type="expression" dxfId="2285" priority="2349">
      <formula>#REF! = "produs"</formula>
    </cfRule>
    <cfRule type="expression" dxfId="2284" priority="2350">
      <formula>#REF! = "obiectiv"</formula>
    </cfRule>
  </conditionalFormatting>
  <conditionalFormatting sqref="J579">
    <cfRule type="expression" dxfId="2283" priority="2333">
      <formula>#REF! = "produs"</formula>
    </cfRule>
    <cfRule type="expression" dxfId="2282" priority="2334">
      <formula>#REF! = "obiectiv"</formula>
    </cfRule>
  </conditionalFormatting>
  <conditionalFormatting sqref="J575 J582:J583 J580 J578">
    <cfRule type="expression" dxfId="2281" priority="2343">
      <formula>#REF! = "produs"</formula>
    </cfRule>
    <cfRule type="expression" dxfId="2280" priority="2344">
      <formula>#REF! = "obiectiv"</formula>
    </cfRule>
  </conditionalFormatting>
  <conditionalFormatting sqref="K577:P577 W577:IU577 L576:P576">
    <cfRule type="expression" dxfId="2279" priority="2331">
      <formula>#REF! = "produs"</formula>
    </cfRule>
    <cfRule type="expression" dxfId="2278" priority="2332">
      <formula>#REF! = "obiectiv"</formula>
    </cfRule>
  </conditionalFormatting>
  <conditionalFormatting sqref="K575:K576 K578:K583">
    <cfRule type="expression" dxfId="2277" priority="2345">
      <formula>#REF! = "produs"</formula>
    </cfRule>
    <cfRule type="expression" dxfId="2276" priority="2346">
      <formula>#REF! = "obiectiv"</formula>
    </cfRule>
  </conditionalFormatting>
  <conditionalFormatting sqref="J581">
    <cfRule type="expression" dxfId="2275" priority="2339">
      <formula>#REF! = "produs"</formula>
    </cfRule>
    <cfRule type="expression" dxfId="2274" priority="2340">
      <formula>#REF! = "obiectiv"</formula>
    </cfRule>
  </conditionalFormatting>
  <conditionalFormatting sqref="J577">
    <cfRule type="expression" dxfId="2273" priority="2329">
      <formula>#REF! = "produs"</formula>
    </cfRule>
    <cfRule type="expression" dxfId="2272" priority="2330">
      <formula>#REF! = "obiectiv"</formula>
    </cfRule>
  </conditionalFormatting>
  <conditionalFormatting sqref="W575:IU576 W578:IU583">
    <cfRule type="expression" dxfId="2271" priority="2347">
      <formula>#REF! = "produs"</formula>
    </cfRule>
    <cfRule type="expression" dxfId="2270" priority="2348">
      <formula>#REF! = "obiectiv"</formula>
    </cfRule>
  </conditionalFormatting>
  <conditionalFormatting sqref="L582:P582 Q575:U575 L578:P579 L583:V583">
    <cfRule type="expression" dxfId="2269" priority="2341">
      <formula>#REF! = "produs"</formula>
    </cfRule>
    <cfRule type="expression" dxfId="2268" priority="2342">
      <formula>#REF! = "obiectiv"</formula>
    </cfRule>
  </conditionalFormatting>
  <conditionalFormatting sqref="L581:P581">
    <cfRule type="expression" dxfId="2267" priority="2337">
      <formula>#REF! = "produs"</formula>
    </cfRule>
    <cfRule type="expression" dxfId="2266" priority="2338">
      <formula>#REF! = "obiectiv"</formula>
    </cfRule>
  </conditionalFormatting>
  <conditionalFormatting sqref="L580:P580">
    <cfRule type="expression" dxfId="2265" priority="2335">
      <formula>#REF! = "produs"</formula>
    </cfRule>
    <cfRule type="expression" dxfId="2264" priority="2336">
      <formula>#REF! = "obiectiv"</formula>
    </cfRule>
  </conditionalFormatting>
  <conditionalFormatting sqref="Q576:U576">
    <cfRule type="expression" dxfId="2263" priority="2325">
      <formula>#REF! = "produs"</formula>
    </cfRule>
    <cfRule type="expression" dxfId="2262" priority="2326">
      <formula>#REF! = "obiectiv"</formula>
    </cfRule>
  </conditionalFormatting>
  <conditionalFormatting sqref="H574">
    <cfRule type="expression" dxfId="2261" priority="2321">
      <formula>#REF! = "produs"</formula>
    </cfRule>
    <cfRule type="expression" dxfId="2260" priority="2322">
      <formula>#REF! = "obiectiv"</formula>
    </cfRule>
  </conditionalFormatting>
  <conditionalFormatting sqref="G574:G583">
    <cfRule type="expression" dxfId="2259" priority="2319">
      <formula>#REF! = "produs"</formula>
    </cfRule>
    <cfRule type="expression" dxfId="2258" priority="2320">
      <formula>#REF! = "obiectiv"</formula>
    </cfRule>
  </conditionalFormatting>
  <conditionalFormatting sqref="G574">
    <cfRule type="expression" dxfId="2257" priority="2317">
      <formula>#REF! = "produs"</formula>
    </cfRule>
    <cfRule type="expression" dxfId="2256" priority="2318">
      <formula>#REF! = "obiectiv"</formula>
    </cfRule>
  </conditionalFormatting>
  <conditionalFormatting sqref="J576">
    <cfRule type="expression" dxfId="2255" priority="2315">
      <formula>#REF! = "produs"</formula>
    </cfRule>
    <cfRule type="expression" dxfId="2254" priority="2316">
      <formula>#REF! = "obiectiv"</formula>
    </cfRule>
  </conditionalFormatting>
  <conditionalFormatting sqref="W585:IU586 W588:IU593">
    <cfRule type="expression" dxfId="2253" priority="2311">
      <formula>#REF! = "produs"</formula>
    </cfRule>
    <cfRule type="expression" dxfId="2252" priority="2312">
      <formula>#REF! = "obiectiv"</formula>
    </cfRule>
  </conditionalFormatting>
  <conditionalFormatting sqref="J801">
    <cfRule type="expression" dxfId="2251" priority="1473">
      <formula>#REF! = "produs"</formula>
    </cfRule>
    <cfRule type="expression" dxfId="2250" priority="1474">
      <formula>#REF! = "obiectiv"</formula>
    </cfRule>
  </conditionalFormatting>
  <conditionalFormatting sqref="W812:IU812">
    <cfRule type="expression" dxfId="2249" priority="1467">
      <formula>#REF! = "produs"</formula>
    </cfRule>
    <cfRule type="expression" dxfId="2248" priority="1468">
      <formula>#REF! = "obiectiv"</formula>
    </cfRule>
  </conditionalFormatting>
  <conditionalFormatting sqref="K810:K811 K813:K818">
    <cfRule type="expression" dxfId="2247" priority="1463">
      <formula>#REF! = "produs"</formula>
    </cfRule>
    <cfRule type="expression" dxfId="2246" priority="1464">
      <formula>#REF! = "obiectiv"</formula>
    </cfRule>
  </conditionalFormatting>
  <conditionalFormatting sqref="J748">
    <cfRule type="expression" dxfId="2245" priority="1655">
      <formula>#REF! = "produs"</formula>
    </cfRule>
    <cfRule type="expression" dxfId="2244" priority="1656">
      <formula>#REF! = "obiectiv"</formula>
    </cfRule>
  </conditionalFormatting>
  <conditionalFormatting sqref="J790 J797:J798 J795 J793">
    <cfRule type="expression" dxfId="2243" priority="1529">
      <formula>#REF! = "produs"</formula>
    </cfRule>
    <cfRule type="expression" dxfId="2242" priority="1530">
      <formula>#REF! = "obiectiv"</formula>
    </cfRule>
  </conditionalFormatting>
  <conditionalFormatting sqref="W810:IU811 W813:IU818">
    <cfRule type="expression" dxfId="2241" priority="1469">
      <formula>#REF! = "produs"</formula>
    </cfRule>
    <cfRule type="expression" dxfId="2240" priority="1470">
      <formula>#REF! = "obiectiv"</formula>
    </cfRule>
  </conditionalFormatting>
  <conditionalFormatting sqref="V809:V818">
    <cfRule type="expression" dxfId="2239" priority="1465">
      <formula>#REF! = "produs"</formula>
    </cfRule>
    <cfRule type="expression" dxfId="2238" priority="1466">
      <formula>#REF! = "obiectiv"</formula>
    </cfRule>
  </conditionalFormatting>
  <conditionalFormatting sqref="J810 J817:J818 J815 J813">
    <cfRule type="expression" dxfId="2237" priority="1461">
      <formula>#REF! = "produs"</formula>
    </cfRule>
    <cfRule type="expression" dxfId="2236" priority="1462">
      <formula>#REF! = "obiectiv"</formula>
    </cfRule>
  </conditionalFormatting>
  <conditionalFormatting sqref="J740">
    <cfRule type="expression" dxfId="2235" priority="1769">
      <formula>#REF! = "produs"</formula>
    </cfRule>
    <cfRule type="expression" dxfId="2234" priority="1770">
      <formula>#REF! = "obiectiv"</formula>
    </cfRule>
  </conditionalFormatting>
  <conditionalFormatting sqref="J751">
    <cfRule type="expression" dxfId="2233" priority="1657">
      <formula>#REF! = "produs"</formula>
    </cfRule>
    <cfRule type="expression" dxfId="2232" priority="1658">
      <formula>#REF! = "obiectiv"</formula>
    </cfRule>
  </conditionalFormatting>
  <conditionalFormatting sqref="Q750:U756">
    <cfRule type="expression" dxfId="2231" priority="1653">
      <formula>#REF! = "produs"</formula>
    </cfRule>
    <cfRule type="expression" dxfId="2230" priority="1654">
      <formula>#REF! = "obiectiv"</formula>
    </cfRule>
  </conditionalFormatting>
  <conditionalFormatting sqref="Q748:U748">
    <cfRule type="expression" dxfId="2229" priority="1651">
      <formula>#REF! = "produs"</formula>
    </cfRule>
    <cfRule type="expression" dxfId="2228" priority="1652">
      <formula>#REF! = "obiectiv"</formula>
    </cfRule>
  </conditionalFormatting>
  <conditionalFormatting sqref="H748">
    <cfRule type="expression" dxfId="2227" priority="1649">
      <formula>#REF! = "produs"</formula>
    </cfRule>
    <cfRule type="expression" dxfId="2226" priority="1650">
      <formula>#REF! = "obiectiv"</formula>
    </cfRule>
  </conditionalFormatting>
  <conditionalFormatting sqref="J750">
    <cfRule type="expression" dxfId="2225" priority="1647">
      <formula>#REF! = "produs"</formula>
    </cfRule>
    <cfRule type="expression" dxfId="2224" priority="1648">
      <formula>#REF! = "obiectiv"</formula>
    </cfRule>
  </conditionalFormatting>
  <conditionalFormatting sqref="J792">
    <cfRule type="expression" dxfId="2223" priority="1515">
      <formula>#REF! = "produs"</formula>
    </cfRule>
    <cfRule type="expression" dxfId="2222" priority="1516">
      <formula>#REF! = "obiectiv"</formula>
    </cfRule>
  </conditionalFormatting>
  <conditionalFormatting sqref="J745">
    <cfRule type="expression" dxfId="2221" priority="1787">
      <formula>#REF! = "produs"</formula>
    </cfRule>
    <cfRule type="expression" dxfId="2220" priority="1788">
      <formula>#REF! = "obiectiv"</formula>
    </cfRule>
  </conditionalFormatting>
  <conditionalFormatting sqref="V1014:V1023">
    <cfRule type="expression" dxfId="2219" priority="1275">
      <formula>#REF! = "produs"</formula>
    </cfRule>
    <cfRule type="expression" dxfId="2218" priority="1276">
      <formula>#REF! = "obiectiv"</formula>
    </cfRule>
  </conditionalFormatting>
  <conditionalFormatting sqref="J774">
    <cfRule type="expression" dxfId="2217" priority="1579">
      <formula>#REF! = "produs"</formula>
    </cfRule>
    <cfRule type="expression" dxfId="2216" priority="1580">
      <formula>#REF! = "obiectiv"</formula>
    </cfRule>
  </conditionalFormatting>
  <conditionalFormatting sqref="J741">
    <cfRule type="expression" dxfId="2215" priority="1779">
      <formula>#REF! = "produs"</formula>
    </cfRule>
    <cfRule type="expression" dxfId="2214" priority="1780">
      <formula>#REF! = "obiectiv"</formula>
    </cfRule>
  </conditionalFormatting>
  <conditionalFormatting sqref="K772">
    <cfRule type="expression" dxfId="2213" priority="1577">
      <formula>#REF! = "produs"</formula>
    </cfRule>
    <cfRule type="expression" dxfId="2212" priority="1578">
      <formula>#REF! = "obiectiv"</formula>
    </cfRule>
  </conditionalFormatting>
  <conditionalFormatting sqref="J1021">
    <cfRule type="expression" dxfId="2211" priority="1265">
      <formula>#REF! = "produs"</formula>
    </cfRule>
    <cfRule type="expression" dxfId="2210" priority="1266">
      <formula>#REF! = "obiectiv"</formula>
    </cfRule>
  </conditionalFormatting>
  <conditionalFormatting sqref="H738">
    <cfRule type="expression" dxfId="2209" priority="1771">
      <formula>#REF! = "produs"</formula>
    </cfRule>
    <cfRule type="expression" dxfId="2208" priority="1772">
      <formula>#REF! = "obiectiv"</formula>
    </cfRule>
  </conditionalFormatting>
  <conditionalFormatting sqref="H1014">
    <cfRule type="expression" dxfId="2207" priority="1251">
      <formula>#REF! = "produs"</formula>
    </cfRule>
    <cfRule type="expression" dxfId="2206" priority="1252">
      <formula>#REF! = "obiectiv"</formula>
    </cfRule>
  </conditionalFormatting>
  <conditionalFormatting sqref="Q1016:U1022">
    <cfRule type="expression" dxfId="2205" priority="1255">
      <formula>#REF! = "produs"</formula>
    </cfRule>
    <cfRule type="expression" dxfId="2204" priority="1256">
      <formula>#REF! = "obiectiv"</formula>
    </cfRule>
  </conditionalFormatting>
  <conditionalFormatting sqref="J738">
    <cfRule type="expression" dxfId="2203" priority="1777">
      <formula>#REF! = "produs"</formula>
    </cfRule>
    <cfRule type="expression" dxfId="2202" priority="1778">
      <formula>#REF! = "obiectiv"</formula>
    </cfRule>
  </conditionalFormatting>
  <conditionalFormatting sqref="J1019">
    <cfRule type="expression" dxfId="2201" priority="1263">
      <formula>#REF! = "produs"</formula>
    </cfRule>
    <cfRule type="expression" dxfId="2200" priority="1264">
      <formula>#REF! = "obiectiv"</formula>
    </cfRule>
  </conditionalFormatting>
  <conditionalFormatting sqref="J1017">
    <cfRule type="expression" dxfId="2199" priority="1259">
      <formula>#REF! = "produs"</formula>
    </cfRule>
    <cfRule type="expression" dxfId="2198" priority="1260">
      <formula>#REF! = "obiectiv"</formula>
    </cfRule>
  </conditionalFormatting>
  <conditionalFormatting sqref="J1014">
    <cfRule type="expression" dxfId="2197" priority="1257">
      <formula>#REF! = "produs"</formula>
    </cfRule>
    <cfRule type="expression" dxfId="2196" priority="1258">
      <formula>#REF! = "obiectiv"</formula>
    </cfRule>
  </conditionalFormatting>
  <conditionalFormatting sqref="Q1014:U1014">
    <cfRule type="expression" dxfId="2195" priority="1253">
      <formula>#REF! = "produs"</formula>
    </cfRule>
    <cfRule type="expression" dxfId="2194" priority="1254">
      <formula>#REF! = "obiectiv"</formula>
    </cfRule>
  </conditionalFormatting>
  <conditionalFormatting sqref="J1016">
    <cfRule type="expression" dxfId="2193" priority="1249">
      <formula>#REF! = "produs"</formula>
    </cfRule>
    <cfRule type="expression" dxfId="2192" priority="1250">
      <formula>#REF! = "obiectiv"</formula>
    </cfRule>
  </conditionalFormatting>
  <conditionalFormatting sqref="Q740:U746">
    <cfRule type="expression" dxfId="2191" priority="1775">
      <formula>#REF! = "produs"</formula>
    </cfRule>
    <cfRule type="expression" dxfId="2190" priority="1776">
      <formula>#REF! = "obiectiv"</formula>
    </cfRule>
  </conditionalFormatting>
  <conditionalFormatting sqref="J799">
    <cfRule type="expression" dxfId="2189" priority="1479">
      <formula>#REF! = "produs"</formula>
    </cfRule>
    <cfRule type="expression" dxfId="2188" priority="1480">
      <formula>#REF! = "obiectiv"</formula>
    </cfRule>
  </conditionalFormatting>
  <conditionalFormatting sqref="Q788:U788 Q780:U780">
    <cfRule type="expression" dxfId="2187" priority="1557">
      <formula>#REF! = "produs"</formula>
    </cfRule>
    <cfRule type="expression" dxfId="2186" priority="1558">
      <formula>#REF! = "obiectiv"</formula>
    </cfRule>
  </conditionalFormatting>
  <conditionalFormatting sqref="Q1033:U1033 Q1025:U1025">
    <cfRule type="expression" dxfId="2185" priority="1231">
      <formula>#REF! = "produs"</formula>
    </cfRule>
    <cfRule type="expression" dxfId="2184" priority="1232">
      <formula>#REF! = "obiectiv"</formula>
    </cfRule>
  </conditionalFormatting>
  <conditionalFormatting sqref="Q798:U798 Q790:U790">
    <cfRule type="expression" dxfId="2183" priority="1527">
      <formula>#REF! = "produs"</formula>
    </cfRule>
    <cfRule type="expression" dxfId="2182" priority="1528">
      <formula>#REF! = "obiectiv"</formula>
    </cfRule>
  </conditionalFormatting>
  <conditionalFormatting sqref="J786">
    <cfRule type="expression" dxfId="2181" priority="1555">
      <formula>#REF! = "produs"</formula>
    </cfRule>
    <cfRule type="expression" dxfId="2180" priority="1556">
      <formula>#REF! = "obiectiv"</formula>
    </cfRule>
  </conditionalFormatting>
  <conditionalFormatting sqref="J789">
    <cfRule type="expression" dxfId="2179" priority="1513">
      <formula>#REF! = "produs"</formula>
    </cfRule>
    <cfRule type="expression" dxfId="2178" priority="1514">
      <formula>#REF! = "obiectiv"</formula>
    </cfRule>
  </conditionalFormatting>
  <conditionalFormatting sqref="Q791:U797">
    <cfRule type="expression" dxfId="2177" priority="1511">
      <formula>#REF! = "produs"</formula>
    </cfRule>
    <cfRule type="expression" dxfId="2176" priority="1512">
      <formula>#REF! = "obiectiv"</formula>
    </cfRule>
  </conditionalFormatting>
  <conditionalFormatting sqref="L753:P754 L755:N755">
    <cfRule type="expression" dxfId="2175" priority="1639">
      <formula>#REF! = "produs"</formula>
    </cfRule>
    <cfRule type="expression" dxfId="2174" priority="1640">
      <formula>#REF! = "obiectiv"</formula>
    </cfRule>
  </conditionalFormatting>
  <conditionalFormatting sqref="K1015:K1016 K1018:K1023">
    <cfRule type="expression" dxfId="2173" priority="1271">
      <formula>#REF! = "produs"</formula>
    </cfRule>
    <cfRule type="expression" dxfId="2172" priority="1272">
      <formula>#REF! = "obiectiv"</formula>
    </cfRule>
  </conditionalFormatting>
  <conditionalFormatting sqref="K790:K791 K793:K798">
    <cfRule type="expression" dxfId="2171" priority="1531">
      <formula>#REF! = "produs"</formula>
    </cfRule>
    <cfRule type="expression" dxfId="2170" priority="1532">
      <formula>#REF! = "obiectiv"</formula>
    </cfRule>
  </conditionalFormatting>
  <conditionalFormatting sqref="J743">
    <cfRule type="expression" dxfId="2169" priority="1783">
      <formula>#REF! = "produs"</formula>
    </cfRule>
    <cfRule type="expression" dxfId="2168" priority="1784">
      <formula>#REF! = "obiectiv"</formula>
    </cfRule>
  </conditionalFormatting>
  <conditionalFormatting sqref="Q779:U779">
    <cfRule type="expression" dxfId="2167" priority="1539">
      <formula>#REF! = "produs"</formula>
    </cfRule>
    <cfRule type="expression" dxfId="2166" priority="1540">
      <formula>#REF! = "obiectiv"</formula>
    </cfRule>
  </conditionalFormatting>
  <conditionalFormatting sqref="K802">
    <cfRule type="expression" dxfId="2165" priority="1483">
      <formula>#REF! = "produs"</formula>
    </cfRule>
    <cfRule type="expression" dxfId="2164" priority="1484">
      <formula>#REF! = "obiectiv"</formula>
    </cfRule>
  </conditionalFormatting>
  <conditionalFormatting sqref="J802">
    <cfRule type="expression" dxfId="2163" priority="1481">
      <formula>#REF! = "produs"</formula>
    </cfRule>
    <cfRule type="expression" dxfId="2162" priority="1482">
      <formula>#REF! = "obiectiv"</formula>
    </cfRule>
  </conditionalFormatting>
  <conditionalFormatting sqref="V789:V798">
    <cfRule type="expression" dxfId="2161" priority="1533">
      <formula>#REF! = "produs"</formula>
    </cfRule>
    <cfRule type="expression" dxfId="2160" priority="1534">
      <formula>#REF! = "obiectiv"</formula>
    </cfRule>
  </conditionalFormatting>
  <conditionalFormatting sqref="W800:IU801 W803:IU808">
    <cfRule type="expression" dxfId="2159" priority="1503">
      <formula>#REF! = "produs"</formula>
    </cfRule>
    <cfRule type="expression" dxfId="2158" priority="1504">
      <formula>#REF! = "obiectiv"</formula>
    </cfRule>
  </conditionalFormatting>
  <conditionalFormatting sqref="H789">
    <cfRule type="expression" dxfId="2157" priority="1505">
      <formula>#REF! = "produs"</formula>
    </cfRule>
    <cfRule type="expression" dxfId="2156" priority="1506">
      <formula>#REF! = "obiectiv"</formula>
    </cfRule>
  </conditionalFormatting>
  <conditionalFormatting sqref="H779">
    <cfRule type="expression" dxfId="2155" priority="1535">
      <formula>#REF! = "produs"</formula>
    </cfRule>
    <cfRule type="expression" dxfId="2154" priority="1536">
      <formula>#REF! = "obiectiv"</formula>
    </cfRule>
  </conditionalFormatting>
  <conditionalFormatting sqref="O1021:P1021">
    <cfRule type="expression" dxfId="2153" priority="1191">
      <formula>#REF! = "produs"</formula>
    </cfRule>
    <cfRule type="expression" dxfId="2152" priority="1192">
      <formula>#REF! = "obiectiv"</formula>
    </cfRule>
  </conditionalFormatting>
  <conditionalFormatting sqref="K780:K781 K783:K788">
    <cfRule type="expression" dxfId="2151" priority="1561">
      <formula>#REF! = "produs"</formula>
    </cfRule>
    <cfRule type="expression" dxfId="2150" priority="1562">
      <formula>#REF! = "obiectiv"</formula>
    </cfRule>
  </conditionalFormatting>
  <conditionalFormatting sqref="J780 J787:J788 J785 J783">
    <cfRule type="expression" dxfId="2149" priority="1559">
      <formula>#REF! = "produs"</formula>
    </cfRule>
    <cfRule type="expression" dxfId="2148" priority="1560">
      <formula>#REF! = "obiectiv"</formula>
    </cfRule>
  </conditionalFormatting>
  <conditionalFormatting sqref="L1020:P1020 L1021:N1021">
    <cfRule type="expression" dxfId="2147" priority="1189">
      <formula>#REF! = "produs"</formula>
    </cfRule>
    <cfRule type="expression" dxfId="2146" priority="1190">
      <formula>#REF! = "obiectiv"</formula>
    </cfRule>
  </conditionalFormatting>
  <conditionalFormatting sqref="J781">
    <cfRule type="expression" dxfId="2145" priority="1537">
      <formula>#REF! = "produs"</formula>
    </cfRule>
    <cfRule type="expression" dxfId="2144" priority="1538">
      <formula>#REF! = "obiectiv"</formula>
    </cfRule>
  </conditionalFormatting>
  <conditionalFormatting sqref="L1017:P1017">
    <cfRule type="expression" dxfId="2143" priority="1187">
      <formula>#REF! = "produs"</formula>
    </cfRule>
    <cfRule type="expression" dxfId="2142" priority="1188">
      <formula>#REF! = "obiectiv"</formula>
    </cfRule>
  </conditionalFormatting>
  <conditionalFormatting sqref="J779">
    <cfRule type="expression" dxfId="2141" priority="1543">
      <formula>#REF! = "produs"</formula>
    </cfRule>
    <cfRule type="expression" dxfId="2140" priority="1544">
      <formula>#REF! = "obiectiv"</formula>
    </cfRule>
  </conditionalFormatting>
  <conditionalFormatting sqref="J784">
    <cfRule type="expression" dxfId="2139" priority="1549">
      <formula>#REF! = "produs"</formula>
    </cfRule>
    <cfRule type="expression" dxfId="2138" priority="1550">
      <formula>#REF! = "obiectiv"</formula>
    </cfRule>
  </conditionalFormatting>
  <conditionalFormatting sqref="Q781:U787">
    <cfRule type="expression" dxfId="2137" priority="1541">
      <formula>#REF! = "produs"</formula>
    </cfRule>
    <cfRule type="expression" dxfId="2136" priority="1542">
      <formula>#REF! = "obiectiv"</formula>
    </cfRule>
  </conditionalFormatting>
  <conditionalFormatting sqref="H1024">
    <cfRule type="expression" dxfId="2135" priority="1215">
      <formula>#REF! = "produs"</formula>
    </cfRule>
    <cfRule type="expression" dxfId="2134" priority="1216">
      <formula>#REF! = "obiectiv"</formula>
    </cfRule>
  </conditionalFormatting>
  <conditionalFormatting sqref="W1015:IU1016 W1018:IU1023">
    <cfRule type="expression" dxfId="2133" priority="1273">
      <formula>#REF! = "produs"</formula>
    </cfRule>
    <cfRule type="expression" dxfId="2132" priority="1274">
      <formula>#REF! = "obiectiv"</formula>
    </cfRule>
  </conditionalFormatting>
  <conditionalFormatting sqref="K782">
    <cfRule type="expression" dxfId="2131" priority="1547">
      <formula>#REF! = "produs"</formula>
    </cfRule>
    <cfRule type="expression" dxfId="2130" priority="1548">
      <formula>#REF! = "obiectiv"</formula>
    </cfRule>
  </conditionalFormatting>
  <conditionalFormatting sqref="V779:V788">
    <cfRule type="expression" dxfId="2129" priority="1563">
      <formula>#REF! = "produs"</formula>
    </cfRule>
    <cfRule type="expression" dxfId="2128" priority="1564">
      <formula>#REF! = "obiectiv"</formula>
    </cfRule>
  </conditionalFormatting>
  <conditionalFormatting sqref="L993:U993 L992:P992 L988:P989 L985:U985 L986:P986">
    <cfRule type="expression" dxfId="2127" priority="1299">
      <formula>#REF! = "produs"</formula>
    </cfRule>
    <cfRule type="expression" dxfId="2126" priority="1300">
      <formula>#REF! = "obiectiv"</formula>
    </cfRule>
  </conditionalFormatting>
  <conditionalFormatting sqref="L1007:P1007">
    <cfRule type="expression" dxfId="2125" priority="1317">
      <formula>#REF! = "produs"</formula>
    </cfRule>
    <cfRule type="expression" dxfId="2124" priority="1318">
      <formula>#REF! = "obiectiv"</formula>
    </cfRule>
  </conditionalFormatting>
  <conditionalFormatting sqref="V625:V633">
    <cfRule type="expression" dxfId="2123" priority="2097">
      <formula>#REF! = "produs"</formula>
    </cfRule>
    <cfRule type="expression" dxfId="2122" priority="2098">
      <formula>#REF! = "obiectiv"</formula>
    </cfRule>
  </conditionalFormatting>
  <conditionalFormatting sqref="W626:IU627 W629:IU634">
    <cfRule type="expression" dxfId="2121" priority="2095">
      <formula>#REF! = "produs"</formula>
    </cfRule>
    <cfRule type="expression" dxfId="2120" priority="2096">
      <formula>#REF! = "obiectiv"</formula>
    </cfRule>
  </conditionalFormatting>
  <conditionalFormatting sqref="L632:P632">
    <cfRule type="expression" dxfId="2119" priority="2085">
      <formula>#REF! = "produs"</formula>
    </cfRule>
    <cfRule type="expression" dxfId="2118" priority="2086">
      <formula>#REF! = "obiectiv"</formula>
    </cfRule>
  </conditionalFormatting>
  <conditionalFormatting sqref="K626:K627 K629:K634">
    <cfRule type="expression" dxfId="2117" priority="2093">
      <formula>#REF! = "produs"</formula>
    </cfRule>
    <cfRule type="expression" dxfId="2116" priority="2094">
      <formula>#REF! = "obiectiv"</formula>
    </cfRule>
  </conditionalFormatting>
  <conditionalFormatting sqref="J628">
    <cfRule type="expression" dxfId="2115" priority="2077">
      <formula>#REF! = "produs"</formula>
    </cfRule>
    <cfRule type="expression" dxfId="2114" priority="2078">
      <formula>#REF! = "obiectiv"</formula>
    </cfRule>
  </conditionalFormatting>
  <conditionalFormatting sqref="J632">
    <cfRule type="expression" dxfId="2113" priority="2087">
      <formula>#REF! = "produs"</formula>
    </cfRule>
    <cfRule type="expression" dxfId="2112" priority="2088">
      <formula>#REF! = "obiectiv"</formula>
    </cfRule>
  </conditionalFormatting>
  <conditionalFormatting sqref="K628:P628 W628:IU628">
    <cfRule type="expression" dxfId="2111" priority="2079">
      <formula>#REF! = "produs"</formula>
    </cfRule>
    <cfRule type="expression" dxfId="2110" priority="2080">
      <formula>#REF! = "obiectiv"</formula>
    </cfRule>
  </conditionalFormatting>
  <conditionalFormatting sqref="J626 J633:J634 J631 J629">
    <cfRule type="expression" dxfId="2109" priority="2091">
      <formula>#REF! = "produs"</formula>
    </cfRule>
    <cfRule type="expression" dxfId="2108" priority="2092">
      <formula>#REF! = "obiectiv"</formula>
    </cfRule>
  </conditionalFormatting>
  <conditionalFormatting sqref="O631:P631">
    <cfRule type="expression" dxfId="2107" priority="2083">
      <formula>#REF! = "produs"</formula>
    </cfRule>
    <cfRule type="expression" dxfId="2106" priority="2084">
      <formula>#REF! = "obiectiv"</formula>
    </cfRule>
  </conditionalFormatting>
  <conditionalFormatting sqref="J630">
    <cfRule type="expression" dxfId="2105" priority="2081">
      <formula>#REF! = "produs"</formula>
    </cfRule>
    <cfRule type="expression" dxfId="2104" priority="2082">
      <formula>#REF! = "obiectiv"</formula>
    </cfRule>
  </conditionalFormatting>
  <conditionalFormatting sqref="L633:P633 L629:P629 L626:U626 L627:P627 L634:V634">
    <cfRule type="expression" dxfId="2103" priority="2089">
      <formula>#REF! = "produs"</formula>
    </cfRule>
    <cfRule type="expression" dxfId="2102" priority="2090">
      <formula>#REF! = "obiectiv"</formula>
    </cfRule>
  </conditionalFormatting>
  <conditionalFormatting sqref="J625">
    <cfRule type="expression" dxfId="2101" priority="2075">
      <formula>#REF! = "produs"</formula>
    </cfRule>
    <cfRule type="expression" dxfId="2100" priority="2076">
      <formula>#REF! = "obiectiv"</formula>
    </cfRule>
  </conditionalFormatting>
  <conditionalFormatting sqref="Q627:U633">
    <cfRule type="expression" dxfId="2099" priority="2073">
      <formula>#REF! = "produs"</formula>
    </cfRule>
    <cfRule type="expression" dxfId="2098" priority="2074">
      <formula>#REF! = "obiectiv"</formula>
    </cfRule>
  </conditionalFormatting>
  <conditionalFormatting sqref="Q625:U625">
    <cfRule type="expression" dxfId="2097" priority="2071">
      <formula>#REF! = "produs"</formula>
    </cfRule>
    <cfRule type="expression" dxfId="2096" priority="2072">
      <formula>#REF! = "obiectiv"</formula>
    </cfRule>
  </conditionalFormatting>
  <conditionalFormatting sqref="H625">
    <cfRule type="expression" dxfId="2095" priority="2069">
      <formula>#REF! = "produs"</formula>
    </cfRule>
    <cfRule type="expression" dxfId="2094" priority="2070">
      <formula>#REF! = "obiectiv"</formula>
    </cfRule>
  </conditionalFormatting>
  <conditionalFormatting sqref="G625:G634">
    <cfRule type="expression" dxfId="2093" priority="2067">
      <formula>#REF! = "produs"</formula>
    </cfRule>
    <cfRule type="expression" dxfId="2092" priority="2068">
      <formula>#REF! = "obiectiv"</formula>
    </cfRule>
  </conditionalFormatting>
  <conditionalFormatting sqref="G625">
    <cfRule type="expression" dxfId="2091" priority="2065">
      <formula>#REF! = "produs"</formula>
    </cfRule>
    <cfRule type="expression" dxfId="2090" priority="2066">
      <formula>#REF! = "obiectiv"</formula>
    </cfRule>
  </conditionalFormatting>
  <conditionalFormatting sqref="J627">
    <cfRule type="expression" dxfId="2089" priority="2063">
      <formula>#REF! = "produs"</formula>
    </cfRule>
    <cfRule type="expression" dxfId="2088" priority="2064">
      <formula>#REF! = "obiectiv"</formula>
    </cfRule>
  </conditionalFormatting>
  <conditionalFormatting sqref="J806">
    <cfRule type="expression" dxfId="2087" priority="1491">
      <formula>#REF! = "produs"</formula>
    </cfRule>
    <cfRule type="expression" dxfId="2086" priority="1492">
      <formula>#REF! = "obiectiv"</formula>
    </cfRule>
  </conditionalFormatting>
  <conditionalFormatting sqref="L991:P991">
    <cfRule type="expression" dxfId="2085" priority="1295">
      <formula>#REF! = "produs"</formula>
    </cfRule>
    <cfRule type="expression" dxfId="2084" priority="1296">
      <formula>#REF! = "obiectiv"</formula>
    </cfRule>
  </conditionalFormatting>
  <conditionalFormatting sqref="V984:V993">
    <cfRule type="expression" dxfId="2083" priority="1307">
      <formula>#REF! = "produs"</formula>
    </cfRule>
    <cfRule type="expression" dxfId="2082" priority="1308">
      <formula>#REF! = "obiectiv"</formula>
    </cfRule>
  </conditionalFormatting>
  <conditionalFormatting sqref="J985 J992:J993 J990 J988">
    <cfRule type="expression" dxfId="2081" priority="1301">
      <formula>#REF! = "produs"</formula>
    </cfRule>
    <cfRule type="expression" dxfId="2080" priority="1302">
      <formula>#REF! = "obiectiv"</formula>
    </cfRule>
  </conditionalFormatting>
  <conditionalFormatting sqref="K985:K986 K988:K993">
    <cfRule type="expression" dxfId="2079" priority="1303">
      <formula>#REF! = "produs"</formula>
    </cfRule>
    <cfRule type="expression" dxfId="2078" priority="1304">
      <formula>#REF! = "obiectiv"</formula>
    </cfRule>
  </conditionalFormatting>
  <conditionalFormatting sqref="L990:P990">
    <cfRule type="expression" dxfId="2077" priority="1293">
      <formula>#REF! = "produs"</formula>
    </cfRule>
    <cfRule type="expression" dxfId="2076" priority="1294">
      <formula>#REF! = "obiectiv"</formula>
    </cfRule>
  </conditionalFormatting>
  <conditionalFormatting sqref="J989">
    <cfRule type="expression" dxfId="2075" priority="1291">
      <formula>#REF! = "produs"</formula>
    </cfRule>
    <cfRule type="expression" dxfId="2074" priority="1292">
      <formula>#REF! = "obiectiv"</formula>
    </cfRule>
  </conditionalFormatting>
  <conditionalFormatting sqref="J987">
    <cfRule type="expression" dxfId="2073" priority="1287">
      <formula>#REF! = "produs"</formula>
    </cfRule>
    <cfRule type="expression" dxfId="2072" priority="1288">
      <formula>#REF! = "obiectiv"</formula>
    </cfRule>
  </conditionalFormatting>
  <conditionalFormatting sqref="J984">
    <cfRule type="expression" dxfId="2071" priority="1285">
      <formula>#REF! = "produs"</formula>
    </cfRule>
    <cfRule type="expression" dxfId="2070" priority="1286">
      <formula>#REF! = "obiectiv"</formula>
    </cfRule>
  </conditionalFormatting>
  <conditionalFormatting sqref="Q984:U984">
    <cfRule type="expression" dxfId="2069" priority="1281">
      <formula>#REF! = "produs"</formula>
    </cfRule>
    <cfRule type="expression" dxfId="2068" priority="1282">
      <formula>#REF! = "obiectiv"</formula>
    </cfRule>
  </conditionalFormatting>
  <conditionalFormatting sqref="V668:V737">
    <cfRule type="expression" dxfId="2067" priority="1967">
      <formula>#REF! = "produs"</formula>
    </cfRule>
    <cfRule type="expression" dxfId="2066" priority="1968">
      <formula>#REF! = "obiectiv"</formula>
    </cfRule>
  </conditionalFormatting>
  <conditionalFormatting sqref="J673">
    <cfRule type="expression" dxfId="2065" priority="1953">
      <formula>#REF! = "produs"</formula>
    </cfRule>
    <cfRule type="expression" dxfId="2064" priority="1954">
      <formula>#REF! = "obiectiv"</formula>
    </cfRule>
  </conditionalFormatting>
  <conditionalFormatting sqref="J735">
    <cfRule type="expression" dxfId="2063" priority="1845">
      <formula>#REF! = "produs"</formula>
    </cfRule>
    <cfRule type="expression" dxfId="2062" priority="1846">
      <formula>#REF! = "obiectiv"</formula>
    </cfRule>
  </conditionalFormatting>
  <conditionalFormatting sqref="J671">
    <cfRule type="expression" dxfId="2061" priority="1949">
      <formula>#REF! = "produs"</formula>
    </cfRule>
    <cfRule type="expression" dxfId="2060" priority="1950">
      <formula>#REF! = "obiectiv"</formula>
    </cfRule>
  </conditionalFormatting>
  <conditionalFormatting sqref="J681">
    <cfRule type="expression" dxfId="2059" priority="1931">
      <formula>#REF! = "produs"</formula>
    </cfRule>
    <cfRule type="expression" dxfId="2058" priority="1932">
      <formula>#REF! = "obiectiv"</formula>
    </cfRule>
  </conditionalFormatting>
  <conditionalFormatting sqref="J691">
    <cfRule type="expression" dxfId="2057" priority="1911">
      <formula>#REF! = "produs"</formula>
    </cfRule>
    <cfRule type="expression" dxfId="2056" priority="1912">
      <formula>#REF! = "obiectiv"</formula>
    </cfRule>
  </conditionalFormatting>
  <conditionalFormatting sqref="J701">
    <cfRule type="expression" dxfId="2055" priority="1891">
      <formula>#REF! = "produs"</formula>
    </cfRule>
    <cfRule type="expression" dxfId="2054" priority="1892">
      <formula>#REF! = "obiectiv"</formula>
    </cfRule>
  </conditionalFormatting>
  <conditionalFormatting sqref="J711">
    <cfRule type="expression" dxfId="2053" priority="1871">
      <formula>#REF! = "produs"</formula>
    </cfRule>
    <cfRule type="expression" dxfId="2052" priority="1872">
      <formula>#REF! = "obiectiv"</formula>
    </cfRule>
  </conditionalFormatting>
  <conditionalFormatting sqref="J721">
    <cfRule type="expression" dxfId="2051" priority="1855">
      <formula>#REF! = "produs"</formula>
    </cfRule>
    <cfRule type="expression" dxfId="2050" priority="1856">
      <formula>#REF! = "obiectiv"</formula>
    </cfRule>
  </conditionalFormatting>
  <conditionalFormatting sqref="J731">
    <cfRule type="expression" dxfId="2049" priority="1837">
      <formula>#REF! = "produs"</formula>
    </cfRule>
    <cfRule type="expression" dxfId="2048" priority="1838">
      <formula>#REF! = "obiectiv"</formula>
    </cfRule>
  </conditionalFormatting>
  <conditionalFormatting sqref="J703">
    <cfRule type="expression" dxfId="2047" priority="1895">
      <formula>#REF! = "produs"</formula>
    </cfRule>
    <cfRule type="expression" dxfId="2046" priority="1896">
      <formula>#REF! = "obiectiv"</formula>
    </cfRule>
  </conditionalFormatting>
  <conditionalFormatting sqref="J675">
    <cfRule type="expression" dxfId="2045" priority="1957">
      <formula>#REF! = "produs"</formula>
    </cfRule>
    <cfRule type="expression" dxfId="2044" priority="1958">
      <formula>#REF! = "obiectiv"</formula>
    </cfRule>
  </conditionalFormatting>
  <conditionalFormatting sqref="K689:K690 K692:K697">
    <cfRule type="expression" dxfId="2043" priority="1927">
      <formula>#REF! = "produs"</formula>
    </cfRule>
    <cfRule type="expression" dxfId="2042" priority="1928">
      <formula>#REF! = "obiectiv"</formula>
    </cfRule>
  </conditionalFormatting>
  <conditionalFormatting sqref="J695">
    <cfRule type="expression" dxfId="2041" priority="1921">
      <formula>#REF! = "produs"</formula>
    </cfRule>
    <cfRule type="expression" dxfId="2040" priority="1922">
      <formula>#REF! = "obiectiv"</formula>
    </cfRule>
  </conditionalFormatting>
  <conditionalFormatting sqref="J693">
    <cfRule type="expression" dxfId="2039" priority="1915">
      <formula>#REF! = "produs"</formula>
    </cfRule>
    <cfRule type="expression" dxfId="2038" priority="1916">
      <formula>#REF! = "obiectiv"</formula>
    </cfRule>
  </conditionalFormatting>
  <conditionalFormatting sqref="J685">
    <cfRule type="expression" dxfId="2037" priority="1939">
      <formula>#REF! = "produs"</formula>
    </cfRule>
    <cfRule type="expression" dxfId="2036" priority="1940">
      <formula>#REF! = "obiectiv"</formula>
    </cfRule>
  </conditionalFormatting>
  <conditionalFormatting sqref="J669 J676:J677 J674 J672">
    <cfRule type="expression" dxfId="2035" priority="1961">
      <formula>#REF! = "produs"</formula>
    </cfRule>
    <cfRule type="expression" dxfId="2034" priority="1962">
      <formula>#REF! = "obiectiv"</formula>
    </cfRule>
  </conditionalFormatting>
  <conditionalFormatting sqref="J689 J696:J697 J694 J692">
    <cfRule type="expression" dxfId="2033" priority="1925">
      <formula>#REF! = "produs"</formula>
    </cfRule>
    <cfRule type="expression" dxfId="2032" priority="1926">
      <formula>#REF! = "obiectiv"</formula>
    </cfRule>
  </conditionalFormatting>
  <conditionalFormatting sqref="Q697:U697 Q689:U689">
    <cfRule type="expression" dxfId="2031" priority="1923">
      <formula>#REF! = "produs"</formula>
    </cfRule>
    <cfRule type="expression" dxfId="2030" priority="1924">
      <formula>#REF! = "obiectiv"</formula>
    </cfRule>
  </conditionalFormatting>
  <conditionalFormatting sqref="K691 W691:IU691">
    <cfRule type="expression" dxfId="2029" priority="1913">
      <formula>#REF! = "produs"</formula>
    </cfRule>
    <cfRule type="expression" dxfId="2028" priority="1914">
      <formula>#REF! = "obiectiv"</formula>
    </cfRule>
  </conditionalFormatting>
  <conditionalFormatting sqref="J679 J686:J687 J684 J682">
    <cfRule type="expression" dxfId="2027" priority="1943">
      <formula>#REF! = "produs"</formula>
    </cfRule>
    <cfRule type="expression" dxfId="2026" priority="1944">
      <formula>#REF! = "obiectiv"</formula>
    </cfRule>
  </conditionalFormatting>
  <conditionalFormatting sqref="J705">
    <cfRule type="expression" dxfId="2025" priority="1901">
      <formula>#REF! = "produs"</formula>
    </cfRule>
    <cfRule type="expression" dxfId="2024" priority="1902">
      <formula>#REF! = "obiectiv"</formula>
    </cfRule>
  </conditionalFormatting>
  <conditionalFormatting sqref="J715">
    <cfRule type="expression" dxfId="2023" priority="1881">
      <formula>#REF! = "produs"</formula>
    </cfRule>
    <cfRule type="expression" dxfId="2022" priority="1882">
      <formula>#REF! = "obiectiv"</formula>
    </cfRule>
  </conditionalFormatting>
  <conditionalFormatting sqref="J699 J706:J707 J704 J702">
    <cfRule type="expression" dxfId="2021" priority="1905">
      <formula>#REF! = "produs"</formula>
    </cfRule>
    <cfRule type="expression" dxfId="2020" priority="1906">
      <formula>#REF! = "obiectiv"</formula>
    </cfRule>
  </conditionalFormatting>
  <conditionalFormatting sqref="J725">
    <cfRule type="expression" dxfId="2019" priority="1861">
      <formula>#REF! = "produs"</formula>
    </cfRule>
    <cfRule type="expression" dxfId="2018" priority="1862">
      <formula>#REF! = "obiectiv"</formula>
    </cfRule>
  </conditionalFormatting>
  <conditionalFormatting sqref="J683">
    <cfRule type="expression" dxfId="2017" priority="1935">
      <formula>#REF! = "produs"</formula>
    </cfRule>
    <cfRule type="expression" dxfId="2016" priority="1936">
      <formula>#REF! = "obiectiv"</formula>
    </cfRule>
  </conditionalFormatting>
  <conditionalFormatting sqref="J709 J716:J717 J714 J712">
    <cfRule type="expression" dxfId="2015" priority="1885">
      <formula>#REF! = "produs"</formula>
    </cfRule>
    <cfRule type="expression" dxfId="2014" priority="1886">
      <formula>#REF! = "obiectiv"</formula>
    </cfRule>
  </conditionalFormatting>
  <conditionalFormatting sqref="W669:IU670 W672:IU674 W677:IU677 Z675:IU676">
    <cfRule type="expression" dxfId="2013" priority="1965">
      <formula>#REF! = "produs"</formula>
    </cfRule>
    <cfRule type="expression" dxfId="2012" priority="1966">
      <formula>#REF! = "obiectiv"</formula>
    </cfRule>
  </conditionalFormatting>
  <conditionalFormatting sqref="K669:K670 K672:K677">
    <cfRule type="expression" dxfId="2011" priority="1963">
      <formula>#REF! = "produs"</formula>
    </cfRule>
    <cfRule type="expression" dxfId="2010" priority="1964">
      <formula>#REF! = "obiectiv"</formula>
    </cfRule>
  </conditionalFormatting>
  <conditionalFormatting sqref="J719 J726:J727 J724 J722">
    <cfRule type="expression" dxfId="2009" priority="1865">
      <formula>#REF! = "produs"</formula>
    </cfRule>
    <cfRule type="expression" dxfId="2008" priority="1866">
      <formula>#REF! = "obiectiv"</formula>
    </cfRule>
  </conditionalFormatting>
  <conditionalFormatting sqref="L677:U677 L676:P676 L672:P672 L669:U669">
    <cfRule type="expression" dxfId="2007" priority="1959">
      <formula>#REF! = "produs"</formula>
    </cfRule>
    <cfRule type="expression" dxfId="2006" priority="1960">
      <formula>#REF! = "obiectiv"</formula>
    </cfRule>
  </conditionalFormatting>
  <conditionalFormatting sqref="L675:P675">
    <cfRule type="expression" dxfId="2005" priority="1955">
      <formula>#REF! = "produs"</formula>
    </cfRule>
    <cfRule type="expression" dxfId="2004" priority="1956">
      <formula>#REF! = "obiectiv"</formula>
    </cfRule>
  </conditionalFormatting>
  <conditionalFormatting sqref="W671:IU671 K671:P671">
    <cfRule type="expression" dxfId="2003" priority="1951">
      <formula>#REF! = "produs"</formula>
    </cfRule>
    <cfRule type="expression" dxfId="2002" priority="1952">
      <formula>#REF! = "obiectiv"</formula>
    </cfRule>
  </conditionalFormatting>
  <conditionalFormatting sqref="W679:IU680 W682:IU684 W687:IU687 Z685:IU686">
    <cfRule type="expression" dxfId="2001" priority="1947">
      <formula>#REF! = "produs"</formula>
    </cfRule>
    <cfRule type="expression" dxfId="2000" priority="1948">
      <formula>#REF! = "obiectiv"</formula>
    </cfRule>
  </conditionalFormatting>
  <conditionalFormatting sqref="K679:K680 K682:K687">
    <cfRule type="expression" dxfId="1999" priority="1945">
      <formula>#REF! = "produs"</formula>
    </cfRule>
    <cfRule type="expression" dxfId="1998" priority="1946">
      <formula>#REF! = "obiectiv"</formula>
    </cfRule>
  </conditionalFormatting>
  <conditionalFormatting sqref="J729 J736:J737 J734 J732">
    <cfRule type="expression" dxfId="1997" priority="1849">
      <formula>#REF! = "produs"</formula>
    </cfRule>
    <cfRule type="expression" dxfId="1996" priority="1850">
      <formula>#REF! = "obiectiv"</formula>
    </cfRule>
  </conditionalFormatting>
  <conditionalFormatting sqref="Q687:U687 Q679:U679">
    <cfRule type="expression" dxfId="1995" priority="1941">
      <formula>#REF! = "produs"</formula>
    </cfRule>
    <cfRule type="expression" dxfId="1994" priority="1942">
      <formula>#REF! = "obiectiv"</formula>
    </cfRule>
  </conditionalFormatting>
  <conditionalFormatting sqref="K711 W711:IU711">
    <cfRule type="expression" dxfId="1993" priority="1873">
      <formula>#REF! = "produs"</formula>
    </cfRule>
    <cfRule type="expression" dxfId="1992" priority="1874">
      <formula>#REF! = "obiectiv"</formula>
    </cfRule>
  </conditionalFormatting>
  <conditionalFormatting sqref="Q727:U727 Q719:U719">
    <cfRule type="expression" dxfId="1991" priority="1863">
      <formula>#REF! = "produs"</formula>
    </cfRule>
    <cfRule type="expression" dxfId="1990" priority="1864">
      <formula>#REF! = "obiectiv"</formula>
    </cfRule>
  </conditionalFormatting>
  <conditionalFormatting sqref="J713">
    <cfRule type="expression" dxfId="1989" priority="1875">
      <formula>#REF! = "produs"</formula>
    </cfRule>
    <cfRule type="expression" dxfId="1988" priority="1876">
      <formula>#REF! = "obiectiv"</formula>
    </cfRule>
  </conditionalFormatting>
  <conditionalFormatting sqref="K681 W681:IU681">
    <cfRule type="expression" dxfId="1987" priority="1933">
      <formula>#REF! = "produs"</formula>
    </cfRule>
    <cfRule type="expression" dxfId="1986" priority="1934">
      <formula>#REF! = "obiectiv"</formula>
    </cfRule>
  </conditionalFormatting>
  <conditionalFormatting sqref="W689:IU690 W692:IU694 W697:IU697 Z695:IU696">
    <cfRule type="expression" dxfId="1985" priority="1929">
      <formula>#REF! = "produs"</formula>
    </cfRule>
    <cfRule type="expression" dxfId="1984" priority="1930">
      <formula>#REF! = "obiectiv"</formula>
    </cfRule>
  </conditionalFormatting>
  <conditionalFormatting sqref="J723">
    <cfRule type="expression" dxfId="1983" priority="1859">
      <formula>#REF! = "produs"</formula>
    </cfRule>
    <cfRule type="expression" dxfId="1982" priority="1860">
      <formula>#REF! = "obiectiv"</formula>
    </cfRule>
  </conditionalFormatting>
  <conditionalFormatting sqref="W699:IU700 W702:IU704 W707:IU707 Z705:IU706">
    <cfRule type="expression" dxfId="1981" priority="1909">
      <formula>#REF! = "produs"</formula>
    </cfRule>
    <cfRule type="expression" dxfId="1980" priority="1910">
      <formula>#REF! = "obiectiv"</formula>
    </cfRule>
  </conditionalFormatting>
  <conditionalFormatting sqref="K699:K700 K702:K707">
    <cfRule type="expression" dxfId="1979" priority="1907">
      <formula>#REF! = "produs"</formula>
    </cfRule>
    <cfRule type="expression" dxfId="1978" priority="1908">
      <formula>#REF! = "obiectiv"</formula>
    </cfRule>
  </conditionalFormatting>
  <conditionalFormatting sqref="Q699:U699">
    <cfRule type="expression" dxfId="1977" priority="1903">
      <formula>#REF! = "produs"</formula>
    </cfRule>
    <cfRule type="expression" dxfId="1976" priority="1904">
      <formula>#REF! = "obiectiv"</formula>
    </cfRule>
  </conditionalFormatting>
  <conditionalFormatting sqref="J733">
    <cfRule type="expression" dxfId="1975" priority="1841">
      <formula>#REF! = "produs"</formula>
    </cfRule>
    <cfRule type="expression" dxfId="1974" priority="1842">
      <formula>#REF! = "obiectiv"</formula>
    </cfRule>
  </conditionalFormatting>
  <conditionalFormatting sqref="K701 W701:IU701">
    <cfRule type="expression" dxfId="1973" priority="1893">
      <formula>#REF! = "produs"</formula>
    </cfRule>
    <cfRule type="expression" dxfId="1972" priority="1894">
      <formula>#REF! = "obiectiv"</formula>
    </cfRule>
  </conditionalFormatting>
  <conditionalFormatting sqref="W709:IU710 W712:IU717">
    <cfRule type="expression" dxfId="1971" priority="1889">
      <formula>#REF! = "produs"</formula>
    </cfRule>
    <cfRule type="expression" dxfId="1970" priority="1890">
      <formula>#REF! = "obiectiv"</formula>
    </cfRule>
  </conditionalFormatting>
  <conditionalFormatting sqref="K709:K710 K712:K717">
    <cfRule type="expression" dxfId="1969" priority="1887">
      <formula>#REF! = "produs"</formula>
    </cfRule>
    <cfRule type="expression" dxfId="1968" priority="1888">
      <formula>#REF! = "obiectiv"</formula>
    </cfRule>
  </conditionalFormatting>
  <conditionalFormatting sqref="Q717:U717 Q709:U709">
    <cfRule type="expression" dxfId="1967" priority="1883">
      <formula>#REF! = "produs"</formula>
    </cfRule>
    <cfRule type="expression" dxfId="1966" priority="1884">
      <formula>#REF! = "obiectiv"</formula>
    </cfRule>
  </conditionalFormatting>
  <conditionalFormatting sqref="W719:IU720 W722:IU727">
    <cfRule type="expression" dxfId="1965" priority="1869">
      <formula>#REF! = "produs"</formula>
    </cfRule>
    <cfRule type="expression" dxfId="1964" priority="1870">
      <formula>#REF! = "obiectiv"</formula>
    </cfRule>
  </conditionalFormatting>
  <conditionalFormatting sqref="K719:K720 K722:K727">
    <cfRule type="expression" dxfId="1963" priority="1867">
      <formula>#REF! = "produs"</formula>
    </cfRule>
    <cfRule type="expression" dxfId="1962" priority="1868">
      <formula>#REF! = "obiectiv"</formula>
    </cfRule>
  </conditionalFormatting>
  <conditionalFormatting sqref="K721 W721:IU721">
    <cfRule type="expression" dxfId="1961" priority="1857">
      <formula>#REF! = "produs"</formula>
    </cfRule>
    <cfRule type="expression" dxfId="1960" priority="1858">
      <formula>#REF! = "obiectiv"</formula>
    </cfRule>
  </conditionalFormatting>
  <conditionalFormatting sqref="W729:IU730 W732:IU737">
    <cfRule type="expression" dxfId="1959" priority="1853">
      <formula>#REF! = "produs"</formula>
    </cfRule>
    <cfRule type="expression" dxfId="1958" priority="1854">
      <formula>#REF! = "obiectiv"</formula>
    </cfRule>
  </conditionalFormatting>
  <conditionalFormatting sqref="K729:K730 K732:K737">
    <cfRule type="expression" dxfId="1957" priority="1851">
      <formula>#REF! = "produs"</formula>
    </cfRule>
    <cfRule type="expression" dxfId="1956" priority="1852">
      <formula>#REF! = "obiectiv"</formula>
    </cfRule>
  </conditionalFormatting>
  <conditionalFormatting sqref="Q737:U737 Q729:U729">
    <cfRule type="expression" dxfId="1955" priority="1847">
      <formula>#REF! = "produs"</formula>
    </cfRule>
    <cfRule type="expression" dxfId="1954" priority="1848">
      <formula>#REF! = "obiectiv"</formula>
    </cfRule>
  </conditionalFormatting>
  <conditionalFormatting sqref="K731 W731:IU731">
    <cfRule type="expression" dxfId="1953" priority="1839">
      <formula>#REF! = "produs"</formula>
    </cfRule>
    <cfRule type="expression" dxfId="1952" priority="1840">
      <formula>#REF! = "obiectiv"</formula>
    </cfRule>
  </conditionalFormatting>
  <conditionalFormatting sqref="J728 J718 J708 J698 J688 J678 J668">
    <cfRule type="expression" dxfId="1951" priority="1835">
      <formula>#REF! = "produs"</formula>
    </cfRule>
    <cfRule type="expression" dxfId="1950" priority="1836">
      <formula>#REF! = "obiectiv"</formula>
    </cfRule>
  </conditionalFormatting>
  <conditionalFormatting sqref="H678">
    <cfRule type="expression" dxfId="1949" priority="1815">
      <formula>#REF! = "produs"</formula>
    </cfRule>
    <cfRule type="expression" dxfId="1948" priority="1816">
      <formula>#REF! = "obiectiv"</formula>
    </cfRule>
  </conditionalFormatting>
  <conditionalFormatting sqref="Q670:U676">
    <cfRule type="expression" dxfId="1947" priority="1833">
      <formula>#REF! = "produs"</formula>
    </cfRule>
    <cfRule type="expression" dxfId="1946" priority="1834">
      <formula>#REF! = "obiectiv"</formula>
    </cfRule>
  </conditionalFormatting>
  <conditionalFormatting sqref="Q680:U686">
    <cfRule type="expression" dxfId="1945" priority="1831">
      <formula>#REF! = "produs"</formula>
    </cfRule>
    <cfRule type="expression" dxfId="1944" priority="1832">
      <formula>#REF! = "obiectiv"</formula>
    </cfRule>
  </conditionalFormatting>
  <conditionalFormatting sqref="Q690:U696">
    <cfRule type="expression" dxfId="1943" priority="1829">
      <formula>#REF! = "produs"</formula>
    </cfRule>
    <cfRule type="expression" dxfId="1942" priority="1830">
      <formula>#REF! = "obiectiv"</formula>
    </cfRule>
  </conditionalFormatting>
  <conditionalFormatting sqref="Q700:U700">
    <cfRule type="expression" dxfId="1941" priority="1827">
      <formula>#REF! = "produs"</formula>
    </cfRule>
    <cfRule type="expression" dxfId="1940" priority="1828">
      <formula>#REF! = "obiectiv"</formula>
    </cfRule>
  </conditionalFormatting>
  <conditionalFormatting sqref="Q710:U716">
    <cfRule type="expression" dxfId="1939" priority="1825">
      <formula>#REF! = "produs"</formula>
    </cfRule>
    <cfRule type="expression" dxfId="1938" priority="1826">
      <formula>#REF! = "obiectiv"</formula>
    </cfRule>
  </conditionalFormatting>
  <conditionalFormatting sqref="Q720:U726">
    <cfRule type="expression" dxfId="1937" priority="1823">
      <formula>#REF! = "produs"</formula>
    </cfRule>
    <cfRule type="expression" dxfId="1936" priority="1824">
      <formula>#REF! = "obiectiv"</formula>
    </cfRule>
  </conditionalFormatting>
  <conditionalFormatting sqref="Q730:U736">
    <cfRule type="expression" dxfId="1935" priority="1821">
      <formula>#REF! = "produs"</formula>
    </cfRule>
    <cfRule type="expression" dxfId="1934" priority="1822">
      <formula>#REF! = "obiectiv"</formula>
    </cfRule>
  </conditionalFormatting>
  <conditionalFormatting sqref="Q728:U728 Q718:U718 Q708:U708 Q688:U688 Q678:U678 Q668:U668 Q698:U698">
    <cfRule type="expression" dxfId="1933" priority="1819">
      <formula>#REF! = "produs"</formula>
    </cfRule>
    <cfRule type="expression" dxfId="1932" priority="1820">
      <formula>#REF! = "obiectiv"</formula>
    </cfRule>
  </conditionalFormatting>
  <conditionalFormatting sqref="H668">
    <cfRule type="expression" dxfId="1931" priority="1817">
      <formula>#REF! = "produs"</formula>
    </cfRule>
    <cfRule type="expression" dxfId="1930" priority="1818">
      <formula>#REF! = "obiectiv"</formula>
    </cfRule>
  </conditionalFormatting>
  <conditionalFormatting sqref="H718">
    <cfRule type="expression" dxfId="1929" priority="1807">
      <formula>#REF! = "produs"</formula>
    </cfRule>
    <cfRule type="expression" dxfId="1928" priority="1808">
      <formula>#REF! = "obiectiv"</formula>
    </cfRule>
  </conditionalFormatting>
  <conditionalFormatting sqref="H688">
    <cfRule type="expression" dxfId="1927" priority="1813">
      <formula>#REF! = "produs"</formula>
    </cfRule>
    <cfRule type="expression" dxfId="1926" priority="1814">
      <formula>#REF! = "obiectiv"</formula>
    </cfRule>
  </conditionalFormatting>
  <conditionalFormatting sqref="H698">
    <cfRule type="expression" dxfId="1925" priority="1811">
      <formula>#REF! = "produs"</formula>
    </cfRule>
    <cfRule type="expression" dxfId="1924" priority="1812">
      <formula>#REF! = "obiectiv"</formula>
    </cfRule>
  </conditionalFormatting>
  <conditionalFormatting sqref="H708">
    <cfRule type="expression" dxfId="1923" priority="1809">
      <formula>#REF! = "produs"</formula>
    </cfRule>
    <cfRule type="expression" dxfId="1922" priority="1810">
      <formula>#REF! = "obiectiv"</formula>
    </cfRule>
  </conditionalFormatting>
  <conditionalFormatting sqref="H728">
    <cfRule type="expression" dxfId="1921" priority="1805">
      <formula>#REF! = "produs"</formula>
    </cfRule>
    <cfRule type="expression" dxfId="1920" priority="1806">
      <formula>#REF! = "obiectiv"</formula>
    </cfRule>
  </conditionalFormatting>
  <conditionalFormatting sqref="J730 J720 J710 J700 J690 J680 J670">
    <cfRule type="expression" dxfId="1919" priority="1803">
      <formula>#REF! = "produs"</formula>
    </cfRule>
    <cfRule type="expression" dxfId="1918" priority="1804">
      <formula>#REF! = "obiectiv"</formula>
    </cfRule>
  </conditionalFormatting>
  <conditionalFormatting sqref="J796">
    <cfRule type="expression" dxfId="1917" priority="1525">
      <formula>#REF! = "produs"</formula>
    </cfRule>
    <cfRule type="expression" dxfId="1916" priority="1526">
      <formula>#REF! = "obiectiv"</formula>
    </cfRule>
  </conditionalFormatting>
  <conditionalFormatting sqref="K792">
    <cfRule type="expression" dxfId="1915" priority="1517">
      <formula>#REF! = "produs"</formula>
    </cfRule>
    <cfRule type="expression" dxfId="1914" priority="1518">
      <formula>#REF! = "obiectiv"</formula>
    </cfRule>
  </conditionalFormatting>
  <conditionalFormatting sqref="J782">
    <cfRule type="expression" dxfId="1913" priority="1545">
      <formula>#REF! = "produs"</formula>
    </cfRule>
    <cfRule type="expression" dxfId="1912" priority="1546">
      <formula>#REF! = "obiectiv"</formula>
    </cfRule>
  </conditionalFormatting>
  <conditionalFormatting sqref="J794">
    <cfRule type="expression" dxfId="1911" priority="1519">
      <formula>#REF! = "produs"</formula>
    </cfRule>
    <cfRule type="expression" dxfId="1910" priority="1520">
      <formula>#REF! = "obiectiv"</formula>
    </cfRule>
  </conditionalFormatting>
  <conditionalFormatting sqref="J800 J807:J808 J805 J803">
    <cfRule type="expression" dxfId="1909" priority="1495">
      <formula>#REF! = "produs"</formula>
    </cfRule>
    <cfRule type="expression" dxfId="1908" priority="1496">
      <formula>#REF! = "obiectiv"</formula>
    </cfRule>
  </conditionalFormatting>
  <conditionalFormatting sqref="W802:IU802">
    <cfRule type="expression" dxfId="1907" priority="1501">
      <formula>#REF! = "produs"</formula>
    </cfRule>
    <cfRule type="expression" dxfId="1906" priority="1502">
      <formula>#REF! = "obiectiv"</formula>
    </cfRule>
  </conditionalFormatting>
  <conditionalFormatting sqref="V799:V808">
    <cfRule type="expression" dxfId="1905" priority="1499">
      <formula>#REF! = "produs"</formula>
    </cfRule>
    <cfRule type="expression" dxfId="1904" priority="1500">
      <formula>#REF! = "obiectiv"</formula>
    </cfRule>
  </conditionalFormatting>
  <conditionalFormatting sqref="K800:K801 K803:K808">
    <cfRule type="expression" dxfId="1903" priority="1497">
      <formula>#REF! = "produs"</formula>
    </cfRule>
    <cfRule type="expression" dxfId="1902" priority="1498">
      <formula>#REF! = "obiectiv"</formula>
    </cfRule>
  </conditionalFormatting>
  <conditionalFormatting sqref="Q808:U808 Q800:U800">
    <cfRule type="expression" dxfId="1901" priority="1493">
      <formula>#REF! = "produs"</formula>
    </cfRule>
    <cfRule type="expression" dxfId="1900" priority="1494">
      <formula>#REF! = "obiectiv"</formula>
    </cfRule>
  </conditionalFormatting>
  <conditionalFormatting sqref="J804">
    <cfRule type="expression" dxfId="1899" priority="1485">
      <formula>#REF! = "produs"</formula>
    </cfRule>
    <cfRule type="expression" dxfId="1898" priority="1486">
      <formula>#REF! = "obiectiv"</formula>
    </cfRule>
  </conditionalFormatting>
  <conditionalFormatting sqref="Q801:U807">
    <cfRule type="expression" dxfId="1897" priority="1477">
      <formula>#REF! = "produs"</formula>
    </cfRule>
    <cfRule type="expression" dxfId="1896" priority="1478">
      <formula>#REF! = "obiectiv"</formula>
    </cfRule>
  </conditionalFormatting>
  <conditionalFormatting sqref="L686:P687 L682:P682 L679:P679">
    <cfRule type="expression" dxfId="1895" priority="1737">
      <formula>#REF! = "produs"</formula>
    </cfRule>
    <cfRule type="expression" dxfId="1894" priority="1738">
      <formula>#REF! = "obiectiv"</formula>
    </cfRule>
  </conditionalFormatting>
  <conditionalFormatting sqref="L685:N685">
    <cfRule type="expression" dxfId="1893" priority="1735">
      <formula>#REF! = "produs"</formula>
    </cfRule>
    <cfRule type="expression" dxfId="1892" priority="1736">
      <formula>#REF! = "obiectiv"</formula>
    </cfRule>
  </conditionalFormatting>
  <conditionalFormatting sqref="L681:P681">
    <cfRule type="expression" dxfId="1891" priority="1733">
      <formula>#REF! = "produs"</formula>
    </cfRule>
    <cfRule type="expression" dxfId="1890" priority="1734">
      <formula>#REF! = "obiectiv"</formula>
    </cfRule>
  </conditionalFormatting>
  <conditionalFormatting sqref="L696:P697 L692:P692 L689:P689">
    <cfRule type="expression" dxfId="1889" priority="1729">
      <formula>#REF! = "produs"</formula>
    </cfRule>
    <cfRule type="expression" dxfId="1888" priority="1730">
      <formula>#REF! = "obiectiv"</formula>
    </cfRule>
  </conditionalFormatting>
  <conditionalFormatting sqref="L695:P695">
    <cfRule type="expression" dxfId="1887" priority="1727">
      <formula>#REF! = "produs"</formula>
    </cfRule>
    <cfRule type="expression" dxfId="1886" priority="1728">
      <formula>#REF! = "obiectiv"</formula>
    </cfRule>
  </conditionalFormatting>
  <conditionalFormatting sqref="L691:P691">
    <cfRule type="expression" dxfId="1885" priority="1725">
      <formula>#REF! = "produs"</formula>
    </cfRule>
    <cfRule type="expression" dxfId="1884" priority="1726">
      <formula>#REF! = "obiectiv"</formula>
    </cfRule>
  </conditionalFormatting>
  <conditionalFormatting sqref="L706:N707 L702:P702 L699:P699 O707:P707">
    <cfRule type="expression" dxfId="1883" priority="1721">
      <formula>#REF! = "produs"</formula>
    </cfRule>
    <cfRule type="expression" dxfId="1882" priority="1722">
      <formula>#REF! = "obiectiv"</formula>
    </cfRule>
  </conditionalFormatting>
  <conditionalFormatting sqref="L701:P701">
    <cfRule type="expression" dxfId="1881" priority="1717">
      <formula>#REF! = "produs"</formula>
    </cfRule>
    <cfRule type="expression" dxfId="1880" priority="1718">
      <formula>#REF! = "obiectiv"</formula>
    </cfRule>
  </conditionalFormatting>
  <conditionalFormatting sqref="L716:P717 L712:P712 O711:P711 L709:P709">
    <cfRule type="expression" dxfId="1879" priority="1713">
      <formula>#REF! = "produs"</formula>
    </cfRule>
    <cfRule type="expression" dxfId="1878" priority="1714">
      <formula>#REF! = "obiectiv"</formula>
    </cfRule>
  </conditionalFormatting>
  <conditionalFormatting sqref="O715:P715">
    <cfRule type="expression" dxfId="1877" priority="1711">
      <formula>#REF! = "produs"</formula>
    </cfRule>
    <cfRule type="expression" dxfId="1876" priority="1712">
      <formula>#REF! = "obiectiv"</formula>
    </cfRule>
  </conditionalFormatting>
  <conditionalFormatting sqref="L711:N711">
    <cfRule type="expression" dxfId="1875" priority="1709">
      <formula>#REF! = "produs"</formula>
    </cfRule>
    <cfRule type="expression" dxfId="1874" priority="1710">
      <formula>#REF! = "obiectiv"</formula>
    </cfRule>
  </conditionalFormatting>
  <conditionalFormatting sqref="L726:P727 L722:P722 L719:P719">
    <cfRule type="expression" dxfId="1873" priority="1705">
      <formula>#REF! = "produs"</formula>
    </cfRule>
    <cfRule type="expression" dxfId="1872" priority="1706">
      <formula>#REF! = "obiectiv"</formula>
    </cfRule>
  </conditionalFormatting>
  <conditionalFormatting sqref="O725:P725">
    <cfRule type="expression" dxfId="1871" priority="1703">
      <formula>#REF! = "produs"</formula>
    </cfRule>
    <cfRule type="expression" dxfId="1870" priority="1704">
      <formula>#REF! = "obiectiv"</formula>
    </cfRule>
  </conditionalFormatting>
  <conditionalFormatting sqref="L721:P721">
    <cfRule type="expression" dxfId="1869" priority="1701">
      <formula>#REF! = "produs"</formula>
    </cfRule>
    <cfRule type="expression" dxfId="1868" priority="1702">
      <formula>#REF! = "obiectiv"</formula>
    </cfRule>
  </conditionalFormatting>
  <conditionalFormatting sqref="J991">
    <cfRule type="expression" dxfId="1867" priority="1297">
      <formula>#REF! = "produs"</formula>
    </cfRule>
    <cfRule type="expression" dxfId="1866" priority="1298">
      <formula>#REF! = "obiectiv"</formula>
    </cfRule>
  </conditionalFormatting>
  <conditionalFormatting sqref="L736:P737 L732:P732 L729:P729">
    <cfRule type="expression" dxfId="1865" priority="1697">
      <formula>#REF! = "produs"</formula>
    </cfRule>
    <cfRule type="expression" dxfId="1864" priority="1698">
      <formula>#REF! = "obiectiv"</formula>
    </cfRule>
  </conditionalFormatting>
  <conditionalFormatting sqref="P735">
    <cfRule type="expression" dxfId="1863" priority="1695">
      <formula>#REF! = "produs"</formula>
    </cfRule>
    <cfRule type="expression" dxfId="1862" priority="1696">
      <formula>#REF! = "obiectiv"</formula>
    </cfRule>
  </conditionalFormatting>
  <conditionalFormatting sqref="L731:P731">
    <cfRule type="expression" dxfId="1861" priority="1693">
      <formula>#REF! = "produs"</formula>
    </cfRule>
    <cfRule type="expression" dxfId="1860" priority="1694">
      <formula>#REF! = "obiectiv"</formula>
    </cfRule>
  </conditionalFormatting>
  <conditionalFormatting sqref="L1002:P1003">
    <cfRule type="expression" dxfId="1859" priority="1325">
      <formula>#REF! = "produs"</formula>
    </cfRule>
    <cfRule type="expression" dxfId="1858" priority="1326">
      <formula>#REF! = "obiectiv"</formula>
    </cfRule>
  </conditionalFormatting>
  <conditionalFormatting sqref="L746:P747 L742:P742 L739:P739">
    <cfRule type="expression" dxfId="1857" priority="1689">
      <formula>#REF! = "produs"</formula>
    </cfRule>
    <cfRule type="expression" dxfId="1856" priority="1690">
      <formula>#REF! = "obiectiv"</formula>
    </cfRule>
  </conditionalFormatting>
  <conditionalFormatting sqref="O745:P745">
    <cfRule type="expression" dxfId="1855" priority="1687">
      <formula>#REF! = "produs"</formula>
    </cfRule>
    <cfRule type="expression" dxfId="1854" priority="1688">
      <formula>#REF! = "obiectiv"</formula>
    </cfRule>
  </conditionalFormatting>
  <conditionalFormatting sqref="L741:P741">
    <cfRule type="expression" dxfId="1853" priority="1685">
      <formula>#REF! = "produs"</formula>
    </cfRule>
    <cfRule type="expression" dxfId="1852" priority="1686">
      <formula>#REF! = "obiectiv"</formula>
    </cfRule>
  </conditionalFormatting>
  <conditionalFormatting sqref="L756:P757 L752:P752 L749:P749">
    <cfRule type="expression" dxfId="1851" priority="1645">
      <formula>#REF! = "produs"</formula>
    </cfRule>
    <cfRule type="expression" dxfId="1850" priority="1646">
      <formula>#REF! = "obiectiv"</formula>
    </cfRule>
  </conditionalFormatting>
  <conditionalFormatting sqref="O755:P755">
    <cfRule type="expression" dxfId="1849" priority="1643">
      <formula>#REF! = "produs"</formula>
    </cfRule>
    <cfRule type="expression" dxfId="1848" priority="1644">
      <formula>#REF! = "obiectiv"</formula>
    </cfRule>
  </conditionalFormatting>
  <conditionalFormatting sqref="L751:P751">
    <cfRule type="expression" dxfId="1847" priority="1641">
      <formula>#REF! = "produs"</formula>
    </cfRule>
    <cfRule type="expression" dxfId="1846" priority="1642">
      <formula>#REF! = "obiectiv"</formula>
    </cfRule>
  </conditionalFormatting>
  <conditionalFormatting sqref="W987:IU987 K987:P987">
    <cfRule type="expression" dxfId="1845" priority="1289">
      <formula>#REF! = "produs"</formula>
    </cfRule>
    <cfRule type="expression" dxfId="1844" priority="1290">
      <formula>#REF! = "obiectiv"</formula>
    </cfRule>
  </conditionalFormatting>
  <conditionalFormatting sqref="W985:IU986 W988:IU993">
    <cfRule type="expression" dxfId="1843" priority="1305">
      <formula>#REF! = "produs"</formula>
    </cfRule>
    <cfRule type="expression" dxfId="1842" priority="1306">
      <formula>#REF! = "obiectiv"</formula>
    </cfRule>
  </conditionalFormatting>
  <conditionalFormatting sqref="V759:V768">
    <cfRule type="expression" dxfId="1841" priority="1637">
      <formula>#REF! = "produs"</formula>
    </cfRule>
    <cfRule type="expression" dxfId="1840" priority="1638">
      <formula>#REF! = "obiectiv"</formula>
    </cfRule>
  </conditionalFormatting>
  <conditionalFormatting sqref="J760 J767:J768 J765 J763">
    <cfRule type="expression" dxfId="1839" priority="1631">
      <formula>#REF! = "produs"</formula>
    </cfRule>
    <cfRule type="expression" dxfId="1838" priority="1632">
      <formula>#REF! = "obiectiv"</formula>
    </cfRule>
  </conditionalFormatting>
  <conditionalFormatting sqref="J762">
    <cfRule type="expression" dxfId="1837" priority="1617">
      <formula>#REF! = "produs"</formula>
    </cfRule>
    <cfRule type="expression" dxfId="1836" priority="1618">
      <formula>#REF! = "obiectiv"</formula>
    </cfRule>
  </conditionalFormatting>
  <conditionalFormatting sqref="J766">
    <cfRule type="expression" dxfId="1835" priority="1627">
      <formula>#REF! = "produs"</formula>
    </cfRule>
    <cfRule type="expression" dxfId="1834" priority="1628">
      <formula>#REF! = "obiectiv"</formula>
    </cfRule>
  </conditionalFormatting>
  <conditionalFormatting sqref="J764">
    <cfRule type="expression" dxfId="1833" priority="1621">
      <formula>#REF! = "produs"</formula>
    </cfRule>
    <cfRule type="expression" dxfId="1832" priority="1622">
      <formula>#REF! = "obiectiv"</formula>
    </cfRule>
  </conditionalFormatting>
  <conditionalFormatting sqref="L768:U768 L767:P767 L763:P764 L760:U760 L761:P761">
    <cfRule type="expression" dxfId="1831" priority="1629">
      <formula>#REF! = "produs"</formula>
    </cfRule>
    <cfRule type="expression" dxfId="1830" priority="1630">
      <formula>#REF! = "obiectiv"</formula>
    </cfRule>
  </conditionalFormatting>
  <conditionalFormatting sqref="W760:IU761 W763:IU768">
    <cfRule type="expression" dxfId="1829" priority="1635">
      <formula>#REF! = "produs"</formula>
    </cfRule>
    <cfRule type="expression" dxfId="1828" priority="1636">
      <formula>#REF! = "obiectiv"</formula>
    </cfRule>
  </conditionalFormatting>
  <conditionalFormatting sqref="K760:K761 K763:K768">
    <cfRule type="expression" dxfId="1827" priority="1633">
      <formula>#REF! = "produs"</formula>
    </cfRule>
    <cfRule type="expression" dxfId="1826" priority="1634">
      <formula>#REF! = "obiectiv"</formula>
    </cfRule>
  </conditionalFormatting>
  <conditionalFormatting sqref="L766:P766">
    <cfRule type="expression" dxfId="1825" priority="1625">
      <formula>#REF! = "produs"</formula>
    </cfRule>
    <cfRule type="expression" dxfId="1824" priority="1626">
      <formula>#REF! = "obiectiv"</formula>
    </cfRule>
  </conditionalFormatting>
  <conditionalFormatting sqref="L765:P765">
    <cfRule type="expression" dxfId="1823" priority="1623">
      <formula>#REF! = "produs"</formula>
    </cfRule>
    <cfRule type="expression" dxfId="1822" priority="1624">
      <formula>#REF! = "obiectiv"</formula>
    </cfRule>
  </conditionalFormatting>
  <conditionalFormatting sqref="K762:P762 W762:IU762">
    <cfRule type="expression" dxfId="1821" priority="1619">
      <formula>#REF! = "produs"</formula>
    </cfRule>
    <cfRule type="expression" dxfId="1820" priority="1620">
      <formula>#REF! = "obiectiv"</formula>
    </cfRule>
  </conditionalFormatting>
  <conditionalFormatting sqref="W770:IU771 W773:IU778">
    <cfRule type="expression" dxfId="1819" priority="1615">
      <formula>#REF! = "produs"</formula>
    </cfRule>
    <cfRule type="expression" dxfId="1818" priority="1616">
      <formula>#REF! = "obiectiv"</formula>
    </cfRule>
  </conditionalFormatting>
  <conditionalFormatting sqref="W772:IU772">
    <cfRule type="expression" dxfId="1817" priority="1613">
      <formula>#REF! = "produs"</formula>
    </cfRule>
    <cfRule type="expression" dxfId="1816" priority="1614">
      <formula>#REF! = "obiectiv"</formula>
    </cfRule>
  </conditionalFormatting>
  <conditionalFormatting sqref="W780:IU781 W783:IU788">
    <cfRule type="expression" dxfId="1815" priority="1611">
      <formula>#REF! = "produs"</formula>
    </cfRule>
    <cfRule type="expression" dxfId="1814" priority="1612">
      <formula>#REF! = "obiectiv"</formula>
    </cfRule>
  </conditionalFormatting>
  <conditionalFormatting sqref="W782:IU782">
    <cfRule type="expression" dxfId="1813" priority="1609">
      <formula>#REF! = "produs"</formula>
    </cfRule>
    <cfRule type="expression" dxfId="1812" priority="1610">
      <formula>#REF! = "obiectiv"</formula>
    </cfRule>
  </conditionalFormatting>
  <conditionalFormatting sqref="W790:IU791 W793:IU798">
    <cfRule type="expression" dxfId="1811" priority="1607">
      <formula>#REF! = "produs"</formula>
    </cfRule>
    <cfRule type="expression" dxfId="1810" priority="1608">
      <formula>#REF! = "obiectiv"</formula>
    </cfRule>
  </conditionalFormatting>
  <conditionalFormatting sqref="W792:IU792">
    <cfRule type="expression" dxfId="1809" priority="1605">
      <formula>#REF! = "produs"</formula>
    </cfRule>
    <cfRule type="expression" dxfId="1808" priority="1606">
      <formula>#REF! = "obiectiv"</formula>
    </cfRule>
  </conditionalFormatting>
  <conditionalFormatting sqref="J759">
    <cfRule type="expression" dxfId="1807" priority="1603">
      <formula>#REF! = "produs"</formula>
    </cfRule>
    <cfRule type="expression" dxfId="1806" priority="1604">
      <formula>#REF! = "obiectiv"</formula>
    </cfRule>
  </conditionalFormatting>
  <conditionalFormatting sqref="Q761:U767">
    <cfRule type="expression" dxfId="1805" priority="1601">
      <formula>#REF! = "produs"</formula>
    </cfRule>
    <cfRule type="expression" dxfId="1804" priority="1602">
      <formula>#REF! = "obiectiv"</formula>
    </cfRule>
  </conditionalFormatting>
  <conditionalFormatting sqref="Q759:U759">
    <cfRule type="expression" dxfId="1803" priority="1599">
      <formula>#REF! = "produs"</formula>
    </cfRule>
    <cfRule type="expression" dxfId="1802" priority="1600">
      <formula>#REF! = "obiectiv"</formula>
    </cfRule>
  </conditionalFormatting>
  <conditionalFormatting sqref="J761">
    <cfRule type="expression" dxfId="1801" priority="1597">
      <formula>#REF! = "produs"</formula>
    </cfRule>
    <cfRule type="expression" dxfId="1800" priority="1598">
      <formula>#REF! = "obiectiv"</formula>
    </cfRule>
  </conditionalFormatting>
  <conditionalFormatting sqref="J1027">
    <cfRule type="expression" dxfId="1799" priority="1223">
      <formula>#REF! = "produs"</formula>
    </cfRule>
    <cfRule type="expression" dxfId="1798" priority="1224">
      <formula>#REF! = "obiectiv"</formula>
    </cfRule>
  </conditionalFormatting>
  <conditionalFormatting sqref="L1031:P1031">
    <cfRule type="expression" dxfId="1797" priority="1209">
      <formula>#REF! = "produs"</formula>
    </cfRule>
    <cfRule type="expression" dxfId="1796" priority="1210">
      <formula>#REF! = "obiectiv"</formula>
    </cfRule>
  </conditionalFormatting>
  <conditionalFormatting sqref="Q1026:U1032">
    <cfRule type="expression" dxfId="1795" priority="1219">
      <formula>#REF! = "produs"</formula>
    </cfRule>
    <cfRule type="expression" dxfId="1794" priority="1220">
      <formula>#REF! = "obiectiv"</formula>
    </cfRule>
  </conditionalFormatting>
  <conditionalFormatting sqref="J1026">
    <cfRule type="expression" dxfId="1793" priority="1213">
      <formula>#REF! = "produs"</formula>
    </cfRule>
    <cfRule type="expression" dxfId="1792" priority="1214">
      <formula>#REF! = "obiectiv"</formula>
    </cfRule>
  </conditionalFormatting>
  <conditionalFormatting sqref="J1024">
    <cfRule type="expression" dxfId="1791" priority="1221">
      <formula>#REF! = "produs"</formula>
    </cfRule>
    <cfRule type="expression" dxfId="1790" priority="1222">
      <formula>#REF! = "obiectiv"</formula>
    </cfRule>
  </conditionalFormatting>
  <conditionalFormatting sqref="K1027 W1027:IU1027">
    <cfRule type="expression" dxfId="1789" priority="1225">
      <formula>#REF! = "produs"</formula>
    </cfRule>
    <cfRule type="expression" dxfId="1788" priority="1226">
      <formula>#REF! = "obiectiv"</formula>
    </cfRule>
  </conditionalFormatting>
  <conditionalFormatting sqref="L1032:P1033 L1025:P1025 L1028:P1029">
    <cfRule type="expression" dxfId="1787" priority="1211">
      <formula>#REF! = "produs"</formula>
    </cfRule>
    <cfRule type="expression" dxfId="1786" priority="1212">
      <formula>#REF! = "obiectiv"</formula>
    </cfRule>
  </conditionalFormatting>
  <conditionalFormatting sqref="L1030:P1030">
    <cfRule type="expression" dxfId="1785" priority="1207">
      <formula>#REF! = "produs"</formula>
    </cfRule>
    <cfRule type="expression" dxfId="1784" priority="1208">
      <formula>#REF! = "obiectiv"</formula>
    </cfRule>
  </conditionalFormatting>
  <conditionalFormatting sqref="L1026:P1027">
    <cfRule type="expression" dxfId="1783" priority="1205">
      <formula>#REF! = "produs"</formula>
    </cfRule>
    <cfRule type="expression" dxfId="1782" priority="1206">
      <formula>#REF! = "obiectiv"</formula>
    </cfRule>
  </conditionalFormatting>
  <conditionalFormatting sqref="L998:P999 L995:P996">
    <cfRule type="expression" dxfId="1781" priority="1203">
      <formula>#REF! = "produs"</formula>
    </cfRule>
    <cfRule type="expression" dxfId="1780" priority="1204">
      <formula>#REF! = "obiectiv"</formula>
    </cfRule>
  </conditionalFormatting>
  <conditionalFormatting sqref="L1001:P1001">
    <cfRule type="expression" dxfId="1779" priority="1201">
      <formula>#REF! = "produs"</formula>
    </cfRule>
    <cfRule type="expression" dxfId="1778" priority="1202">
      <formula>#REF! = "obiectiv"</formula>
    </cfRule>
  </conditionalFormatting>
  <conditionalFormatting sqref="L1000:P1000">
    <cfRule type="expression" dxfId="1777" priority="1199">
      <formula>#REF! = "produs"</formula>
    </cfRule>
    <cfRule type="expression" dxfId="1776" priority="1200">
      <formula>#REF! = "obiectiv"</formula>
    </cfRule>
  </conditionalFormatting>
  <conditionalFormatting sqref="L997:P997">
    <cfRule type="expression" dxfId="1775" priority="1197">
      <formula>#REF! = "produs"</formula>
    </cfRule>
    <cfRule type="expression" dxfId="1774" priority="1198">
      <formula>#REF! = "obiectiv"</formula>
    </cfRule>
  </conditionalFormatting>
  <conditionalFormatting sqref="L1018:P1019 L1016:P1016">
    <cfRule type="expression" dxfId="1773" priority="1193">
      <formula>#REF! = "produs"</formula>
    </cfRule>
    <cfRule type="expression" dxfId="1772" priority="1194">
      <formula>#REF! = "obiectiv"</formula>
    </cfRule>
  </conditionalFormatting>
  <conditionalFormatting sqref="L1022:P1023">
    <cfRule type="expression" dxfId="1771" priority="1195">
      <formula>#REF! = "produs"</formula>
    </cfRule>
    <cfRule type="expression" dxfId="1770" priority="1196">
      <formula>#REF! = "obiectiv"</formula>
    </cfRule>
  </conditionalFormatting>
  <conditionalFormatting sqref="Q789:U789">
    <cfRule type="expression" dxfId="1769" priority="1509">
      <formula>#REF! = "produs"</formula>
    </cfRule>
    <cfRule type="expression" dxfId="1768" priority="1510">
      <formula>#REF! = "obiectiv"</formula>
    </cfRule>
  </conditionalFormatting>
  <conditionalFormatting sqref="J791">
    <cfRule type="expression" dxfId="1767" priority="1507">
      <formula>#REF! = "produs"</formula>
    </cfRule>
    <cfRule type="expression" dxfId="1766" priority="1508">
      <formula>#REF! = "obiectiv"</formula>
    </cfRule>
  </conditionalFormatting>
  <conditionalFormatting sqref="L777:P778 L773:P774 L770:P771">
    <cfRule type="expression" dxfId="1765" priority="1435">
      <formula>#REF! = "produs"</formula>
    </cfRule>
    <cfRule type="expression" dxfId="1764" priority="1436">
      <formula>#REF! = "obiectiv"</formula>
    </cfRule>
  </conditionalFormatting>
  <conditionalFormatting sqref="L776:P776">
    <cfRule type="expression" dxfId="1763" priority="1433">
      <formula>#REF! = "produs"</formula>
    </cfRule>
    <cfRule type="expression" dxfId="1762" priority="1434">
      <formula>#REF! = "obiectiv"</formula>
    </cfRule>
  </conditionalFormatting>
  <conditionalFormatting sqref="L775:P775">
    <cfRule type="expression" dxfId="1761" priority="1431">
      <formula>#REF! = "produs"</formula>
    </cfRule>
    <cfRule type="expression" dxfId="1760" priority="1432">
      <formula>#REF! = "obiectiv"</formula>
    </cfRule>
  </conditionalFormatting>
  <conditionalFormatting sqref="L772:P772">
    <cfRule type="expression" dxfId="1759" priority="1429">
      <formula>#REF! = "produs"</formula>
    </cfRule>
    <cfRule type="expression" dxfId="1758" priority="1430">
      <formula>#REF! = "obiectiv"</formula>
    </cfRule>
  </conditionalFormatting>
  <conditionalFormatting sqref="L787:P788 L783:P784 L780:P781">
    <cfRule type="expression" dxfId="1757" priority="1427">
      <formula>#REF! = "produs"</formula>
    </cfRule>
    <cfRule type="expression" dxfId="1756" priority="1428">
      <formula>#REF! = "obiectiv"</formula>
    </cfRule>
  </conditionalFormatting>
  <conditionalFormatting sqref="L786:P786">
    <cfRule type="expression" dxfId="1755" priority="1425">
      <formula>#REF! = "produs"</formula>
    </cfRule>
    <cfRule type="expression" dxfId="1754" priority="1426">
      <formula>#REF! = "obiectiv"</formula>
    </cfRule>
  </conditionalFormatting>
  <conditionalFormatting sqref="L785:P785">
    <cfRule type="expression" dxfId="1753" priority="1423">
      <formula>#REF! = "produs"</formula>
    </cfRule>
    <cfRule type="expression" dxfId="1752" priority="1424">
      <formula>#REF! = "obiectiv"</formula>
    </cfRule>
  </conditionalFormatting>
  <conditionalFormatting sqref="L782:P782">
    <cfRule type="expression" dxfId="1751" priority="1421">
      <formula>#REF! = "produs"</formula>
    </cfRule>
    <cfRule type="expression" dxfId="1750" priority="1422">
      <formula>#REF! = "obiectiv"</formula>
    </cfRule>
  </conditionalFormatting>
  <conditionalFormatting sqref="L797:P798 L793:P794 L790:P791">
    <cfRule type="expression" dxfId="1749" priority="1419">
      <formula>#REF! = "produs"</formula>
    </cfRule>
    <cfRule type="expression" dxfId="1748" priority="1420">
      <formula>#REF! = "obiectiv"</formula>
    </cfRule>
  </conditionalFormatting>
  <conditionalFormatting sqref="L796:P796">
    <cfRule type="expression" dxfId="1747" priority="1417">
      <formula>#REF! = "produs"</formula>
    </cfRule>
    <cfRule type="expression" dxfId="1746" priority="1418">
      <formula>#REF! = "obiectiv"</formula>
    </cfRule>
  </conditionalFormatting>
  <conditionalFormatting sqref="L795:P795">
    <cfRule type="expression" dxfId="1745" priority="1415">
      <formula>#REF! = "produs"</formula>
    </cfRule>
    <cfRule type="expression" dxfId="1744" priority="1416">
      <formula>#REF! = "obiectiv"</formula>
    </cfRule>
  </conditionalFormatting>
  <conditionalFormatting sqref="L792:P792">
    <cfRule type="expression" dxfId="1743" priority="1413">
      <formula>#REF! = "produs"</formula>
    </cfRule>
    <cfRule type="expression" dxfId="1742" priority="1414">
      <formula>#REF! = "obiectiv"</formula>
    </cfRule>
  </conditionalFormatting>
  <conditionalFormatting sqref="L807:P808 L800:P801 L803:P804">
    <cfRule type="expression" dxfId="1741" priority="1411">
      <formula>#REF! = "produs"</formula>
    </cfRule>
    <cfRule type="expression" dxfId="1740" priority="1412">
      <formula>#REF! = "obiectiv"</formula>
    </cfRule>
  </conditionalFormatting>
  <conditionalFormatting sqref="O806:P806">
    <cfRule type="expression" dxfId="1739" priority="1409">
      <formula>#REF! = "produs"</formula>
    </cfRule>
    <cfRule type="expression" dxfId="1738" priority="1410">
      <formula>#REF! = "obiectiv"</formula>
    </cfRule>
  </conditionalFormatting>
  <conditionalFormatting sqref="O805:P805">
    <cfRule type="expression" dxfId="1737" priority="1407">
      <formula>#REF! = "produs"</formula>
    </cfRule>
    <cfRule type="expression" dxfId="1736" priority="1408">
      <formula>#REF! = "obiectiv"</formula>
    </cfRule>
  </conditionalFormatting>
  <conditionalFormatting sqref="L802:P802">
    <cfRule type="expression" dxfId="1735" priority="1405">
      <formula>#REF! = "produs"</formula>
    </cfRule>
    <cfRule type="expression" dxfId="1734" priority="1406">
      <formula>#REF! = "obiectiv"</formula>
    </cfRule>
  </conditionalFormatting>
  <conditionalFormatting sqref="L806:N806">
    <cfRule type="expression" dxfId="1733" priority="1403">
      <formula>#REF! = "produs"</formula>
    </cfRule>
    <cfRule type="expression" dxfId="1732" priority="1404">
      <formula>#REF! = "obiectiv"</formula>
    </cfRule>
  </conditionalFormatting>
  <conditionalFormatting sqref="L805:N805">
    <cfRule type="expression" dxfId="1731" priority="1401">
      <formula>#REF! = "produs"</formula>
    </cfRule>
    <cfRule type="expression" dxfId="1730" priority="1402">
      <formula>#REF! = "obiectiv"</formula>
    </cfRule>
  </conditionalFormatting>
  <conditionalFormatting sqref="V994:V1013 V1034:V1043">
    <cfRule type="expression" dxfId="1729" priority="1397">
      <formula>#REF! = "produs"</formula>
    </cfRule>
    <cfRule type="expression" dxfId="1728" priority="1398">
      <formula>#REF! = "obiectiv"</formula>
    </cfRule>
  </conditionalFormatting>
  <conditionalFormatting sqref="W1038:IU1043 J1042:J1043 K1038:K1043 Q1043:U1043">
    <cfRule type="expression" dxfId="1727" priority="1399">
      <formula>#REF! = "produs"</formula>
    </cfRule>
    <cfRule type="expression" dxfId="1726" priority="1400">
      <formula>#REF! = "obiectiv"</formula>
    </cfRule>
  </conditionalFormatting>
  <conditionalFormatting sqref="J995 J1002:J1003 J1000 J998">
    <cfRule type="expression" dxfId="1725" priority="1391">
      <formula>#REF! = "produs"</formula>
    </cfRule>
    <cfRule type="expression" dxfId="1724" priority="1392">
      <formula>#REF! = "obiectiv"</formula>
    </cfRule>
  </conditionalFormatting>
  <conditionalFormatting sqref="J1005 J1012:J1013 J1010 J1008">
    <cfRule type="expression" dxfId="1723" priority="1375">
      <formula>#REF! = "produs"</formula>
    </cfRule>
    <cfRule type="expression" dxfId="1722" priority="1376">
      <formula>#REF! = "obiectiv"</formula>
    </cfRule>
  </conditionalFormatting>
  <conditionalFormatting sqref="J997">
    <cfRule type="expression" dxfId="1721" priority="1381">
      <formula>#REF! = "produs"</formula>
    </cfRule>
    <cfRule type="expression" dxfId="1720" priority="1382">
      <formula>#REF! = "obiectiv"</formula>
    </cfRule>
  </conditionalFormatting>
  <conditionalFormatting sqref="J999">
    <cfRule type="expression" dxfId="1719" priority="1385">
      <formula>#REF! = "produs"</formula>
    </cfRule>
    <cfRule type="expression" dxfId="1718" priority="1386">
      <formula>#REF! = "obiectiv"</formula>
    </cfRule>
  </conditionalFormatting>
  <conditionalFormatting sqref="J1007">
    <cfRule type="expression" dxfId="1717" priority="1365">
      <formula>#REF! = "produs"</formula>
    </cfRule>
    <cfRule type="expression" dxfId="1716" priority="1366">
      <formula>#REF! = "obiectiv"</formula>
    </cfRule>
  </conditionalFormatting>
  <conditionalFormatting sqref="J1037">
    <cfRule type="expression" dxfId="1715" priority="1349">
      <formula>#REF! = "produs"</formula>
    </cfRule>
    <cfRule type="expression" dxfId="1714" priority="1350">
      <formula>#REF! = "obiectiv"</formula>
    </cfRule>
  </conditionalFormatting>
  <conditionalFormatting sqref="J1001">
    <cfRule type="expression" dxfId="1713" priority="1387">
      <formula>#REF! = "produs"</formula>
    </cfRule>
    <cfRule type="expression" dxfId="1712" priority="1388">
      <formula>#REF! = "obiectiv"</formula>
    </cfRule>
  </conditionalFormatting>
  <conditionalFormatting sqref="J1009">
    <cfRule type="expression" dxfId="1711" priority="1369">
      <formula>#REF! = "produs"</formula>
    </cfRule>
    <cfRule type="expression" dxfId="1710" priority="1370">
      <formula>#REF! = "obiectiv"</formula>
    </cfRule>
  </conditionalFormatting>
  <conditionalFormatting sqref="J1041">
    <cfRule type="expression" dxfId="1709" priority="1355">
      <formula>#REF! = "produs"</formula>
    </cfRule>
    <cfRule type="expression" dxfId="1708" priority="1356">
      <formula>#REF! = "obiectiv"</formula>
    </cfRule>
  </conditionalFormatting>
  <conditionalFormatting sqref="J1039">
    <cfRule type="expression" dxfId="1707" priority="1353">
      <formula>#REF! = "produs"</formula>
    </cfRule>
    <cfRule type="expression" dxfId="1706" priority="1354">
      <formula>#REF! = "obiectiv"</formula>
    </cfRule>
  </conditionalFormatting>
  <conditionalFormatting sqref="K1005:K1006 K1008:K1013">
    <cfRule type="expression" dxfId="1705" priority="1377">
      <formula>#REF! = "produs"</formula>
    </cfRule>
    <cfRule type="expression" dxfId="1704" priority="1378">
      <formula>#REF! = "obiectiv"</formula>
    </cfRule>
  </conditionalFormatting>
  <conditionalFormatting sqref="K1007 W1007:IU1007">
    <cfRule type="expression" dxfId="1703" priority="1367">
      <formula>#REF! = "produs"</formula>
    </cfRule>
    <cfRule type="expression" dxfId="1702" priority="1368">
      <formula>#REF! = "obiectiv"</formula>
    </cfRule>
  </conditionalFormatting>
  <conditionalFormatting sqref="J1011">
    <cfRule type="expression" dxfId="1701" priority="1371">
      <formula>#REF! = "produs"</formula>
    </cfRule>
    <cfRule type="expression" dxfId="1700" priority="1372">
      <formula>#REF! = "obiectiv"</formula>
    </cfRule>
  </conditionalFormatting>
  <conditionalFormatting sqref="W1035:IU1036">
    <cfRule type="expression" dxfId="1699" priority="1363">
      <formula>#REF! = "produs"</formula>
    </cfRule>
    <cfRule type="expression" dxfId="1698" priority="1364">
      <formula>#REF! = "obiectiv"</formula>
    </cfRule>
  </conditionalFormatting>
  <conditionalFormatting sqref="J1035 J1040 J1038">
    <cfRule type="expression" dxfId="1697" priority="1359">
      <formula>#REF! = "produs"</formula>
    </cfRule>
    <cfRule type="expression" dxfId="1696" priority="1360">
      <formula>#REF! = "obiectiv"</formula>
    </cfRule>
  </conditionalFormatting>
  <conditionalFormatting sqref="W995:IU996 W998:IU1003">
    <cfRule type="expression" dxfId="1695" priority="1395">
      <formula>#REF! = "produs"</formula>
    </cfRule>
    <cfRule type="expression" dxfId="1694" priority="1396">
      <formula>#REF! = "obiectiv"</formula>
    </cfRule>
  </conditionalFormatting>
  <conditionalFormatting sqref="K995:K996 K998:K1003">
    <cfRule type="expression" dxfId="1693" priority="1393">
      <formula>#REF! = "produs"</formula>
    </cfRule>
    <cfRule type="expression" dxfId="1692" priority="1394">
      <formula>#REF! = "obiectiv"</formula>
    </cfRule>
  </conditionalFormatting>
  <conditionalFormatting sqref="Q1003:U1003 Q995:U995">
    <cfRule type="expression" dxfId="1691" priority="1389">
      <formula>#REF! = "produs"</formula>
    </cfRule>
    <cfRule type="expression" dxfId="1690" priority="1390">
      <formula>#REF! = "obiectiv"</formula>
    </cfRule>
  </conditionalFormatting>
  <conditionalFormatting sqref="W1005:IU1006 W1008:IU1013">
    <cfRule type="expression" dxfId="1689" priority="1379">
      <formula>#REF! = "produs"</formula>
    </cfRule>
    <cfRule type="expression" dxfId="1688" priority="1380">
      <formula>#REF! = "obiectiv"</formula>
    </cfRule>
  </conditionalFormatting>
  <conditionalFormatting sqref="K997 W997:IU997">
    <cfRule type="expression" dxfId="1687" priority="1383">
      <formula>#REF! = "produs"</formula>
    </cfRule>
    <cfRule type="expression" dxfId="1686" priority="1384">
      <formula>#REF! = "obiectiv"</formula>
    </cfRule>
  </conditionalFormatting>
  <conditionalFormatting sqref="Q1013:U1013 Q1005:U1005">
    <cfRule type="expression" dxfId="1685" priority="1373">
      <formula>#REF! = "produs"</formula>
    </cfRule>
    <cfRule type="expression" dxfId="1684" priority="1374">
      <formula>#REF! = "obiectiv"</formula>
    </cfRule>
  </conditionalFormatting>
  <conditionalFormatting sqref="K1035:K1036">
    <cfRule type="expression" dxfId="1683" priority="1361">
      <formula>#REF! = "produs"</formula>
    </cfRule>
    <cfRule type="expression" dxfId="1682" priority="1362">
      <formula>#REF! = "obiectiv"</formula>
    </cfRule>
  </conditionalFormatting>
  <conditionalFormatting sqref="Q1035:U1035">
    <cfRule type="expression" dxfId="1681" priority="1357">
      <formula>#REF! = "produs"</formula>
    </cfRule>
    <cfRule type="expression" dxfId="1680" priority="1358">
      <formula>#REF! = "obiectiv"</formula>
    </cfRule>
  </conditionalFormatting>
  <conditionalFormatting sqref="K1037 W1037:IU1037">
    <cfRule type="expression" dxfId="1679" priority="1351">
      <formula>#REF! = "produs"</formula>
    </cfRule>
    <cfRule type="expression" dxfId="1678" priority="1352">
      <formula>#REF! = "obiectiv"</formula>
    </cfRule>
  </conditionalFormatting>
  <conditionalFormatting sqref="J1034 J1004 J994">
    <cfRule type="expression" dxfId="1677" priority="1347">
      <formula>#REF! = "produs"</formula>
    </cfRule>
    <cfRule type="expression" dxfId="1676" priority="1348">
      <formula>#REF! = "obiectiv"</formula>
    </cfRule>
  </conditionalFormatting>
  <conditionalFormatting sqref="Q996:U1002">
    <cfRule type="expression" dxfId="1675" priority="1345">
      <formula>#REF! = "produs"</formula>
    </cfRule>
    <cfRule type="expression" dxfId="1674" priority="1346">
      <formula>#REF! = "obiectiv"</formula>
    </cfRule>
  </conditionalFormatting>
  <conditionalFormatting sqref="Q1006:U1012">
    <cfRule type="expression" dxfId="1673" priority="1343">
      <formula>#REF! = "produs"</formula>
    </cfRule>
    <cfRule type="expression" dxfId="1672" priority="1344">
      <formula>#REF! = "obiectiv"</formula>
    </cfRule>
  </conditionalFormatting>
  <conditionalFormatting sqref="Q1036:U1042">
    <cfRule type="expression" dxfId="1671" priority="1341">
      <formula>#REF! = "produs"</formula>
    </cfRule>
    <cfRule type="expression" dxfId="1670" priority="1342">
      <formula>#REF! = "obiectiv"</formula>
    </cfRule>
  </conditionalFormatting>
  <conditionalFormatting sqref="Q1034:U1034 Q1004:U1004 Q994:U994">
    <cfRule type="expression" dxfId="1669" priority="1339">
      <formula>#REF! = "produs"</formula>
    </cfRule>
    <cfRule type="expression" dxfId="1668" priority="1340">
      <formula>#REF! = "obiectiv"</formula>
    </cfRule>
  </conditionalFormatting>
  <conditionalFormatting sqref="H994">
    <cfRule type="expression" dxfId="1667" priority="1337">
      <formula>#REF! = "produs"</formula>
    </cfRule>
    <cfRule type="expression" dxfId="1666" priority="1338">
      <formula>#REF! = "obiectiv"</formula>
    </cfRule>
  </conditionalFormatting>
  <conditionalFormatting sqref="H1004">
    <cfRule type="expression" dxfId="1665" priority="1335">
      <formula>#REF! = "produs"</formula>
    </cfRule>
    <cfRule type="expression" dxfId="1664" priority="1336">
      <formula>#REF! = "obiectiv"</formula>
    </cfRule>
  </conditionalFormatting>
  <conditionalFormatting sqref="H1034">
    <cfRule type="expression" dxfId="1663" priority="1333">
      <formula>#REF! = "produs"</formula>
    </cfRule>
    <cfRule type="expression" dxfId="1662" priority="1334">
      <formula>#REF! = "obiectiv"</formula>
    </cfRule>
  </conditionalFormatting>
  <conditionalFormatting sqref="G994">
    <cfRule type="expression" dxfId="1661" priority="1331">
      <formula>#REF! = "produs"</formula>
    </cfRule>
    <cfRule type="expression" dxfId="1660" priority="1332">
      <formula>#REF! = "obiectiv"</formula>
    </cfRule>
  </conditionalFormatting>
  <conditionalFormatting sqref="J1036 J1006 J996">
    <cfRule type="expression" dxfId="1659" priority="1329">
      <formula>#REF! = "produs"</formula>
    </cfRule>
    <cfRule type="expression" dxfId="1658" priority="1330">
      <formula>#REF! = "obiectiv"</formula>
    </cfRule>
  </conditionalFormatting>
  <conditionalFormatting sqref="O1010:P1010">
    <cfRule type="expression" dxfId="1657" priority="1319">
      <formula>#REF! = "produs"</formula>
    </cfRule>
    <cfRule type="expression" dxfId="1656" priority="1320">
      <formula>#REF! = "obiectiv"</formula>
    </cfRule>
  </conditionalFormatting>
  <conditionalFormatting sqref="J1058:J1064 J1055:J1056 K1055:P1064">
    <cfRule type="expression" dxfId="1655" priority="1157">
      <formula>#REF! = "produs"</formula>
    </cfRule>
    <cfRule type="expression" dxfId="1654" priority="1158">
      <formula>#REF! = "obiectiv"</formula>
    </cfRule>
  </conditionalFormatting>
  <conditionalFormatting sqref="J1058:J1064 J1055:J1056">
    <cfRule type="expression" dxfId="1653" priority="1153">
      <formula>#REF! = "produs"</formula>
    </cfRule>
    <cfRule type="expression" dxfId="1652" priority="1154">
      <formula>#REF! = "obiectiv"</formula>
    </cfRule>
  </conditionalFormatting>
  <conditionalFormatting sqref="J1056 J1063:J1064 J1061 J1059">
    <cfRule type="expression" dxfId="1651" priority="1147">
      <formula>#REF! = "produs"</formula>
    </cfRule>
    <cfRule type="expression" dxfId="1650" priority="1148">
      <formula>#REF! = "obiectiv"</formula>
    </cfRule>
  </conditionalFormatting>
  <conditionalFormatting sqref="K1055:K1064">
    <cfRule type="expression" dxfId="1649" priority="1155">
      <formula>#REF! = "produs"</formula>
    </cfRule>
    <cfRule type="expression" dxfId="1648" priority="1156">
      <formula>#REF! = "obiectiv"</formula>
    </cfRule>
  </conditionalFormatting>
  <conditionalFormatting sqref="L1055:P1064">
    <cfRule type="expression" dxfId="1647" priority="1151">
      <formula>#REF! = "produs"</formula>
    </cfRule>
    <cfRule type="expression" dxfId="1646" priority="1152">
      <formula>#REF! = "obiectiv"</formula>
    </cfRule>
  </conditionalFormatting>
  <conditionalFormatting sqref="J1058">
    <cfRule type="expression" dxfId="1645" priority="1133">
      <formula>#REF! = "produs"</formula>
    </cfRule>
    <cfRule type="expression" dxfId="1644" priority="1134">
      <formula>#REF! = "obiectiv"</formula>
    </cfRule>
  </conditionalFormatting>
  <conditionalFormatting sqref="J1060">
    <cfRule type="expression" dxfId="1643" priority="1137">
      <formula>#REF! = "produs"</formula>
    </cfRule>
    <cfRule type="expression" dxfId="1642" priority="1138">
      <formula>#REF! = "obiectiv"</formula>
    </cfRule>
  </conditionalFormatting>
  <conditionalFormatting sqref="J1062">
    <cfRule type="expression" dxfId="1641" priority="1143">
      <formula>#REF! = "produs"</formula>
    </cfRule>
    <cfRule type="expression" dxfId="1640" priority="1144">
      <formula>#REF! = "obiectiv"</formula>
    </cfRule>
  </conditionalFormatting>
  <conditionalFormatting sqref="K1056:K1057 K1059:K1064">
    <cfRule type="expression" dxfId="1639" priority="1149">
      <formula>#REF! = "produs"</formula>
    </cfRule>
    <cfRule type="expression" dxfId="1638" priority="1150">
      <formula>#REF! = "obiectiv"</formula>
    </cfRule>
  </conditionalFormatting>
  <conditionalFormatting sqref="L1063:P1064 L1059:P1060 L1056:P1057">
    <cfRule type="expression" dxfId="1637" priority="1145">
      <formula>#REF! = "produs"</formula>
    </cfRule>
    <cfRule type="expression" dxfId="1636" priority="1146">
      <formula>#REF! = "obiectiv"</formula>
    </cfRule>
  </conditionalFormatting>
  <conditionalFormatting sqref="L1062:P1062">
    <cfRule type="expression" dxfId="1635" priority="1141">
      <formula>#REF! = "produs"</formula>
    </cfRule>
    <cfRule type="expression" dxfId="1634" priority="1142">
      <formula>#REF! = "obiectiv"</formula>
    </cfRule>
  </conditionalFormatting>
  <conditionalFormatting sqref="L1061:P1061">
    <cfRule type="expression" dxfId="1633" priority="1139">
      <formula>#REF! = "produs"</formula>
    </cfRule>
    <cfRule type="expression" dxfId="1632" priority="1140">
      <formula>#REF! = "obiectiv"</formula>
    </cfRule>
  </conditionalFormatting>
  <conditionalFormatting sqref="K1058:P1058">
    <cfRule type="expression" dxfId="1631" priority="1135">
      <formula>#REF! = "produs"</formula>
    </cfRule>
    <cfRule type="expression" dxfId="1630" priority="1136">
      <formula>#REF! = "obiectiv"</formula>
    </cfRule>
  </conditionalFormatting>
  <conditionalFormatting sqref="J1055">
    <cfRule type="expression" dxfId="1629" priority="1131">
      <formula>#REF! = "produs"</formula>
    </cfRule>
    <cfRule type="expression" dxfId="1628" priority="1132">
      <formula>#REF! = "obiectiv"</formula>
    </cfRule>
  </conditionalFormatting>
  <conditionalFormatting sqref="H1055">
    <cfRule type="expression" dxfId="1627" priority="1129">
      <formula>#REF! = "produs"</formula>
    </cfRule>
    <cfRule type="expression" dxfId="1626" priority="1130">
      <formula>#REF! = "obiectiv"</formula>
    </cfRule>
  </conditionalFormatting>
  <conditionalFormatting sqref="G1055">
    <cfRule type="expression" dxfId="1625" priority="1127">
      <formula>#REF! = "produs"</formula>
    </cfRule>
    <cfRule type="expression" dxfId="1624" priority="1128">
      <formula>#REF! = "obiectiv"</formula>
    </cfRule>
  </conditionalFormatting>
  <conditionalFormatting sqref="J1057">
    <cfRule type="expression" dxfId="1623" priority="1125">
      <formula>#REF! = "produs"</formula>
    </cfRule>
    <cfRule type="expression" dxfId="1622" priority="1126">
      <formula>#REF! = "obiectiv"</formula>
    </cfRule>
  </conditionalFormatting>
  <conditionalFormatting sqref="J1085:J1086 J1088:J1094 K1085:P1094">
    <cfRule type="expression" dxfId="1621" priority="1123">
      <formula>#REF! = "produs"</formula>
    </cfRule>
    <cfRule type="expression" dxfId="1620" priority="1124">
      <formula>#REF! = "obiectiv"</formula>
    </cfRule>
  </conditionalFormatting>
  <conditionalFormatting sqref="J1088">
    <cfRule type="expression" dxfId="1619" priority="1105">
      <formula>#REF! = "produs"</formula>
    </cfRule>
    <cfRule type="expression" dxfId="1618" priority="1106">
      <formula>#REF! = "obiectiv"</formula>
    </cfRule>
  </conditionalFormatting>
  <conditionalFormatting sqref="J1092">
    <cfRule type="expression" dxfId="1617" priority="1115">
      <formula>#REF! = "produs"</formula>
    </cfRule>
    <cfRule type="expression" dxfId="1616" priority="1116">
      <formula>#REF! = "obiectiv"</formula>
    </cfRule>
  </conditionalFormatting>
  <conditionalFormatting sqref="J1086 J1093:J1094 J1091 J1089">
    <cfRule type="expression" dxfId="1615" priority="1119">
      <formula>#REF! = "produs"</formula>
    </cfRule>
    <cfRule type="expression" dxfId="1614" priority="1120">
      <formula>#REF! = "obiectiv"</formula>
    </cfRule>
  </conditionalFormatting>
  <conditionalFormatting sqref="J1090">
    <cfRule type="expression" dxfId="1613" priority="1109">
      <formula>#REF! = "produs"</formula>
    </cfRule>
    <cfRule type="expression" dxfId="1612" priority="1110">
      <formula>#REF! = "obiectiv"</formula>
    </cfRule>
  </conditionalFormatting>
  <conditionalFormatting sqref="K1086:K1087 K1089:K1094">
    <cfRule type="expression" dxfId="1611" priority="1121">
      <formula>#REF! = "produs"</formula>
    </cfRule>
    <cfRule type="expression" dxfId="1610" priority="1122">
      <formula>#REF! = "obiectiv"</formula>
    </cfRule>
  </conditionalFormatting>
  <conditionalFormatting sqref="L1093:P1094 L1086:P1090">
    <cfRule type="expression" dxfId="1609" priority="1117">
      <formula>#REF! = "produs"</formula>
    </cfRule>
    <cfRule type="expression" dxfId="1608" priority="1118">
      <formula>#REF! = "obiectiv"</formula>
    </cfRule>
  </conditionalFormatting>
  <conditionalFormatting sqref="L1092:P1092">
    <cfRule type="expression" dxfId="1607" priority="1113">
      <formula>#REF! = "produs"</formula>
    </cfRule>
    <cfRule type="expression" dxfId="1606" priority="1114">
      <formula>#REF! = "obiectiv"</formula>
    </cfRule>
  </conditionalFormatting>
  <conditionalFormatting sqref="L1091:P1091">
    <cfRule type="expression" dxfId="1605" priority="1111">
      <formula>#REF! = "produs"</formula>
    </cfRule>
    <cfRule type="expression" dxfId="1604" priority="1112">
      <formula>#REF! = "obiectiv"</formula>
    </cfRule>
  </conditionalFormatting>
  <conditionalFormatting sqref="K1088:P1088">
    <cfRule type="expression" dxfId="1603" priority="1107">
      <formula>#REF! = "produs"</formula>
    </cfRule>
    <cfRule type="expression" dxfId="1602" priority="1108">
      <formula>#REF! = "obiectiv"</formula>
    </cfRule>
  </conditionalFormatting>
  <conditionalFormatting sqref="J1085">
    <cfRule type="expression" dxfId="1601" priority="1103">
      <formula>#REF! = "produs"</formula>
    </cfRule>
    <cfRule type="expression" dxfId="1600" priority="1104">
      <formula>#REF! = "obiectiv"</formula>
    </cfRule>
  </conditionalFormatting>
  <conditionalFormatting sqref="G1085">
    <cfRule type="expression" dxfId="1599" priority="1101">
      <formula>#REF! = "produs"</formula>
    </cfRule>
    <cfRule type="expression" dxfId="1598" priority="1102">
      <formula>#REF! = "obiectiv"</formula>
    </cfRule>
  </conditionalFormatting>
  <conditionalFormatting sqref="H1085">
    <cfRule type="expression" dxfId="1597" priority="1099">
      <formula>#REF! = "produs"</formula>
    </cfRule>
    <cfRule type="expression" dxfId="1596" priority="1100">
      <formula>#REF! = "obiectiv"</formula>
    </cfRule>
  </conditionalFormatting>
  <conditionalFormatting sqref="I1085">
    <cfRule type="expression" dxfId="1595" priority="1097">
      <formula>#REF! = "produs"</formula>
    </cfRule>
    <cfRule type="expression" dxfId="1594" priority="1098">
      <formula>#REF! = "obiectiv"</formula>
    </cfRule>
  </conditionalFormatting>
  <conditionalFormatting sqref="J1087">
    <cfRule type="expression" dxfId="1593" priority="1095">
      <formula>#REF! = "produs"</formula>
    </cfRule>
    <cfRule type="expression" dxfId="1592" priority="1096">
      <formula>#REF! = "obiectiv"</formula>
    </cfRule>
  </conditionalFormatting>
  <conditionalFormatting sqref="G1671">
    <cfRule type="expression" dxfId="1591" priority="1093">
      <formula>$E1671 = "produs"</formula>
    </cfRule>
    <cfRule type="expression" dxfId="1590" priority="1094">
      <formula>$E1671 = "obiectiv"</formula>
    </cfRule>
  </conditionalFormatting>
  <conditionalFormatting sqref="J1674">
    <cfRule type="expression" dxfId="1589" priority="1075">
      <formula>#REF! = "produs"</formula>
    </cfRule>
    <cfRule type="expression" dxfId="1588" priority="1076">
      <formula>#REF! = "obiectiv"</formula>
    </cfRule>
  </conditionalFormatting>
  <conditionalFormatting sqref="J1678">
    <cfRule type="expression" dxfId="1587" priority="1085">
      <formula>#REF! = "produs"</formula>
    </cfRule>
    <cfRule type="expression" dxfId="1586" priority="1086">
      <formula>#REF! = "obiectiv"</formula>
    </cfRule>
  </conditionalFormatting>
  <conditionalFormatting sqref="J1672 J1679:J1680 J1677 J1675">
    <cfRule type="expression" dxfId="1585" priority="1089">
      <formula>#REF! = "produs"</formula>
    </cfRule>
    <cfRule type="expression" dxfId="1584" priority="1090">
      <formula>#REF! = "obiectiv"</formula>
    </cfRule>
  </conditionalFormatting>
  <conditionalFormatting sqref="J1676">
    <cfRule type="expression" dxfId="1583" priority="1079">
      <formula>#REF! = "produs"</formula>
    </cfRule>
    <cfRule type="expression" dxfId="1582" priority="1080">
      <formula>#REF! = "obiectiv"</formula>
    </cfRule>
  </conditionalFormatting>
  <conditionalFormatting sqref="K1672:K1673 K1675:K1680">
    <cfRule type="expression" dxfId="1581" priority="1091">
      <formula>#REF! = "produs"</formula>
    </cfRule>
    <cfRule type="expression" dxfId="1580" priority="1092">
      <formula>#REF! = "obiectiv"</formula>
    </cfRule>
  </conditionalFormatting>
  <conditionalFormatting sqref="L1679:P1680 L1675:P1676 L1672:P1673">
    <cfRule type="expression" dxfId="1579" priority="1087">
      <formula>#REF! = "produs"</formula>
    </cfRule>
    <cfRule type="expression" dxfId="1578" priority="1088">
      <formula>#REF! = "obiectiv"</formula>
    </cfRule>
  </conditionalFormatting>
  <conditionalFormatting sqref="L1678:P1678">
    <cfRule type="expression" dxfId="1577" priority="1083">
      <formula>#REF! = "produs"</formula>
    </cfRule>
    <cfRule type="expression" dxfId="1576" priority="1084">
      <formula>#REF! = "obiectiv"</formula>
    </cfRule>
  </conditionalFormatting>
  <conditionalFormatting sqref="L1677:P1677">
    <cfRule type="expression" dxfId="1575" priority="1081">
      <formula>#REF! = "produs"</formula>
    </cfRule>
    <cfRule type="expression" dxfId="1574" priority="1082">
      <formula>#REF! = "obiectiv"</formula>
    </cfRule>
  </conditionalFormatting>
  <conditionalFormatting sqref="K1674:P1674">
    <cfRule type="expression" dxfId="1573" priority="1077">
      <formula>#REF! = "produs"</formula>
    </cfRule>
    <cfRule type="expression" dxfId="1572" priority="1078">
      <formula>#REF! = "obiectiv"</formula>
    </cfRule>
  </conditionalFormatting>
  <conditionalFormatting sqref="J1671">
    <cfRule type="expression" dxfId="1571" priority="1073">
      <formula>#REF! = "produs"</formula>
    </cfRule>
    <cfRule type="expression" dxfId="1570" priority="1074">
      <formula>#REF! = "obiectiv"</formula>
    </cfRule>
  </conditionalFormatting>
  <conditionalFormatting sqref="H1671">
    <cfRule type="expression" dxfId="1569" priority="1071">
      <formula>#REF! = "produs"</formula>
    </cfRule>
    <cfRule type="expression" dxfId="1568" priority="1072">
      <formula>#REF! = "obiectiv"</formula>
    </cfRule>
  </conditionalFormatting>
  <conditionalFormatting sqref="J1673">
    <cfRule type="expression" dxfId="1567" priority="1069">
      <formula>#REF! = "produs"</formula>
    </cfRule>
    <cfRule type="expression" dxfId="1566" priority="1070">
      <formula>#REF! = "obiectiv"</formula>
    </cfRule>
  </conditionalFormatting>
  <conditionalFormatting sqref="V1681:V1690">
    <cfRule type="expression" dxfId="1565" priority="1065">
      <formula>#REF! = "produs"</formula>
    </cfRule>
    <cfRule type="expression" dxfId="1564" priority="1066">
      <formula>#REF! = "obiectiv"</formula>
    </cfRule>
  </conditionalFormatting>
  <conditionalFormatting sqref="J1684">
    <cfRule type="expression" dxfId="1563" priority="1045">
      <formula>#REF! = "produs"</formula>
    </cfRule>
    <cfRule type="expression" dxfId="1562" priority="1046">
      <formula>#REF! = "obiectiv"</formula>
    </cfRule>
  </conditionalFormatting>
  <conditionalFormatting sqref="J1688">
    <cfRule type="expression" dxfId="1561" priority="1055">
      <formula>#REF! = "produs"</formula>
    </cfRule>
    <cfRule type="expression" dxfId="1560" priority="1056">
      <formula>#REF! = "obiectiv"</formula>
    </cfRule>
  </conditionalFormatting>
  <conditionalFormatting sqref="J1682 J1689:J1690 J1687 J1685">
    <cfRule type="expression" dxfId="1559" priority="1059">
      <formula>#REF! = "produs"</formula>
    </cfRule>
    <cfRule type="expression" dxfId="1558" priority="1060">
      <formula>#REF! = "obiectiv"</formula>
    </cfRule>
  </conditionalFormatting>
  <conditionalFormatting sqref="J1686">
    <cfRule type="expression" dxfId="1557" priority="1049">
      <formula>#REF! = "produs"</formula>
    </cfRule>
    <cfRule type="expression" dxfId="1556" priority="1050">
      <formula>#REF! = "obiectiv"</formula>
    </cfRule>
  </conditionalFormatting>
  <conditionalFormatting sqref="L1688:P1688">
    <cfRule type="expression" dxfId="1555" priority="1053">
      <formula>#REF! = "produs"</formula>
    </cfRule>
    <cfRule type="expression" dxfId="1554" priority="1054">
      <formula>#REF! = "obiectiv"</formula>
    </cfRule>
  </conditionalFormatting>
  <conditionalFormatting sqref="K1682:K1683 K1685:K1690">
    <cfRule type="expression" dxfId="1553" priority="1061">
      <formula>#REF! = "produs"</formula>
    </cfRule>
    <cfRule type="expression" dxfId="1552" priority="1062">
      <formula>#REF! = "obiectiv"</formula>
    </cfRule>
  </conditionalFormatting>
  <conditionalFormatting sqref="L1690:U1690 L1689:P1689 L1683:P1683 L1682:U1682 L1685:P1686">
    <cfRule type="expression" dxfId="1551" priority="1057">
      <formula>#REF! = "produs"</formula>
    </cfRule>
    <cfRule type="expression" dxfId="1550" priority="1058">
      <formula>#REF! = "obiectiv"</formula>
    </cfRule>
  </conditionalFormatting>
  <conditionalFormatting sqref="K1684:P1684">
    <cfRule type="expression" dxfId="1549" priority="1047">
      <formula>#REF! = "produs"</formula>
    </cfRule>
    <cfRule type="expression" dxfId="1548" priority="1048">
      <formula>#REF! = "obiectiv"</formula>
    </cfRule>
  </conditionalFormatting>
  <conditionalFormatting sqref="J1681">
    <cfRule type="expression" dxfId="1547" priority="1043">
      <formula>#REF! = "produs"</formula>
    </cfRule>
    <cfRule type="expression" dxfId="1546" priority="1044">
      <formula>#REF! = "obiectiv"</formula>
    </cfRule>
  </conditionalFormatting>
  <conditionalFormatting sqref="Q1683:U1689">
    <cfRule type="expression" dxfId="1545" priority="1041">
      <formula>#REF! = "produs"</formula>
    </cfRule>
    <cfRule type="expression" dxfId="1544" priority="1042">
      <formula>#REF! = "obiectiv"</formula>
    </cfRule>
  </conditionalFormatting>
  <conditionalFormatting sqref="Q1681:U1681">
    <cfRule type="expression" dxfId="1543" priority="1039">
      <formula>#REF! = "produs"</formula>
    </cfRule>
    <cfRule type="expression" dxfId="1542" priority="1040">
      <formula>#REF! = "obiectiv"</formula>
    </cfRule>
  </conditionalFormatting>
  <conditionalFormatting sqref="H1681">
    <cfRule type="expression" dxfId="1541" priority="1037">
      <formula>#REF! = "produs"</formula>
    </cfRule>
    <cfRule type="expression" dxfId="1540" priority="1038">
      <formula>#REF! = "obiectiv"</formula>
    </cfRule>
  </conditionalFormatting>
  <conditionalFormatting sqref="J1683">
    <cfRule type="expression" dxfId="1539" priority="1035">
      <formula>#REF! = "produs"</formula>
    </cfRule>
    <cfRule type="expression" dxfId="1538" priority="1036">
      <formula>#REF! = "obiectiv"</formula>
    </cfRule>
  </conditionalFormatting>
  <conditionalFormatting sqref="G1681">
    <cfRule type="expression" dxfId="1537" priority="1067">
      <formula>#REF! = "produs"</formula>
    </cfRule>
    <cfRule type="expression" dxfId="1536" priority="1068">
      <formula>#REF! = "obiectiv"</formula>
    </cfRule>
  </conditionalFormatting>
  <conditionalFormatting sqref="V1855:V1883 V1894:V1913">
    <cfRule type="expression" dxfId="1535" priority="1031">
      <formula>#REF! = "produs"</formula>
    </cfRule>
    <cfRule type="expression" dxfId="1534" priority="1032">
      <formula>#REF! = "obiectiv"</formula>
    </cfRule>
  </conditionalFormatting>
  <conditionalFormatting sqref="G1854">
    <cfRule type="expression" dxfId="1533" priority="1033">
      <formula>#REF! = "produs"</formula>
    </cfRule>
    <cfRule type="expression" dxfId="1532" priority="1034">
      <formula>#REF! = "obiectiv"</formula>
    </cfRule>
  </conditionalFormatting>
  <conditionalFormatting sqref="V1855:V1883 V1894:V1913">
    <cfRule type="expression" dxfId="1531" priority="1029">
      <formula>#REF! = "produs"</formula>
    </cfRule>
    <cfRule type="expression" dxfId="1530" priority="1030">
      <formula>#REF! = "obiectiv"</formula>
    </cfRule>
  </conditionalFormatting>
  <conditionalFormatting sqref="J1865 J1872:J1873 J1870 J1868">
    <cfRule type="expression" dxfId="1529" priority="1005">
      <formula>#REF! = "produs"</formula>
    </cfRule>
    <cfRule type="expression" dxfId="1528" priority="1006">
      <formula>#REF! = "obiectiv"</formula>
    </cfRule>
  </conditionalFormatting>
  <conditionalFormatting sqref="J1857">
    <cfRule type="expression" dxfId="1527" priority="1011">
      <formula>#REF! = "produs"</formula>
    </cfRule>
    <cfRule type="expression" dxfId="1526" priority="1012">
      <formula>#REF! = "obiectiv"</formula>
    </cfRule>
  </conditionalFormatting>
  <conditionalFormatting sqref="J1887">
    <cfRule type="expression" dxfId="1525" priority="969">
      <formula>#REF! = "produs"</formula>
    </cfRule>
    <cfRule type="expression" dxfId="1524" priority="970">
      <formula>#REF! = "obiectiv"</formula>
    </cfRule>
  </conditionalFormatting>
  <conditionalFormatting sqref="J1855 J1862:J1863 J1860 J1858">
    <cfRule type="expression" dxfId="1523" priority="1023">
      <formula>#REF! = "produs"</formula>
    </cfRule>
    <cfRule type="expression" dxfId="1522" priority="1024">
      <formula>#REF! = "obiectiv"</formula>
    </cfRule>
  </conditionalFormatting>
  <conditionalFormatting sqref="J1891">
    <cfRule type="expression" dxfId="1521" priority="975">
      <formula>#REF! = "produs"</formula>
    </cfRule>
    <cfRule type="expression" dxfId="1520" priority="976">
      <formula>#REF! = "obiectiv"</formula>
    </cfRule>
  </conditionalFormatting>
  <conditionalFormatting sqref="J1879">
    <cfRule type="expression" dxfId="1519" priority="985">
      <formula>#REF! = "produs"</formula>
    </cfRule>
    <cfRule type="expression" dxfId="1518" priority="986">
      <formula>#REF! = "obiectiv"</formula>
    </cfRule>
  </conditionalFormatting>
  <conditionalFormatting sqref="J1867">
    <cfRule type="expression" dxfId="1517" priority="995">
      <formula>#REF! = "produs"</formula>
    </cfRule>
    <cfRule type="expression" dxfId="1516" priority="996">
      <formula>#REF! = "obiectiv"</formula>
    </cfRule>
  </conditionalFormatting>
  <conditionalFormatting sqref="J1877">
    <cfRule type="expression" dxfId="1515" priority="981">
      <formula>#REF! = "produs"</formula>
    </cfRule>
    <cfRule type="expression" dxfId="1514" priority="982">
      <formula>#REF! = "obiectiv"</formula>
    </cfRule>
  </conditionalFormatting>
  <conditionalFormatting sqref="J1897">
    <cfRule type="expression" dxfId="1513" priority="955">
      <formula>#REF! = "produs"</formula>
    </cfRule>
    <cfRule type="expression" dxfId="1512" priority="956">
      <formula>#REF! = "obiectiv"</formula>
    </cfRule>
  </conditionalFormatting>
  <conditionalFormatting sqref="J1907">
    <cfRule type="expression" dxfId="1511" priority="939">
      <formula>#REF! = "produs"</formula>
    </cfRule>
    <cfRule type="expression" dxfId="1510" priority="940">
      <formula>#REF! = "obiectiv"</formula>
    </cfRule>
  </conditionalFormatting>
  <conditionalFormatting sqref="J1871">
    <cfRule type="expression" dxfId="1509" priority="1001">
      <formula>#REF! = "produs"</formula>
    </cfRule>
    <cfRule type="expression" dxfId="1508" priority="1002">
      <formula>#REF! = "obiectiv"</formula>
    </cfRule>
  </conditionalFormatting>
  <conditionalFormatting sqref="J1875 J1882:J1883 J1880 J1878">
    <cfRule type="expression" dxfId="1507" priority="989">
      <formula>#REF! = "produs"</formula>
    </cfRule>
    <cfRule type="expression" dxfId="1506" priority="990">
      <formula>#REF! = "obiectiv"</formula>
    </cfRule>
  </conditionalFormatting>
  <conditionalFormatting sqref="J1881">
    <cfRule type="expression" dxfId="1505" priority="987">
      <formula>#REF! = "produs"</formula>
    </cfRule>
    <cfRule type="expression" dxfId="1504" priority="988">
      <formula>#REF! = "obiectiv"</formula>
    </cfRule>
  </conditionalFormatting>
  <conditionalFormatting sqref="J1861">
    <cfRule type="expression" dxfId="1503" priority="1019">
      <formula>#REF! = "produs"</formula>
    </cfRule>
    <cfRule type="expression" dxfId="1502" priority="1020">
      <formula>#REF! = "obiectiv"</formula>
    </cfRule>
  </conditionalFormatting>
  <conditionalFormatting sqref="K1875:K1876 K1878:K1883">
    <cfRule type="expression" dxfId="1501" priority="991">
      <formula>#REF! = "produs"</formula>
    </cfRule>
    <cfRule type="expression" dxfId="1500" priority="992">
      <formula>#REF! = "obiectiv"</formula>
    </cfRule>
  </conditionalFormatting>
  <conditionalFormatting sqref="J1899">
    <cfRule type="expression" dxfId="1499" priority="959">
      <formula>#REF! = "produs"</formula>
    </cfRule>
    <cfRule type="expression" dxfId="1498" priority="960">
      <formula>#REF! = "obiectiv"</formula>
    </cfRule>
  </conditionalFormatting>
  <conditionalFormatting sqref="K1855:K1856 K1858:K1863">
    <cfRule type="expression" dxfId="1497" priority="1025">
      <formula>#REF! = "produs"</formula>
    </cfRule>
    <cfRule type="expression" dxfId="1496" priority="1026">
      <formula>#REF! = "obiectiv"</formula>
    </cfRule>
  </conditionalFormatting>
  <conditionalFormatting sqref="W1855:IU1856 W1858:IU1863">
    <cfRule type="expression" dxfId="1495" priority="1027">
      <formula>#REF! = "produs"</formula>
    </cfRule>
    <cfRule type="expression" dxfId="1494" priority="1028">
      <formula>#REF! = "obiectiv"</formula>
    </cfRule>
  </conditionalFormatting>
  <conditionalFormatting sqref="L1863:U1863 L1862:P1862 Q1855:U1855">
    <cfRule type="expression" dxfId="1493" priority="1021">
      <formula>#REF! = "produs"</formula>
    </cfRule>
    <cfRule type="expression" dxfId="1492" priority="1022">
      <formula>#REF! = "obiectiv"</formula>
    </cfRule>
  </conditionalFormatting>
  <conditionalFormatting sqref="L1861:P1861">
    <cfRule type="expression" dxfId="1491" priority="1017">
      <formula>#REF! = "produs"</formula>
    </cfRule>
    <cfRule type="expression" dxfId="1490" priority="1018">
      <formula>#REF! = "obiectiv"</formula>
    </cfRule>
  </conditionalFormatting>
  <conditionalFormatting sqref="J1859">
    <cfRule type="expression" dxfId="1489" priority="1015">
      <formula>#REF! = "produs"</formula>
    </cfRule>
    <cfRule type="expression" dxfId="1488" priority="1016">
      <formula>#REF! = "obiectiv"</formula>
    </cfRule>
  </conditionalFormatting>
  <conditionalFormatting sqref="K1857 W1857:IU1857">
    <cfRule type="expression" dxfId="1487" priority="1013">
      <formula>#REF! = "produs"</formula>
    </cfRule>
    <cfRule type="expression" dxfId="1486" priority="1014">
      <formula>#REF! = "obiectiv"</formula>
    </cfRule>
  </conditionalFormatting>
  <conditionalFormatting sqref="W1865:IU1866 W1868:IU1873">
    <cfRule type="expression" dxfId="1485" priority="1009">
      <formula>#REF! = "produs"</formula>
    </cfRule>
    <cfRule type="expression" dxfId="1484" priority="1010">
      <formula>#REF! = "obiectiv"</formula>
    </cfRule>
  </conditionalFormatting>
  <conditionalFormatting sqref="K1865:K1866 K1868:K1873">
    <cfRule type="expression" dxfId="1483" priority="1007">
      <formula>#REF! = "produs"</formula>
    </cfRule>
    <cfRule type="expression" dxfId="1482" priority="1008">
      <formula>#REF! = "obiectiv"</formula>
    </cfRule>
  </conditionalFormatting>
  <conditionalFormatting sqref="Q1873:U1873 Q1865:U1865">
    <cfRule type="expression" dxfId="1481" priority="1003">
      <formula>#REF! = "produs"</formula>
    </cfRule>
    <cfRule type="expression" dxfId="1480" priority="1004">
      <formula>#REF! = "obiectiv"</formula>
    </cfRule>
  </conditionalFormatting>
  <conditionalFormatting sqref="J1901">
    <cfRule type="expression" dxfId="1479" priority="961">
      <formula>#REF! = "produs"</formula>
    </cfRule>
    <cfRule type="expression" dxfId="1478" priority="962">
      <formula>#REF! = "obiectiv"</formula>
    </cfRule>
  </conditionalFormatting>
  <conditionalFormatting sqref="J1869">
    <cfRule type="expression" dxfId="1477" priority="999">
      <formula>#REF! = "produs"</formula>
    </cfRule>
    <cfRule type="expression" dxfId="1476" priority="1000">
      <formula>#REF! = "obiectiv"</formula>
    </cfRule>
  </conditionalFormatting>
  <conditionalFormatting sqref="K1867 W1867:IU1867">
    <cfRule type="expression" dxfId="1475" priority="997">
      <formula>#REF! = "produs"</formula>
    </cfRule>
    <cfRule type="expression" dxfId="1474" priority="998">
      <formula>#REF! = "obiectiv"</formula>
    </cfRule>
  </conditionalFormatting>
  <conditionalFormatting sqref="W1875:IU1876 W1878:IU1883">
    <cfRule type="expression" dxfId="1473" priority="993">
      <formula>#REF! = "produs"</formula>
    </cfRule>
    <cfRule type="expression" dxfId="1472" priority="994">
      <formula>#REF! = "obiectiv"</formula>
    </cfRule>
  </conditionalFormatting>
  <conditionalFormatting sqref="J1885 J1892:J1893 J1890 J1888">
    <cfRule type="expression" dxfId="1471" priority="977">
      <formula>#REF! = "produs"</formula>
    </cfRule>
    <cfRule type="expression" dxfId="1470" priority="978">
      <formula>#REF! = "obiectiv"</formula>
    </cfRule>
  </conditionalFormatting>
  <conditionalFormatting sqref="K1877 W1877:IU1877">
    <cfRule type="expression" dxfId="1469" priority="983">
      <formula>#REF! = "produs"</formula>
    </cfRule>
    <cfRule type="expression" dxfId="1468" priority="984">
      <formula>#REF! = "obiectiv"</formula>
    </cfRule>
  </conditionalFormatting>
  <conditionalFormatting sqref="W1885:IU1886 W1888:IU1893">
    <cfRule type="expression" dxfId="1467" priority="979">
      <formula>#REF! = "produs"</formula>
    </cfRule>
    <cfRule type="expression" dxfId="1466" priority="980">
      <formula>#REF! = "obiectiv"</formula>
    </cfRule>
  </conditionalFormatting>
  <conditionalFormatting sqref="J1911">
    <cfRule type="expression" dxfId="1465" priority="945">
      <formula>#REF! = "produs"</formula>
    </cfRule>
    <cfRule type="expression" dxfId="1464" priority="946">
      <formula>#REF! = "obiectiv"</formula>
    </cfRule>
  </conditionalFormatting>
  <conditionalFormatting sqref="Q1903:U1903 Q1895:U1895">
    <cfRule type="expression" dxfId="1463" priority="963">
      <formula>#REF! = "produs"</formula>
    </cfRule>
    <cfRule type="expression" dxfId="1462" priority="964">
      <formula>#REF! = "obiectiv"</formula>
    </cfRule>
  </conditionalFormatting>
  <conditionalFormatting sqref="J1889">
    <cfRule type="expression" dxfId="1461" priority="973">
      <formula>#REF! = "produs"</formula>
    </cfRule>
    <cfRule type="expression" dxfId="1460" priority="974">
      <formula>#REF! = "obiectiv"</formula>
    </cfRule>
  </conditionalFormatting>
  <conditionalFormatting sqref="W1887:IU1887">
    <cfRule type="expression" dxfId="1459" priority="971">
      <formula>#REF! = "produs"</formula>
    </cfRule>
    <cfRule type="expression" dxfId="1458" priority="972">
      <formula>#REF! = "obiectiv"</formula>
    </cfRule>
  </conditionalFormatting>
  <conditionalFormatting sqref="J1895 J1902:J1903 J1900 J1898">
    <cfRule type="expression" dxfId="1457" priority="965">
      <formula>#REF! = "produs"</formula>
    </cfRule>
    <cfRule type="expression" dxfId="1456" priority="966">
      <formula>#REF! = "obiectiv"</formula>
    </cfRule>
  </conditionalFormatting>
  <conditionalFormatting sqref="W1895:IU1896 W1898:IU1903">
    <cfRule type="expression" dxfId="1455" priority="967">
      <formula>#REF! = "produs"</formula>
    </cfRule>
    <cfRule type="expression" dxfId="1454" priority="968">
      <formula>#REF! = "obiectiv"</formula>
    </cfRule>
  </conditionalFormatting>
  <conditionalFormatting sqref="J1905 J1912:J1913 J1910 J1908">
    <cfRule type="expression" dxfId="1453" priority="949">
      <formula>#REF! = "produs"</formula>
    </cfRule>
    <cfRule type="expression" dxfId="1452" priority="950">
      <formula>#REF! = "obiectiv"</formula>
    </cfRule>
  </conditionalFormatting>
  <conditionalFormatting sqref="W1897:IU1897">
    <cfRule type="expression" dxfId="1451" priority="957">
      <formula>#REF! = "produs"</formula>
    </cfRule>
    <cfRule type="expression" dxfId="1450" priority="958">
      <formula>#REF! = "obiectiv"</formula>
    </cfRule>
  </conditionalFormatting>
  <conditionalFormatting sqref="W1905:IU1906 W1908:IU1913">
    <cfRule type="expression" dxfId="1449" priority="953">
      <formula>#REF! = "produs"</formula>
    </cfRule>
    <cfRule type="expression" dxfId="1448" priority="954">
      <formula>#REF! = "obiectiv"</formula>
    </cfRule>
  </conditionalFormatting>
  <conditionalFormatting sqref="K1905:K1906 K1908:K1913">
    <cfRule type="expression" dxfId="1447" priority="951">
      <formula>#REF! = "produs"</formula>
    </cfRule>
    <cfRule type="expression" dxfId="1446" priority="952">
      <formula>#REF! = "obiectiv"</formula>
    </cfRule>
  </conditionalFormatting>
  <conditionalFormatting sqref="Q1913:U1913 Q1905:U1905">
    <cfRule type="expression" dxfId="1445" priority="947">
      <formula>#REF! = "produs"</formula>
    </cfRule>
    <cfRule type="expression" dxfId="1444" priority="948">
      <formula>#REF! = "obiectiv"</formula>
    </cfRule>
  </conditionalFormatting>
  <conditionalFormatting sqref="J1909">
    <cfRule type="expression" dxfId="1443" priority="943">
      <formula>#REF! = "produs"</formula>
    </cfRule>
    <cfRule type="expression" dxfId="1442" priority="944">
      <formula>#REF! = "obiectiv"</formula>
    </cfRule>
  </conditionalFormatting>
  <conditionalFormatting sqref="K1907 W1907:IU1907">
    <cfRule type="expression" dxfId="1441" priority="941">
      <formula>#REF! = "produs"</formula>
    </cfRule>
    <cfRule type="expression" dxfId="1440" priority="942">
      <formula>#REF! = "obiectiv"</formula>
    </cfRule>
  </conditionalFormatting>
  <conditionalFormatting sqref="J1904 J1894 J1884 J1874 J1864 J1854">
    <cfRule type="expression" dxfId="1439" priority="937">
      <formula>#REF! = "produs"</formula>
    </cfRule>
    <cfRule type="expression" dxfId="1438" priority="938">
      <formula>#REF! = "obiectiv"</formula>
    </cfRule>
  </conditionalFormatting>
  <conditionalFormatting sqref="Q1896:U1902">
    <cfRule type="expression" dxfId="1437" priority="931">
      <formula>#REF! = "produs"</formula>
    </cfRule>
    <cfRule type="expression" dxfId="1436" priority="932">
      <formula>#REF! = "obiectiv"</formula>
    </cfRule>
  </conditionalFormatting>
  <conditionalFormatting sqref="Q1860:U1862 Q1856:U1858">
    <cfRule type="expression" dxfId="1435" priority="935">
      <formula>#REF! = "produs"</formula>
    </cfRule>
    <cfRule type="expression" dxfId="1434" priority="936">
      <formula>#REF! = "obiectiv"</formula>
    </cfRule>
  </conditionalFormatting>
  <conditionalFormatting sqref="Q1866:U1868 Q1871:U1872 T1870:U1870">
    <cfRule type="expression" dxfId="1433" priority="933">
      <formula>#REF! = "produs"</formula>
    </cfRule>
    <cfRule type="expression" dxfId="1432" priority="934">
      <formula>#REF! = "obiectiv"</formula>
    </cfRule>
  </conditionalFormatting>
  <conditionalFormatting sqref="Q1906:U1912">
    <cfRule type="expression" dxfId="1431" priority="929">
      <formula>#REF! = "produs"</formula>
    </cfRule>
    <cfRule type="expression" dxfId="1430" priority="930">
      <formula>#REF! = "obiectiv"</formula>
    </cfRule>
  </conditionalFormatting>
  <conditionalFormatting sqref="Q1904:U1904 Q1854:U1854 Q1864:U1864 Q1894:U1894">
    <cfRule type="expression" dxfId="1429" priority="927">
      <formula>#REF! = "produs"</formula>
    </cfRule>
    <cfRule type="expression" dxfId="1428" priority="928">
      <formula>#REF! = "obiectiv"</formula>
    </cfRule>
  </conditionalFormatting>
  <conditionalFormatting sqref="H1904">
    <cfRule type="expression" dxfId="1427" priority="915">
      <formula>#REF! = "produs"</formula>
    </cfRule>
    <cfRule type="expression" dxfId="1426" priority="916">
      <formula>#REF! = "obiectiv"</formula>
    </cfRule>
  </conditionalFormatting>
  <conditionalFormatting sqref="G1884">
    <cfRule type="expression" dxfId="1425" priority="921">
      <formula>#REF! = "produs"</formula>
    </cfRule>
    <cfRule type="expression" dxfId="1424" priority="922">
      <formula>#REF! = "obiectiv"</formula>
    </cfRule>
  </conditionalFormatting>
  <conditionalFormatting sqref="G1874">
    <cfRule type="expression" dxfId="1423" priority="923">
      <formula>#REF! = "produs"</formula>
    </cfRule>
    <cfRule type="expression" dxfId="1422" priority="924">
      <formula>#REF! = "obiectiv"</formula>
    </cfRule>
  </conditionalFormatting>
  <conditionalFormatting sqref="G1864">
    <cfRule type="expression" dxfId="1421" priority="925">
      <formula>#REF! = "produs"</formula>
    </cfRule>
    <cfRule type="expression" dxfId="1420" priority="926">
      <formula>#REF! = "obiectiv"</formula>
    </cfRule>
  </conditionalFormatting>
  <conditionalFormatting sqref="G1894">
    <cfRule type="expression" dxfId="1419" priority="919">
      <formula>#REF! = "produs"</formula>
    </cfRule>
    <cfRule type="expression" dxfId="1418" priority="920">
      <formula>#REF! = "obiectiv"</formula>
    </cfRule>
  </conditionalFormatting>
  <conditionalFormatting sqref="G1904">
    <cfRule type="expression" dxfId="1417" priority="917">
      <formula>#REF! = "produs"</formula>
    </cfRule>
    <cfRule type="expression" dxfId="1416" priority="918">
      <formula>#REF! = "obiectiv"</formula>
    </cfRule>
  </conditionalFormatting>
  <conditionalFormatting sqref="W1854:IU1913">
    <cfRule type="expression" dxfId="1415" priority="913">
      <formula>#REF! = "produs"</formula>
    </cfRule>
    <cfRule type="expression" dxfId="1414" priority="914">
      <formula>#REF! = "obiectiv"</formula>
    </cfRule>
  </conditionalFormatting>
  <conditionalFormatting sqref="J1857:J1865 J1867:J1875 J1877:J1885 J1897:J1905 J1907:J1913 J1854:J1855 J1887:J1895">
    <cfRule type="expression" dxfId="1413" priority="909">
      <formula>#REF! = "produs"</formula>
    </cfRule>
    <cfRule type="expression" dxfId="1412" priority="910">
      <formula>#REF! = "obiectiv"</formula>
    </cfRule>
  </conditionalFormatting>
  <conditionalFormatting sqref="K1854:K1883 K1904:K1913">
    <cfRule type="expression" dxfId="1411" priority="911">
      <formula>#REF! = "produs"</formula>
    </cfRule>
    <cfRule type="expression" dxfId="1410" priority="912">
      <formula>#REF! = "obiectiv"</formula>
    </cfRule>
  </conditionalFormatting>
  <conditionalFormatting sqref="L1904:U1904 Q1865:U1868 Q1860:U1860 Q1854:U1858 Q1894:U1903 Q1905:U1913 L1874:P1874 Q1871:U1873 L1861:U1864 T1870:U1870">
    <cfRule type="expression" dxfId="1409" priority="907">
      <formula>#REF! = "produs"</formula>
    </cfRule>
    <cfRule type="expression" dxfId="1408" priority="908">
      <formula>#REF! = "obiectiv"</formula>
    </cfRule>
  </conditionalFormatting>
  <conditionalFormatting sqref="J1906 J1896 J1886 J1876 J1866 J1856">
    <cfRule type="expression" dxfId="1407" priority="905">
      <formula>#REF! = "produs"</formula>
    </cfRule>
    <cfRule type="expression" dxfId="1406" priority="906">
      <formula>#REF! = "obiectiv"</formula>
    </cfRule>
  </conditionalFormatting>
  <conditionalFormatting sqref="Q1879:U1879">
    <cfRule type="expression" dxfId="1405" priority="841">
      <formula>#REF! = "produs"</formula>
    </cfRule>
    <cfRule type="expression" dxfId="1404" priority="842">
      <formula>#REF! = "obiectiv"</formula>
    </cfRule>
  </conditionalFormatting>
  <conditionalFormatting sqref="L1882:P1883 L1878:P1879 O1880:P1880 L1875:P1876">
    <cfRule type="expression" dxfId="1403" priority="829">
      <formula>#REF! = "produs"</formula>
    </cfRule>
    <cfRule type="expression" dxfId="1402" priority="830">
      <formula>#REF! = "obiectiv"</formula>
    </cfRule>
  </conditionalFormatting>
  <conditionalFormatting sqref="L1881:P1881">
    <cfRule type="expression" dxfId="1401" priority="827">
      <formula>#REF! = "produs"</formula>
    </cfRule>
    <cfRule type="expression" dxfId="1400" priority="828">
      <formula>#REF! = "obiectiv"</formula>
    </cfRule>
  </conditionalFormatting>
  <conditionalFormatting sqref="L1880:P1880">
    <cfRule type="expression" dxfId="1399" priority="825">
      <formula>#REF! = "produs"</formula>
    </cfRule>
    <cfRule type="expression" dxfId="1398" priority="826">
      <formula>#REF! = "obiectiv"</formula>
    </cfRule>
  </conditionalFormatting>
  <conditionalFormatting sqref="L1877:P1877">
    <cfRule type="expression" dxfId="1397" priority="823">
      <formula>#REF! = "produs"</formula>
    </cfRule>
    <cfRule type="expression" dxfId="1396" priority="824">
      <formula>#REF! = "obiectiv"</formula>
    </cfRule>
  </conditionalFormatting>
  <conditionalFormatting sqref="L1875:P1883">
    <cfRule type="expression" dxfId="1395" priority="821">
      <formula>#REF! = "produs"</formula>
    </cfRule>
    <cfRule type="expression" dxfId="1394" priority="822">
      <formula>#REF! = "obiectiv"</formula>
    </cfRule>
  </conditionalFormatting>
  <conditionalFormatting sqref="L1868:P1869 L1867:N1867 O1870:P1871 L1865:P1866 L1870:O1870 L1872:P1873">
    <cfRule type="expression" dxfId="1393" priority="839">
      <formula>#REF! = "produs"</formula>
    </cfRule>
    <cfRule type="expression" dxfId="1392" priority="840">
      <formula>#REF! = "obiectiv"</formula>
    </cfRule>
  </conditionalFormatting>
  <conditionalFormatting sqref="L1871:P1871">
    <cfRule type="expression" dxfId="1391" priority="837">
      <formula>#REF! = "produs"</formula>
    </cfRule>
    <cfRule type="expression" dxfId="1390" priority="838">
      <formula>#REF! = "obiectiv"</formula>
    </cfRule>
  </conditionalFormatting>
  <conditionalFormatting sqref="L1870:P1870">
    <cfRule type="expression" dxfId="1389" priority="835">
      <formula>#REF! = "produs"</formula>
    </cfRule>
    <cfRule type="expression" dxfId="1388" priority="836">
      <formula>#REF! = "obiectiv"</formula>
    </cfRule>
  </conditionalFormatting>
  <conditionalFormatting sqref="J1847">
    <cfRule type="expression" dxfId="1387" priority="879">
      <formula>#REF! = "produs"</formula>
    </cfRule>
    <cfRule type="expression" dxfId="1386" priority="880">
      <formula>#REF! = "obiectiv"</formula>
    </cfRule>
  </conditionalFormatting>
  <conditionalFormatting sqref="K1847:P1847 W1847:IU1847">
    <cfRule type="expression" dxfId="1385" priority="881">
      <formula>#REF! = "produs"</formula>
    </cfRule>
    <cfRule type="expression" dxfId="1384" priority="882">
      <formula>#REF! = "obiectiv"</formula>
    </cfRule>
  </conditionalFormatting>
  <conditionalFormatting sqref="K1844:K1853">
    <cfRule type="expression" dxfId="1383" priority="867">
      <formula>#REF! = "produs"</formula>
    </cfRule>
    <cfRule type="expression" dxfId="1382" priority="868">
      <formula>#REF! = "obiectiv"</formula>
    </cfRule>
  </conditionalFormatting>
  <conditionalFormatting sqref="J1847:J1853 J1844:J1845">
    <cfRule type="expression" dxfId="1381" priority="865">
      <formula>#REF! = "produs"</formula>
    </cfRule>
    <cfRule type="expression" dxfId="1380" priority="866">
      <formula>#REF! = "obiectiv"</formula>
    </cfRule>
  </conditionalFormatting>
  <conditionalFormatting sqref="L1910:P1911">
    <cfRule type="expression" dxfId="1379" priority="815">
      <formula>#REF! = "produs"</formula>
    </cfRule>
    <cfRule type="expression" dxfId="1378" priority="816">
      <formula>#REF! = "obiectiv"</formula>
    </cfRule>
  </conditionalFormatting>
  <conditionalFormatting sqref="V1844:V1853">
    <cfRule type="expression" dxfId="1377" priority="901">
      <formula>#REF! = "produs"</formula>
    </cfRule>
    <cfRule type="expression" dxfId="1376" priority="902">
      <formula>#REF! = "obiectiv"</formula>
    </cfRule>
  </conditionalFormatting>
  <conditionalFormatting sqref="G1844">
    <cfRule type="expression" dxfId="1375" priority="903">
      <formula>#REF! = "produs"</formula>
    </cfRule>
    <cfRule type="expression" dxfId="1374" priority="904">
      <formula>#REF! = "obiectiv"</formula>
    </cfRule>
  </conditionalFormatting>
  <conditionalFormatting sqref="V1844:V1853">
    <cfRule type="expression" dxfId="1373" priority="899">
      <formula>#REF! = "produs"</formula>
    </cfRule>
    <cfRule type="expression" dxfId="1372" priority="900">
      <formula>#REF! = "obiectiv"</formula>
    </cfRule>
  </conditionalFormatting>
  <conditionalFormatting sqref="J1845 J1852:J1853 J1850 J1848">
    <cfRule type="expression" dxfId="1371" priority="893">
      <formula>#REF! = "produs"</formula>
    </cfRule>
    <cfRule type="expression" dxfId="1370" priority="894">
      <formula>#REF! = "obiectiv"</formula>
    </cfRule>
  </conditionalFormatting>
  <conditionalFormatting sqref="J1851">
    <cfRule type="expression" dxfId="1369" priority="889">
      <formula>#REF! = "produs"</formula>
    </cfRule>
    <cfRule type="expression" dxfId="1368" priority="890">
      <formula>#REF! = "obiectiv"</formula>
    </cfRule>
  </conditionalFormatting>
  <conditionalFormatting sqref="K1845:K1846 K1848:K1853">
    <cfRule type="expression" dxfId="1367" priority="895">
      <formula>#REF! = "produs"</formula>
    </cfRule>
    <cfRule type="expression" dxfId="1366" priority="896">
      <formula>#REF! = "obiectiv"</formula>
    </cfRule>
  </conditionalFormatting>
  <conditionalFormatting sqref="W1845:IU1846 W1848:IU1853">
    <cfRule type="expression" dxfId="1365" priority="897">
      <formula>#REF! = "produs"</formula>
    </cfRule>
    <cfRule type="expression" dxfId="1364" priority="898">
      <formula>#REF! = "obiectiv"</formula>
    </cfRule>
  </conditionalFormatting>
  <conditionalFormatting sqref="L1853:U1853 L1852:P1852 L1848:P1849 L1845:U1845 L1846:P1846">
    <cfRule type="expression" dxfId="1363" priority="891">
      <formula>#REF! = "produs"</formula>
    </cfRule>
    <cfRule type="expression" dxfId="1362" priority="892">
      <formula>#REF! = "obiectiv"</formula>
    </cfRule>
  </conditionalFormatting>
  <conditionalFormatting sqref="L1851:P1851">
    <cfRule type="expression" dxfId="1361" priority="887">
      <formula>#REF! = "produs"</formula>
    </cfRule>
    <cfRule type="expression" dxfId="1360" priority="888">
      <formula>#REF! = "obiectiv"</formula>
    </cfRule>
  </conditionalFormatting>
  <conditionalFormatting sqref="L1850:P1850">
    <cfRule type="expression" dxfId="1359" priority="885">
      <formula>#REF! = "produs"</formula>
    </cfRule>
    <cfRule type="expression" dxfId="1358" priority="886">
      <formula>#REF! = "obiectiv"</formula>
    </cfRule>
  </conditionalFormatting>
  <conditionalFormatting sqref="J1849">
    <cfRule type="expression" dxfId="1357" priority="883">
      <formula>#REF! = "produs"</formula>
    </cfRule>
    <cfRule type="expression" dxfId="1356" priority="884">
      <formula>#REF! = "obiectiv"</formula>
    </cfRule>
  </conditionalFormatting>
  <conditionalFormatting sqref="J1844">
    <cfRule type="expression" dxfId="1355" priority="877">
      <formula>#REF! = "produs"</formula>
    </cfRule>
    <cfRule type="expression" dxfId="1354" priority="878">
      <formula>#REF! = "obiectiv"</formula>
    </cfRule>
  </conditionalFormatting>
  <conditionalFormatting sqref="Q1846:U1852">
    <cfRule type="expression" dxfId="1353" priority="875">
      <formula>#REF! = "produs"</formula>
    </cfRule>
    <cfRule type="expression" dxfId="1352" priority="876">
      <formula>#REF! = "obiectiv"</formula>
    </cfRule>
  </conditionalFormatting>
  <conditionalFormatting sqref="Q1844:U1844">
    <cfRule type="expression" dxfId="1351" priority="873">
      <formula>#REF! = "produs"</formula>
    </cfRule>
    <cfRule type="expression" dxfId="1350" priority="874">
      <formula>#REF! = "obiectiv"</formula>
    </cfRule>
  </conditionalFormatting>
  <conditionalFormatting sqref="H1844">
    <cfRule type="expression" dxfId="1349" priority="871">
      <formula>#REF! = "produs"</formula>
    </cfRule>
    <cfRule type="expression" dxfId="1348" priority="872">
      <formula>#REF! = "obiectiv"</formula>
    </cfRule>
  </conditionalFormatting>
  <conditionalFormatting sqref="W1844:IU1853">
    <cfRule type="expression" dxfId="1347" priority="869">
      <formula>#REF! = "produs"</formula>
    </cfRule>
    <cfRule type="expression" dxfId="1346" priority="870">
      <formula>#REF! = "obiectiv"</formula>
    </cfRule>
  </conditionalFormatting>
  <conditionalFormatting sqref="L1844:U1853">
    <cfRule type="expression" dxfId="1345" priority="863">
      <formula>#REF! = "produs"</formula>
    </cfRule>
    <cfRule type="expression" dxfId="1344" priority="864">
      <formula>#REF! = "obiectiv"</formula>
    </cfRule>
  </conditionalFormatting>
  <conditionalFormatting sqref="J1846">
    <cfRule type="expression" dxfId="1343" priority="861">
      <formula>#REF! = "produs"</formula>
    </cfRule>
    <cfRule type="expression" dxfId="1342" priority="862">
      <formula>#REF! = "obiectiv"</formula>
    </cfRule>
  </conditionalFormatting>
  <conditionalFormatting sqref="Q1859:U1859">
    <cfRule type="expression" dxfId="1341" priority="859">
      <formula>#REF! = "produs"</formula>
    </cfRule>
    <cfRule type="expression" dxfId="1340" priority="860">
      <formula>#REF! = "obiectiv"</formula>
    </cfRule>
  </conditionalFormatting>
  <conditionalFormatting sqref="Q1859:U1859">
    <cfRule type="expression" dxfId="1339" priority="857">
      <formula>#REF! = "produs"</formula>
    </cfRule>
    <cfRule type="expression" dxfId="1338" priority="858">
      <formula>#REF! = "obiectiv"</formula>
    </cfRule>
  </conditionalFormatting>
  <conditionalFormatting sqref="Q1869:U1869 Q1870:S1870">
    <cfRule type="expression" dxfId="1337" priority="855">
      <formula>#REF! = "produs"</formula>
    </cfRule>
    <cfRule type="expression" dxfId="1336" priority="856">
      <formula>#REF! = "obiectiv"</formula>
    </cfRule>
  </conditionalFormatting>
  <conditionalFormatting sqref="Q1869:U1869 Q1870:S1870">
    <cfRule type="expression" dxfId="1335" priority="853">
      <formula>#REF! = "produs"</formula>
    </cfRule>
    <cfRule type="expression" dxfId="1334" priority="854">
      <formula>#REF! = "obiectiv"</formula>
    </cfRule>
  </conditionalFormatting>
  <conditionalFormatting sqref="Q1883:U1883 Q1875:U1875">
    <cfRule type="expression" dxfId="1333" priority="851">
      <formula>#REF! = "produs"</formula>
    </cfRule>
    <cfRule type="expression" dxfId="1332" priority="852">
      <formula>#REF! = "obiectiv"</formula>
    </cfRule>
  </conditionalFormatting>
  <conditionalFormatting sqref="Q1876:U1878 Q1880:U1882">
    <cfRule type="expression" dxfId="1331" priority="849">
      <formula>#REF! = "produs"</formula>
    </cfRule>
    <cfRule type="expression" dxfId="1330" priority="850">
      <formula>#REF! = "obiectiv"</formula>
    </cfRule>
  </conditionalFormatting>
  <conditionalFormatting sqref="Q1874:U1874">
    <cfRule type="expression" dxfId="1329" priority="847">
      <formula>#REF! = "produs"</formula>
    </cfRule>
    <cfRule type="expression" dxfId="1328" priority="848">
      <formula>#REF! = "obiectiv"</formula>
    </cfRule>
  </conditionalFormatting>
  <conditionalFormatting sqref="Q1880:U1883 Q1874:U1878">
    <cfRule type="expression" dxfId="1327" priority="845">
      <formula>#REF! = "produs"</formula>
    </cfRule>
    <cfRule type="expression" dxfId="1326" priority="846">
      <formula>#REF! = "obiectiv"</formula>
    </cfRule>
  </conditionalFormatting>
  <conditionalFormatting sqref="Q1879:U1879">
    <cfRule type="expression" dxfId="1325" priority="843">
      <formula>#REF! = "produs"</formula>
    </cfRule>
    <cfRule type="expression" dxfId="1324" priority="844">
      <formula>#REF! = "obiectiv"</formula>
    </cfRule>
  </conditionalFormatting>
  <conditionalFormatting sqref="L1867:P1869 O1870:P1872 L1870:O1870 L1872:P1872">
    <cfRule type="expression" dxfId="1323" priority="833">
      <formula>#REF! = "produs"</formula>
    </cfRule>
    <cfRule type="expression" dxfId="1322" priority="834">
      <formula>#REF! = "obiectiv"</formula>
    </cfRule>
  </conditionalFormatting>
  <conditionalFormatting sqref="L1865:P1873">
    <cfRule type="expression" dxfId="1321" priority="831">
      <formula>#REF! = "produs"</formula>
    </cfRule>
    <cfRule type="expression" dxfId="1320" priority="832">
      <formula>#REF! = "obiectiv"</formula>
    </cfRule>
  </conditionalFormatting>
  <conditionalFormatting sqref="L1906:P1907">
    <cfRule type="expression" dxfId="1319" priority="813">
      <formula>#REF! = "produs"</formula>
    </cfRule>
    <cfRule type="expression" dxfId="1318" priority="814">
      <formula>#REF! = "obiectiv"</formula>
    </cfRule>
  </conditionalFormatting>
  <conditionalFormatting sqref="L1905:P1913">
    <cfRule type="expression" dxfId="1317" priority="811">
      <formula>#REF! = "produs"</formula>
    </cfRule>
    <cfRule type="expression" dxfId="1316" priority="812">
      <formula>#REF! = "obiectiv"</formula>
    </cfRule>
  </conditionalFormatting>
  <conditionalFormatting sqref="L1912:P1913 L1908:P1909 O1910:P1911 L1905:P1906">
    <cfRule type="expression" dxfId="1315" priority="819">
      <formula>#REF! = "produs"</formula>
    </cfRule>
    <cfRule type="expression" dxfId="1314" priority="820">
      <formula>#REF! = "obiectiv"</formula>
    </cfRule>
  </conditionalFormatting>
  <conditionalFormatting sqref="L1911:P1911">
    <cfRule type="expression" dxfId="1313" priority="817">
      <formula>#REF! = "produs"</formula>
    </cfRule>
    <cfRule type="expression" dxfId="1312" priority="818">
      <formula>#REF! = "obiectiv"</formula>
    </cfRule>
  </conditionalFormatting>
  <conditionalFormatting sqref="Q1900:S1900">
    <cfRule type="expression" dxfId="1311" priority="809">
      <formula>#REF! = "produs"</formula>
    </cfRule>
    <cfRule type="expression" dxfId="1310" priority="810">
      <formula>#REF! = "obiectiv"</formula>
    </cfRule>
  </conditionalFormatting>
  <conditionalFormatting sqref="L1854:P1854">
    <cfRule type="expression" dxfId="1309" priority="805">
      <formula>#REF! = "produs"</formula>
    </cfRule>
    <cfRule type="expression" dxfId="1308" priority="806">
      <formula>#REF! = "obiectiv"</formula>
    </cfRule>
  </conditionalFormatting>
  <conditionalFormatting sqref="L1855:P1859 O1860:P1860">
    <cfRule type="expression" dxfId="1307" priority="803">
      <formula>#REF! = "produs"</formula>
    </cfRule>
    <cfRule type="expression" dxfId="1306" priority="804">
      <formula>#REF! = "obiectiv"</formula>
    </cfRule>
  </conditionalFormatting>
  <conditionalFormatting sqref="L1860:P1860">
    <cfRule type="expression" dxfId="1305" priority="801">
      <formula>#REF! = "produs"</formula>
    </cfRule>
    <cfRule type="expression" dxfId="1304" priority="802">
      <formula>#REF! = "obiectiv"</formula>
    </cfRule>
  </conditionalFormatting>
  <conditionalFormatting sqref="L1857:P1857">
    <cfRule type="expression" dxfId="1303" priority="799">
      <formula>#REF! = "produs"</formula>
    </cfRule>
    <cfRule type="expression" dxfId="1302" priority="800">
      <formula>#REF! = "obiectiv"</formula>
    </cfRule>
  </conditionalFormatting>
  <conditionalFormatting sqref="L1855:P1860">
    <cfRule type="expression" dxfId="1301" priority="797">
      <formula>#REF! = "produs"</formula>
    </cfRule>
    <cfRule type="expression" dxfId="1300" priority="798">
      <formula>#REF! = "obiectiv"</formula>
    </cfRule>
  </conditionalFormatting>
  <conditionalFormatting sqref="V1854">
    <cfRule type="expression" dxfId="1299" priority="795">
      <formula>#REF! = "produs"</formula>
    </cfRule>
    <cfRule type="expression" dxfId="1298" priority="796">
      <formula>#REF! = "obiectiv"</formula>
    </cfRule>
  </conditionalFormatting>
  <conditionalFormatting sqref="V1854">
    <cfRule type="expression" dxfId="1297" priority="793">
      <formula>#REF! = "produs"</formula>
    </cfRule>
    <cfRule type="expression" dxfId="1296" priority="794">
      <formula>#REF! = "obiectiv"</formula>
    </cfRule>
  </conditionalFormatting>
  <conditionalFormatting sqref="H1854">
    <cfRule type="expression" dxfId="1295" priority="791">
      <formula>#REF! = "produs"</formula>
    </cfRule>
    <cfRule type="expression" dxfId="1294" priority="792">
      <formula>#REF! = "obiectiv"</formula>
    </cfRule>
  </conditionalFormatting>
  <conditionalFormatting sqref="H1864">
    <cfRule type="expression" dxfId="1293" priority="789">
      <formula>#REF! = "produs"</formula>
    </cfRule>
    <cfRule type="expression" dxfId="1292" priority="790">
      <formula>#REF! = "obiectiv"</formula>
    </cfRule>
  </conditionalFormatting>
  <conditionalFormatting sqref="H1874">
    <cfRule type="expression" dxfId="1291" priority="787">
      <formula>#REF! = "produs"</formula>
    </cfRule>
    <cfRule type="expression" dxfId="1290" priority="788">
      <formula>#REF! = "obiectiv"</formula>
    </cfRule>
  </conditionalFormatting>
  <conditionalFormatting sqref="H1884">
    <cfRule type="expression" dxfId="1289" priority="785">
      <formula>#REF! = "produs"</formula>
    </cfRule>
    <cfRule type="expression" dxfId="1288" priority="786">
      <formula>#REF! = "obiectiv"</formula>
    </cfRule>
  </conditionalFormatting>
  <conditionalFormatting sqref="V1884:V1893">
    <cfRule type="expression" dxfId="1287" priority="783">
      <formula>#REF! = "produs"</formula>
    </cfRule>
    <cfRule type="expression" dxfId="1286" priority="784">
      <formula>#REF! = "obiectiv"</formula>
    </cfRule>
  </conditionalFormatting>
  <conditionalFormatting sqref="V1884:V1893">
    <cfRule type="expression" dxfId="1285" priority="781">
      <formula>#REF! = "produs"</formula>
    </cfRule>
    <cfRule type="expression" dxfId="1284" priority="782">
      <formula>#REF! = "obiectiv"</formula>
    </cfRule>
  </conditionalFormatting>
  <conditionalFormatting sqref="K1885:K1886 K1888:K1893">
    <cfRule type="expression" dxfId="1283" priority="779">
      <formula>#REF! = "produs"</formula>
    </cfRule>
    <cfRule type="expression" dxfId="1282" priority="780">
      <formula>#REF! = "obiectiv"</formula>
    </cfRule>
  </conditionalFormatting>
  <conditionalFormatting sqref="K1887">
    <cfRule type="expression" dxfId="1281" priority="777">
      <formula>#REF! = "produs"</formula>
    </cfRule>
    <cfRule type="expression" dxfId="1280" priority="778">
      <formula>#REF! = "obiectiv"</formula>
    </cfRule>
  </conditionalFormatting>
  <conditionalFormatting sqref="K1884:K1893">
    <cfRule type="expression" dxfId="1279" priority="775">
      <formula>#REF! = "produs"</formula>
    </cfRule>
    <cfRule type="expression" dxfId="1278" priority="776">
      <formula>#REF! = "obiectiv"</formula>
    </cfRule>
  </conditionalFormatting>
  <conditionalFormatting sqref="L1884:P1884">
    <cfRule type="expression" dxfId="1277" priority="773">
      <formula>#REF! = "produs"</formula>
    </cfRule>
    <cfRule type="expression" dxfId="1276" priority="774">
      <formula>#REF! = "obiectiv"</formula>
    </cfRule>
  </conditionalFormatting>
  <conditionalFormatting sqref="Q1889:U1889">
    <cfRule type="expression" dxfId="1275" priority="761">
      <formula>#REF! = "produs"</formula>
    </cfRule>
    <cfRule type="expression" dxfId="1274" priority="762">
      <formula>#REF! = "obiectiv"</formula>
    </cfRule>
  </conditionalFormatting>
  <conditionalFormatting sqref="L1891:P1891">
    <cfRule type="expression" dxfId="1273" priority="757">
      <formula>#REF! = "produs"</formula>
    </cfRule>
    <cfRule type="expression" dxfId="1272" priority="758">
      <formula>#REF! = "obiectiv"</formula>
    </cfRule>
  </conditionalFormatting>
  <conditionalFormatting sqref="Q1893:U1893 Q1885:U1885">
    <cfRule type="expression" dxfId="1271" priority="771">
      <formula>#REF! = "produs"</formula>
    </cfRule>
    <cfRule type="expression" dxfId="1270" priority="772">
      <formula>#REF! = "obiectiv"</formula>
    </cfRule>
  </conditionalFormatting>
  <conditionalFormatting sqref="Q1890:U1892 Q1886:U1888">
    <cfRule type="expression" dxfId="1269" priority="769">
      <formula>#REF! = "produs"</formula>
    </cfRule>
    <cfRule type="expression" dxfId="1268" priority="770">
      <formula>#REF! = "obiectiv"</formula>
    </cfRule>
  </conditionalFormatting>
  <conditionalFormatting sqref="Q1884:U1884">
    <cfRule type="expression" dxfId="1267" priority="767">
      <formula>#REF! = "produs"</formula>
    </cfRule>
    <cfRule type="expression" dxfId="1266" priority="768">
      <formula>#REF! = "obiectiv"</formula>
    </cfRule>
  </conditionalFormatting>
  <conditionalFormatting sqref="Q1890:U1893 Q1884:U1888">
    <cfRule type="expression" dxfId="1265" priority="765">
      <formula>#REF! = "produs"</formula>
    </cfRule>
    <cfRule type="expression" dxfId="1264" priority="766">
      <formula>#REF! = "obiectiv"</formula>
    </cfRule>
  </conditionalFormatting>
  <conditionalFormatting sqref="Q1889:U1889">
    <cfRule type="expression" dxfId="1263" priority="763">
      <formula>#REF! = "produs"</formula>
    </cfRule>
    <cfRule type="expression" dxfId="1262" priority="764">
      <formula>#REF! = "obiectiv"</formula>
    </cfRule>
  </conditionalFormatting>
  <conditionalFormatting sqref="L1892:P1893 L1888:P1889 O1890:P1890 L1885:P1886">
    <cfRule type="expression" dxfId="1261" priority="759">
      <formula>#REF! = "produs"</formula>
    </cfRule>
    <cfRule type="expression" dxfId="1260" priority="760">
      <formula>#REF! = "obiectiv"</formula>
    </cfRule>
  </conditionalFormatting>
  <conditionalFormatting sqref="L1890:P1890">
    <cfRule type="expression" dxfId="1259" priority="755">
      <formula>#REF! = "produs"</formula>
    </cfRule>
    <cfRule type="expression" dxfId="1258" priority="756">
      <formula>#REF! = "obiectiv"</formula>
    </cfRule>
  </conditionalFormatting>
  <conditionalFormatting sqref="L1887:P1887">
    <cfRule type="expression" dxfId="1257" priority="753">
      <formula>#REF! = "produs"</formula>
    </cfRule>
    <cfRule type="expression" dxfId="1256" priority="754">
      <formula>#REF! = "obiectiv"</formula>
    </cfRule>
  </conditionalFormatting>
  <conditionalFormatting sqref="L1885:P1893">
    <cfRule type="expression" dxfId="1255" priority="751">
      <formula>#REF! = "produs"</formula>
    </cfRule>
    <cfRule type="expression" dxfId="1254" priority="752">
      <formula>#REF! = "obiectiv"</formula>
    </cfRule>
  </conditionalFormatting>
  <conditionalFormatting sqref="H1894">
    <cfRule type="expression" dxfId="1253" priority="749">
      <formula>#REF! = "produs"</formula>
    </cfRule>
    <cfRule type="expression" dxfId="1252" priority="750">
      <formula>#REF! = "obiectiv"</formula>
    </cfRule>
  </conditionalFormatting>
  <conditionalFormatting sqref="K1895:K1896 K1898:K1903">
    <cfRule type="expression" dxfId="1251" priority="747">
      <formula>#REF! = "produs"</formula>
    </cfRule>
    <cfRule type="expression" dxfId="1250" priority="748">
      <formula>#REF! = "obiectiv"</formula>
    </cfRule>
  </conditionalFormatting>
  <conditionalFormatting sqref="K1897">
    <cfRule type="expression" dxfId="1249" priority="745">
      <formula>#REF! = "produs"</formula>
    </cfRule>
    <cfRule type="expression" dxfId="1248" priority="746">
      <formula>#REF! = "obiectiv"</formula>
    </cfRule>
  </conditionalFormatting>
  <conditionalFormatting sqref="K1894:K1903">
    <cfRule type="expression" dxfId="1247" priority="743">
      <formula>#REF! = "produs"</formula>
    </cfRule>
    <cfRule type="expression" dxfId="1246" priority="744">
      <formula>#REF! = "obiectiv"</formula>
    </cfRule>
  </conditionalFormatting>
  <conditionalFormatting sqref="L1894:P1894">
    <cfRule type="expression" dxfId="1245" priority="741">
      <formula>#REF! = "produs"</formula>
    </cfRule>
    <cfRule type="expression" dxfId="1244" priority="742">
      <formula>#REF! = "obiectiv"</formula>
    </cfRule>
  </conditionalFormatting>
  <conditionalFormatting sqref="L1901:P1901">
    <cfRule type="expression" dxfId="1243" priority="737">
      <formula>#REF! = "produs"</formula>
    </cfRule>
    <cfRule type="expression" dxfId="1242" priority="738">
      <formula>#REF! = "obiectiv"</formula>
    </cfRule>
  </conditionalFormatting>
  <conditionalFormatting sqref="L1902:P1903 L1898:P1899 O1900:P1900 L1895:P1896">
    <cfRule type="expression" dxfId="1241" priority="739">
      <formula>#REF! = "produs"</formula>
    </cfRule>
    <cfRule type="expression" dxfId="1240" priority="740">
      <formula>#REF! = "obiectiv"</formula>
    </cfRule>
  </conditionalFormatting>
  <conditionalFormatting sqref="L1900:P1900">
    <cfRule type="expression" dxfId="1239" priority="735">
      <formula>#REF! = "produs"</formula>
    </cfRule>
    <cfRule type="expression" dxfId="1238" priority="736">
      <formula>#REF! = "obiectiv"</formula>
    </cfRule>
  </conditionalFormatting>
  <conditionalFormatting sqref="L1897:P1897 O1896:P1896">
    <cfRule type="expression" dxfId="1237" priority="733">
      <formula>#REF! = "produs"</formula>
    </cfRule>
    <cfRule type="expression" dxfId="1236" priority="734">
      <formula>#REF! = "obiectiv"</formula>
    </cfRule>
  </conditionalFormatting>
  <conditionalFormatting sqref="L1895:P1903">
    <cfRule type="expression" dxfId="1235" priority="731">
      <formula>#REF! = "produs"</formula>
    </cfRule>
    <cfRule type="expression" dxfId="1234" priority="732">
      <formula>#REF! = "obiectiv"</formula>
    </cfRule>
  </conditionalFormatting>
  <conditionalFormatting sqref="L1909:P1909">
    <cfRule type="expression" dxfId="1233" priority="729">
      <formula>#REF! = "produs"</formula>
    </cfRule>
    <cfRule type="expression" dxfId="1232" priority="730">
      <formula>#REF! = "obiectiv"</formula>
    </cfRule>
  </conditionalFormatting>
  <conditionalFormatting sqref="V1926:V1935 V1937:V1944">
    <cfRule type="expression" dxfId="1231" priority="727">
      <formula>#REF! = "produs"</formula>
    </cfRule>
    <cfRule type="expression" dxfId="1230" priority="728">
      <formula>#REF! = "obiectiv"</formula>
    </cfRule>
  </conditionalFormatting>
  <conditionalFormatting sqref="V1926:V1935 V1937:V1944">
    <cfRule type="expression" dxfId="1229" priority="725">
      <formula>#REF! = "produs"</formula>
    </cfRule>
    <cfRule type="expression" dxfId="1228" priority="726">
      <formula>#REF! = "obiectiv"</formula>
    </cfRule>
  </conditionalFormatting>
  <conditionalFormatting sqref="J1936 J1943:J1944 J1941 J1939">
    <cfRule type="expression" dxfId="1227" priority="701">
      <formula>#REF! = "produs"</formula>
    </cfRule>
    <cfRule type="expression" dxfId="1226" priority="702">
      <formula>#REF! = "obiectiv"</formula>
    </cfRule>
  </conditionalFormatting>
  <conditionalFormatting sqref="J1928">
    <cfRule type="expression" dxfId="1225" priority="705">
      <formula>#REF! = "produs"</formula>
    </cfRule>
    <cfRule type="expression" dxfId="1224" priority="706">
      <formula>#REF! = "obiectiv"</formula>
    </cfRule>
  </conditionalFormatting>
  <conditionalFormatting sqref="J1926 J1933:J1934 J1931 J1929">
    <cfRule type="expression" dxfId="1223" priority="719">
      <formula>#REF! = "produs"</formula>
    </cfRule>
    <cfRule type="expression" dxfId="1222" priority="720">
      <formula>#REF! = "obiectiv"</formula>
    </cfRule>
  </conditionalFormatting>
  <conditionalFormatting sqref="J1938">
    <cfRule type="expression" dxfId="1221" priority="691">
      <formula>#REF! = "produs"</formula>
    </cfRule>
    <cfRule type="expression" dxfId="1220" priority="692">
      <formula>#REF! = "obiectiv"</formula>
    </cfRule>
  </conditionalFormatting>
  <conditionalFormatting sqref="J1948">
    <cfRule type="expression" dxfId="1219" priority="679">
      <formula>#REF! = "produs"</formula>
    </cfRule>
    <cfRule type="expression" dxfId="1218" priority="680">
      <formula>#REF! = "obiectiv"</formula>
    </cfRule>
  </conditionalFormatting>
  <conditionalFormatting sqref="J1932">
    <cfRule type="expression" dxfId="1217" priority="715">
      <formula>#REF! = "produs"</formula>
    </cfRule>
    <cfRule type="expression" dxfId="1216" priority="716">
      <formula>#REF! = "obiectiv"</formula>
    </cfRule>
  </conditionalFormatting>
  <conditionalFormatting sqref="J1942">
    <cfRule type="expression" dxfId="1215" priority="697">
      <formula>#REF! = "produs"</formula>
    </cfRule>
    <cfRule type="expression" dxfId="1214" priority="698">
      <formula>#REF! = "obiectiv"</formula>
    </cfRule>
  </conditionalFormatting>
  <conditionalFormatting sqref="W1926:IU1927 W1929:IU1934">
    <cfRule type="expression" dxfId="1213" priority="723">
      <formula>#REF! = "produs"</formula>
    </cfRule>
    <cfRule type="expression" dxfId="1212" priority="724">
      <formula>#REF! = "obiectiv"</formula>
    </cfRule>
  </conditionalFormatting>
  <conditionalFormatting sqref="K1926:K1927 K1929:K1934">
    <cfRule type="expression" dxfId="1211" priority="721">
      <formula>#REF! = "produs"</formula>
    </cfRule>
    <cfRule type="expression" dxfId="1210" priority="722">
      <formula>#REF! = "obiectiv"</formula>
    </cfRule>
  </conditionalFormatting>
  <conditionalFormatting sqref="L1933:P1933 L1929:P1930 O1931:P1931 L1934:U1934 L1926:U1926 L1927:P1927">
    <cfRule type="expression" dxfId="1209" priority="717">
      <formula>#REF! = "produs"</formula>
    </cfRule>
    <cfRule type="expression" dxfId="1208" priority="718">
      <formula>#REF! = "obiectiv"</formula>
    </cfRule>
  </conditionalFormatting>
  <conditionalFormatting sqref="L1932:P1932">
    <cfRule type="expression" dxfId="1207" priority="713">
      <formula>#REF! = "produs"</formula>
    </cfRule>
    <cfRule type="expression" dxfId="1206" priority="714">
      <formula>#REF! = "obiectiv"</formula>
    </cfRule>
  </conditionalFormatting>
  <conditionalFormatting sqref="L1931:P1931">
    <cfRule type="expression" dxfId="1205" priority="711">
      <formula>#REF! = "produs"</formula>
    </cfRule>
    <cfRule type="expression" dxfId="1204" priority="712">
      <formula>#REF! = "obiectiv"</formula>
    </cfRule>
  </conditionalFormatting>
  <conditionalFormatting sqref="J1930">
    <cfRule type="expression" dxfId="1203" priority="709">
      <formula>#REF! = "produs"</formula>
    </cfRule>
    <cfRule type="expression" dxfId="1202" priority="710">
      <formula>#REF! = "obiectiv"</formula>
    </cfRule>
  </conditionalFormatting>
  <conditionalFormatting sqref="K1928:P1928 W1928:IU1928">
    <cfRule type="expression" dxfId="1201" priority="707">
      <formula>#REF! = "produs"</formula>
    </cfRule>
    <cfRule type="expression" dxfId="1200" priority="708">
      <formula>#REF! = "obiectiv"</formula>
    </cfRule>
  </conditionalFormatting>
  <conditionalFormatting sqref="W1936:IU1937 W1939:IU1944">
    <cfRule type="expression" dxfId="1199" priority="703">
      <formula>#REF! = "produs"</formula>
    </cfRule>
    <cfRule type="expression" dxfId="1198" priority="704">
      <formula>#REF! = "obiectiv"</formula>
    </cfRule>
  </conditionalFormatting>
  <conditionalFormatting sqref="Q1944:U1944">
    <cfRule type="expression" dxfId="1197" priority="699">
      <formula>#REF! = "produs"</formula>
    </cfRule>
    <cfRule type="expression" dxfId="1196" priority="700">
      <formula>#REF! = "obiectiv"</formula>
    </cfRule>
  </conditionalFormatting>
  <conditionalFormatting sqref="J1940">
    <cfRule type="expression" dxfId="1195" priority="695">
      <formula>#REF! = "produs"</formula>
    </cfRule>
    <cfRule type="expression" dxfId="1194" priority="696">
      <formula>#REF! = "obiectiv"</formula>
    </cfRule>
  </conditionalFormatting>
  <conditionalFormatting sqref="W1938:IU1938">
    <cfRule type="expression" dxfId="1193" priority="693">
      <formula>#REF! = "produs"</formula>
    </cfRule>
    <cfRule type="expression" dxfId="1192" priority="694">
      <formula>#REF! = "obiectiv"</formula>
    </cfRule>
  </conditionalFormatting>
  <conditionalFormatting sqref="W1946:IU1947 W1949:IU1954">
    <cfRule type="expression" dxfId="1191" priority="689">
      <formula>#REF! = "produs"</formula>
    </cfRule>
    <cfRule type="expression" dxfId="1190" priority="690">
      <formula>#REF! = "obiectiv"</formula>
    </cfRule>
  </conditionalFormatting>
  <conditionalFormatting sqref="J1946 J1953:J1954 J1951 J1949">
    <cfRule type="expression" dxfId="1189" priority="687">
      <formula>#REF! = "produs"</formula>
    </cfRule>
    <cfRule type="expression" dxfId="1188" priority="688">
      <formula>#REF! = "obiectiv"</formula>
    </cfRule>
  </conditionalFormatting>
  <conditionalFormatting sqref="J1952">
    <cfRule type="expression" dxfId="1187" priority="685">
      <formula>#REF! = "produs"</formula>
    </cfRule>
    <cfRule type="expression" dxfId="1186" priority="686">
      <formula>#REF! = "obiectiv"</formula>
    </cfRule>
  </conditionalFormatting>
  <conditionalFormatting sqref="J1950">
    <cfRule type="expression" dxfId="1185" priority="683">
      <formula>#REF! = "produs"</formula>
    </cfRule>
    <cfRule type="expression" dxfId="1184" priority="684">
      <formula>#REF! = "obiectiv"</formula>
    </cfRule>
  </conditionalFormatting>
  <conditionalFormatting sqref="W1948:IU1948">
    <cfRule type="expression" dxfId="1183" priority="681">
      <formula>#REF! = "produs"</formula>
    </cfRule>
    <cfRule type="expression" dxfId="1182" priority="682">
      <formula>#REF! = "obiectiv"</formula>
    </cfRule>
  </conditionalFormatting>
  <conditionalFormatting sqref="J1945 J1935 J1925">
    <cfRule type="expression" dxfId="1181" priority="677">
      <formula>#REF! = "produs"</formula>
    </cfRule>
    <cfRule type="expression" dxfId="1180" priority="678">
      <formula>#REF! = "obiectiv"</formula>
    </cfRule>
  </conditionalFormatting>
  <conditionalFormatting sqref="Q1927:U1933">
    <cfRule type="expression" dxfId="1179" priority="675">
      <formula>#REF! = "produs"</formula>
    </cfRule>
    <cfRule type="expression" dxfId="1178" priority="676">
      <formula>#REF! = "obiectiv"</formula>
    </cfRule>
  </conditionalFormatting>
  <conditionalFormatting sqref="Q1937:U1943">
    <cfRule type="expression" dxfId="1177" priority="673">
      <formula>#REF! = "produs"</formula>
    </cfRule>
    <cfRule type="expression" dxfId="1176" priority="674">
      <formula>#REF! = "obiectiv"</formula>
    </cfRule>
  </conditionalFormatting>
  <conditionalFormatting sqref="Q1935:U1935 Q1925:U1925">
    <cfRule type="expression" dxfId="1175" priority="671">
      <formula>#REF! = "produs"</formula>
    </cfRule>
    <cfRule type="expression" dxfId="1174" priority="672">
      <formula>#REF! = "obiectiv"</formula>
    </cfRule>
  </conditionalFormatting>
  <conditionalFormatting sqref="G1925">
    <cfRule type="expression" dxfId="1173" priority="669">
      <formula>#REF! = "produs"</formula>
    </cfRule>
    <cfRule type="expression" dxfId="1172" priority="670">
      <formula>#REF! = "obiectiv"</formula>
    </cfRule>
  </conditionalFormatting>
  <conditionalFormatting sqref="G1935">
    <cfRule type="expression" dxfId="1171" priority="667">
      <formula>#REF! = "produs"</formula>
    </cfRule>
    <cfRule type="expression" dxfId="1170" priority="668">
      <formula>#REF! = "obiectiv"</formula>
    </cfRule>
  </conditionalFormatting>
  <conditionalFormatting sqref="G1945">
    <cfRule type="expression" dxfId="1169" priority="665">
      <formula>#REF! = "produs"</formula>
    </cfRule>
    <cfRule type="expression" dxfId="1168" priority="666">
      <formula>#REF! = "obiectiv"</formula>
    </cfRule>
  </conditionalFormatting>
  <conditionalFormatting sqref="J1928:J1936 J1938:J1946 J1948:J1954 J1925:J1926">
    <cfRule type="expression" dxfId="1167" priority="659">
      <formula>#REF! = "produs"</formula>
    </cfRule>
    <cfRule type="expression" dxfId="1166" priority="660">
      <formula>#REF! = "obiectiv"</formula>
    </cfRule>
  </conditionalFormatting>
  <conditionalFormatting sqref="W1925:IU1954">
    <cfRule type="expression" dxfId="1165" priority="663">
      <formula>#REF! = "produs"</formula>
    </cfRule>
    <cfRule type="expression" dxfId="1164" priority="664">
      <formula>#REF! = "obiectiv"</formula>
    </cfRule>
  </conditionalFormatting>
  <conditionalFormatting sqref="K1925:K1934">
    <cfRule type="expression" dxfId="1163" priority="661">
      <formula>#REF! = "produs"</formula>
    </cfRule>
    <cfRule type="expression" dxfId="1162" priority="662">
      <formula>#REF! = "obiectiv"</formula>
    </cfRule>
  </conditionalFormatting>
  <conditionalFormatting sqref="Q1935:U1935 Q1937:U1944 L1925:U1934">
    <cfRule type="expression" dxfId="1161" priority="657">
      <formula>#REF! = "produs"</formula>
    </cfRule>
    <cfRule type="expression" dxfId="1160" priority="658">
      <formula>#REF! = "obiectiv"</formula>
    </cfRule>
  </conditionalFormatting>
  <conditionalFormatting sqref="J1947 J1937 J1927">
    <cfRule type="expression" dxfId="1159" priority="655">
      <formula>#REF! = "produs"</formula>
    </cfRule>
    <cfRule type="expression" dxfId="1158" priority="656">
      <formula>#REF! = "obiectiv"</formula>
    </cfRule>
  </conditionalFormatting>
  <conditionalFormatting sqref="V1915:V1924">
    <cfRule type="expression" dxfId="1157" priority="651">
      <formula>#REF! = "produs"</formula>
    </cfRule>
    <cfRule type="expression" dxfId="1156" priority="652">
      <formula>#REF! = "obiectiv"</formula>
    </cfRule>
  </conditionalFormatting>
  <conditionalFormatting sqref="V1915:V1924">
    <cfRule type="expression" dxfId="1155" priority="653">
      <formula>#REF! = "produs"</formula>
    </cfRule>
    <cfRule type="expression" dxfId="1154" priority="654">
      <formula>#REF! = "obiectiv"</formula>
    </cfRule>
  </conditionalFormatting>
  <conditionalFormatting sqref="W1916:IU1917 W1919:IU1924">
    <cfRule type="expression" dxfId="1153" priority="649">
      <formula>#REF! = "produs"</formula>
    </cfRule>
    <cfRule type="expression" dxfId="1152" priority="650">
      <formula>#REF! = "obiectiv"</formula>
    </cfRule>
  </conditionalFormatting>
  <conditionalFormatting sqref="K1916:K1917 K1919:K1924">
    <cfRule type="expression" dxfId="1151" priority="647">
      <formula>#REF! = "produs"</formula>
    </cfRule>
    <cfRule type="expression" dxfId="1150" priority="648">
      <formula>#REF! = "obiectiv"</formula>
    </cfRule>
  </conditionalFormatting>
  <conditionalFormatting sqref="J1918">
    <cfRule type="expression" dxfId="1149" priority="631">
      <formula>#REF! = "produs"</formula>
    </cfRule>
    <cfRule type="expression" dxfId="1148" priority="632">
      <formula>#REF! = "obiectiv"</formula>
    </cfRule>
  </conditionalFormatting>
  <conditionalFormatting sqref="J1916 J1923:J1924 J1921 J1919">
    <cfRule type="expression" dxfId="1147" priority="645">
      <formula>#REF! = "produs"</formula>
    </cfRule>
    <cfRule type="expression" dxfId="1146" priority="646">
      <formula>#REF! = "obiectiv"</formula>
    </cfRule>
  </conditionalFormatting>
  <conditionalFormatting sqref="J1922">
    <cfRule type="expression" dxfId="1145" priority="641">
      <formula>#REF! = "produs"</formula>
    </cfRule>
    <cfRule type="expression" dxfId="1144" priority="642">
      <formula>#REF! = "obiectiv"</formula>
    </cfRule>
  </conditionalFormatting>
  <conditionalFormatting sqref="L1924:U1924 L1923:P1923 L1919:P1920 Q1916:U1916 O1921:P1921 L1917:P1917">
    <cfRule type="expression" dxfId="1143" priority="643">
      <formula>#REF! = "produs"</formula>
    </cfRule>
    <cfRule type="expression" dxfId="1142" priority="644">
      <formula>#REF! = "obiectiv"</formula>
    </cfRule>
  </conditionalFormatting>
  <conditionalFormatting sqref="L1922:P1922">
    <cfRule type="expression" dxfId="1141" priority="639">
      <formula>#REF! = "produs"</formula>
    </cfRule>
    <cfRule type="expression" dxfId="1140" priority="640">
      <formula>#REF! = "obiectiv"</formula>
    </cfRule>
  </conditionalFormatting>
  <conditionalFormatting sqref="L1921:P1921">
    <cfRule type="expression" dxfId="1139" priority="637">
      <formula>#REF! = "produs"</formula>
    </cfRule>
    <cfRule type="expression" dxfId="1138" priority="638">
      <formula>#REF! = "obiectiv"</formula>
    </cfRule>
  </conditionalFormatting>
  <conditionalFormatting sqref="J1920">
    <cfRule type="expression" dxfId="1137" priority="635">
      <formula>#REF! = "produs"</formula>
    </cfRule>
    <cfRule type="expression" dxfId="1136" priority="636">
      <formula>#REF! = "obiectiv"</formula>
    </cfRule>
  </conditionalFormatting>
  <conditionalFormatting sqref="K1918:P1918 W1918:IU1918">
    <cfRule type="expression" dxfId="1135" priority="633">
      <formula>#REF! = "produs"</formula>
    </cfRule>
    <cfRule type="expression" dxfId="1134" priority="634">
      <formula>#REF! = "obiectiv"</formula>
    </cfRule>
  </conditionalFormatting>
  <conditionalFormatting sqref="J1915">
    <cfRule type="expression" dxfId="1133" priority="629">
      <formula>#REF! = "produs"</formula>
    </cfRule>
    <cfRule type="expression" dxfId="1132" priority="630">
      <formula>#REF! = "obiectiv"</formula>
    </cfRule>
  </conditionalFormatting>
  <conditionalFormatting sqref="Q1917:U1923">
    <cfRule type="expression" dxfId="1131" priority="627">
      <formula>#REF! = "produs"</formula>
    </cfRule>
    <cfRule type="expression" dxfId="1130" priority="628">
      <formula>#REF! = "obiectiv"</formula>
    </cfRule>
  </conditionalFormatting>
  <conditionalFormatting sqref="Q1915:U1915">
    <cfRule type="expression" dxfId="1129" priority="625">
      <formula>#REF! = "produs"</formula>
    </cfRule>
    <cfRule type="expression" dxfId="1128" priority="626">
      <formula>#REF! = "obiectiv"</formula>
    </cfRule>
  </conditionalFormatting>
  <conditionalFormatting sqref="H1915">
    <cfRule type="expression" dxfId="1127" priority="621">
      <formula>#REF! = "produs"</formula>
    </cfRule>
    <cfRule type="expression" dxfId="1126" priority="622">
      <formula>#REF! = "obiectiv"</formula>
    </cfRule>
  </conditionalFormatting>
  <conditionalFormatting sqref="G1915">
    <cfRule type="expression" dxfId="1125" priority="623">
      <formula>#REF! = "produs"</formula>
    </cfRule>
    <cfRule type="expression" dxfId="1124" priority="624">
      <formula>#REF! = "obiectiv"</formula>
    </cfRule>
  </conditionalFormatting>
  <conditionalFormatting sqref="J1918:J1924 J1915:J1916">
    <cfRule type="expression" dxfId="1123" priority="615">
      <formula>#REF! = "produs"</formula>
    </cfRule>
    <cfRule type="expression" dxfId="1122" priority="616">
      <formula>#REF! = "obiectiv"</formula>
    </cfRule>
  </conditionalFormatting>
  <conditionalFormatting sqref="W1915:IU1924">
    <cfRule type="expression" dxfId="1121" priority="619">
      <formula>#REF! = "produs"</formula>
    </cfRule>
    <cfRule type="expression" dxfId="1120" priority="620">
      <formula>#REF! = "obiectiv"</formula>
    </cfRule>
  </conditionalFormatting>
  <conditionalFormatting sqref="K1915:K1924">
    <cfRule type="expression" dxfId="1119" priority="617">
      <formula>#REF! = "produs"</formula>
    </cfRule>
    <cfRule type="expression" dxfId="1118" priority="618">
      <formula>#REF! = "obiectiv"</formula>
    </cfRule>
  </conditionalFormatting>
  <conditionalFormatting sqref="Q1916:U1916 L1915:U1915 L1917:U1924">
    <cfRule type="expression" dxfId="1117" priority="613">
      <formula>#REF! = "produs"</formula>
    </cfRule>
    <cfRule type="expression" dxfId="1116" priority="614">
      <formula>#REF! = "obiectiv"</formula>
    </cfRule>
  </conditionalFormatting>
  <conditionalFormatting sqref="J1917">
    <cfRule type="expression" dxfId="1115" priority="611">
      <formula>#REF! = "produs"</formula>
    </cfRule>
    <cfRule type="expression" dxfId="1114" priority="612">
      <formula>#REF! = "obiectiv"</formula>
    </cfRule>
  </conditionalFormatting>
  <conditionalFormatting sqref="Q1941:S1941">
    <cfRule type="expression" dxfId="1113" priority="609">
      <formula>#REF! = "produs"</formula>
    </cfRule>
    <cfRule type="expression" dxfId="1112" priority="610">
      <formula>#REF! = "obiectiv"</formula>
    </cfRule>
  </conditionalFormatting>
  <conditionalFormatting sqref="Q1931:S1931">
    <cfRule type="expression" dxfId="1111" priority="607">
      <formula>#REF! = "produs"</formula>
    </cfRule>
    <cfRule type="expression" dxfId="1110" priority="608">
      <formula>#REF! = "obiectiv"</formula>
    </cfRule>
  </conditionalFormatting>
  <conditionalFormatting sqref="L1916:P1916">
    <cfRule type="expression" dxfId="1109" priority="605">
      <formula>#REF! = "produs"</formula>
    </cfRule>
    <cfRule type="expression" dxfId="1108" priority="606">
      <formula>#REF! = "obiectiv"</formula>
    </cfRule>
  </conditionalFormatting>
  <conditionalFormatting sqref="L1916:P1916">
    <cfRule type="expression" dxfId="1107" priority="603">
      <formula>#REF! = "produs"</formula>
    </cfRule>
    <cfRule type="expression" dxfId="1106" priority="604">
      <formula>#REF! = "obiectiv"</formula>
    </cfRule>
  </conditionalFormatting>
  <conditionalFormatting sqref="H1925">
    <cfRule type="expression" dxfId="1105" priority="601">
      <formula>#REF! = "produs"</formula>
    </cfRule>
    <cfRule type="expression" dxfId="1104" priority="602">
      <formula>#REF! = "obiectiv"</formula>
    </cfRule>
  </conditionalFormatting>
  <conditionalFormatting sqref="V1925">
    <cfRule type="expression" dxfId="1103" priority="597">
      <formula>#REF! = "produs"</formula>
    </cfRule>
    <cfRule type="expression" dxfId="1102" priority="598">
      <formula>#REF! = "obiectiv"</formula>
    </cfRule>
  </conditionalFormatting>
  <conditionalFormatting sqref="V1925">
    <cfRule type="expression" dxfId="1101" priority="599">
      <formula>#REF! = "produs"</formula>
    </cfRule>
    <cfRule type="expression" dxfId="1100" priority="600">
      <formula>#REF! = "obiectiv"</formula>
    </cfRule>
  </conditionalFormatting>
  <conditionalFormatting sqref="H1935">
    <cfRule type="expression" dxfId="1099" priority="595">
      <formula>#REF! = "produs"</formula>
    </cfRule>
    <cfRule type="expression" dxfId="1098" priority="596">
      <formula>#REF! = "obiectiv"</formula>
    </cfRule>
  </conditionalFormatting>
  <conditionalFormatting sqref="H1945">
    <cfRule type="expression" dxfId="1097" priority="593">
      <formula>#REF! = "produs"</formula>
    </cfRule>
    <cfRule type="expression" dxfId="1096" priority="594">
      <formula>#REF! = "obiectiv"</formula>
    </cfRule>
  </conditionalFormatting>
  <conditionalFormatting sqref="K1936:K1937 K1939:K1944">
    <cfRule type="expression" dxfId="1095" priority="591">
      <formula>#REF! = "produs"</formula>
    </cfRule>
    <cfRule type="expression" dxfId="1094" priority="592">
      <formula>#REF! = "obiectiv"</formula>
    </cfRule>
  </conditionalFormatting>
  <conditionalFormatting sqref="L1939:P1940 O1941:P1941 L1943:P1944 L1936:P1937">
    <cfRule type="expression" dxfId="1093" priority="589">
      <formula>#REF! = "produs"</formula>
    </cfRule>
    <cfRule type="expression" dxfId="1092" priority="590">
      <formula>#REF! = "obiectiv"</formula>
    </cfRule>
  </conditionalFormatting>
  <conditionalFormatting sqref="L1942:P1942">
    <cfRule type="expression" dxfId="1091" priority="587">
      <formula>#REF! = "produs"</formula>
    </cfRule>
    <cfRule type="expression" dxfId="1090" priority="588">
      <formula>#REF! = "obiectiv"</formula>
    </cfRule>
  </conditionalFormatting>
  <conditionalFormatting sqref="L1941:P1941">
    <cfRule type="expression" dxfId="1089" priority="585">
      <formula>#REF! = "produs"</formula>
    </cfRule>
    <cfRule type="expression" dxfId="1088" priority="586">
      <formula>#REF! = "obiectiv"</formula>
    </cfRule>
  </conditionalFormatting>
  <conditionalFormatting sqref="K1938:P1938">
    <cfRule type="expression" dxfId="1087" priority="583">
      <formula>#REF! = "produs"</formula>
    </cfRule>
    <cfRule type="expression" dxfId="1086" priority="584">
      <formula>#REF! = "obiectiv"</formula>
    </cfRule>
  </conditionalFormatting>
  <conditionalFormatting sqref="K1935:K1944">
    <cfRule type="expression" dxfId="1085" priority="581">
      <formula>#REF! = "produs"</formula>
    </cfRule>
    <cfRule type="expression" dxfId="1084" priority="582">
      <formula>#REF! = "obiectiv"</formula>
    </cfRule>
  </conditionalFormatting>
  <conditionalFormatting sqref="L1935:P1944">
    <cfRule type="expression" dxfId="1083" priority="579">
      <formula>#REF! = "produs"</formula>
    </cfRule>
    <cfRule type="expression" dxfId="1082" priority="580">
      <formula>#REF! = "obiectiv"</formula>
    </cfRule>
  </conditionalFormatting>
  <conditionalFormatting sqref="V1936">
    <cfRule type="expression" dxfId="1081" priority="577">
      <formula>#REF! = "produs"</formula>
    </cfRule>
    <cfRule type="expression" dxfId="1080" priority="578">
      <formula>#REF! = "obiectiv"</formula>
    </cfRule>
  </conditionalFormatting>
  <conditionalFormatting sqref="V1936">
    <cfRule type="expression" dxfId="1079" priority="575">
      <formula>#REF! = "produs"</formula>
    </cfRule>
    <cfRule type="expression" dxfId="1078" priority="576">
      <formula>#REF! = "obiectiv"</formula>
    </cfRule>
  </conditionalFormatting>
  <conditionalFormatting sqref="Q1936:U1936">
    <cfRule type="expression" dxfId="1077" priority="573">
      <formula>#REF! = "produs"</formula>
    </cfRule>
    <cfRule type="expression" dxfId="1076" priority="574">
      <formula>#REF! = "obiectiv"</formula>
    </cfRule>
  </conditionalFormatting>
  <conditionalFormatting sqref="Q1936:U1936">
    <cfRule type="expression" dxfId="1075" priority="571">
      <formula>#REF! = "produs"</formula>
    </cfRule>
    <cfRule type="expression" dxfId="1074" priority="572">
      <formula>#REF! = "obiectiv"</formula>
    </cfRule>
  </conditionalFormatting>
  <conditionalFormatting sqref="V1945 V1947:V1954">
    <cfRule type="expression" dxfId="1073" priority="569">
      <formula>#REF! = "produs"</formula>
    </cfRule>
    <cfRule type="expression" dxfId="1072" priority="570">
      <formula>#REF! = "obiectiv"</formula>
    </cfRule>
  </conditionalFormatting>
  <conditionalFormatting sqref="V1945 V1947:V1954">
    <cfRule type="expression" dxfId="1071" priority="567">
      <formula>#REF! = "produs"</formula>
    </cfRule>
    <cfRule type="expression" dxfId="1070" priority="568">
      <formula>#REF! = "obiectiv"</formula>
    </cfRule>
  </conditionalFormatting>
  <conditionalFormatting sqref="Q1954:U1954">
    <cfRule type="expression" dxfId="1069" priority="565">
      <formula>#REF! = "produs"</formula>
    </cfRule>
    <cfRule type="expression" dxfId="1068" priority="566">
      <formula>#REF! = "obiectiv"</formula>
    </cfRule>
  </conditionalFormatting>
  <conditionalFormatting sqref="Q1947:U1953">
    <cfRule type="expression" dxfId="1067" priority="563">
      <formula>#REF! = "produs"</formula>
    </cfRule>
    <cfRule type="expression" dxfId="1066" priority="564">
      <formula>#REF! = "obiectiv"</formula>
    </cfRule>
  </conditionalFormatting>
  <conditionalFormatting sqref="Q1945:U1945">
    <cfRule type="expression" dxfId="1065" priority="561">
      <formula>#REF! = "produs"</formula>
    </cfRule>
    <cfRule type="expression" dxfId="1064" priority="562">
      <formula>#REF! = "obiectiv"</formula>
    </cfRule>
  </conditionalFormatting>
  <conditionalFormatting sqref="Q1945:U1945 Q1947:U1954">
    <cfRule type="expression" dxfId="1063" priority="559">
      <formula>#REF! = "produs"</formula>
    </cfRule>
    <cfRule type="expression" dxfId="1062" priority="560">
      <formula>#REF! = "obiectiv"</formula>
    </cfRule>
  </conditionalFormatting>
  <conditionalFormatting sqref="Q1951:S1951">
    <cfRule type="expression" dxfId="1061" priority="557">
      <formula>#REF! = "produs"</formula>
    </cfRule>
    <cfRule type="expression" dxfId="1060" priority="558">
      <formula>#REF! = "obiectiv"</formula>
    </cfRule>
  </conditionalFormatting>
  <conditionalFormatting sqref="K1946:K1947 K1949:K1954">
    <cfRule type="expression" dxfId="1059" priority="555">
      <formula>#REF! = "produs"</formula>
    </cfRule>
    <cfRule type="expression" dxfId="1058" priority="556">
      <formula>#REF! = "obiectiv"</formula>
    </cfRule>
  </conditionalFormatting>
  <conditionalFormatting sqref="L1949:P1950 O1951:P1951 L1953:P1954 L1946:P1947">
    <cfRule type="expression" dxfId="1057" priority="553">
      <formula>#REF! = "produs"</formula>
    </cfRule>
    <cfRule type="expression" dxfId="1056" priority="554">
      <formula>#REF! = "obiectiv"</formula>
    </cfRule>
  </conditionalFormatting>
  <conditionalFormatting sqref="L1952:P1952">
    <cfRule type="expression" dxfId="1055" priority="551">
      <formula>#REF! = "produs"</formula>
    </cfRule>
    <cfRule type="expression" dxfId="1054" priority="552">
      <formula>#REF! = "obiectiv"</formula>
    </cfRule>
  </conditionalFormatting>
  <conditionalFormatting sqref="L1951:P1951">
    <cfRule type="expression" dxfId="1053" priority="549">
      <formula>#REF! = "produs"</formula>
    </cfRule>
    <cfRule type="expression" dxfId="1052" priority="550">
      <formula>#REF! = "obiectiv"</formula>
    </cfRule>
  </conditionalFormatting>
  <conditionalFormatting sqref="K1948:P1948">
    <cfRule type="expression" dxfId="1051" priority="547">
      <formula>#REF! = "produs"</formula>
    </cfRule>
    <cfRule type="expression" dxfId="1050" priority="548">
      <formula>#REF! = "obiectiv"</formula>
    </cfRule>
  </conditionalFormatting>
  <conditionalFormatting sqref="K1945:K1954">
    <cfRule type="expression" dxfId="1049" priority="545">
      <formula>#REF! = "produs"</formula>
    </cfRule>
    <cfRule type="expression" dxfId="1048" priority="546">
      <formula>#REF! = "obiectiv"</formula>
    </cfRule>
  </conditionalFormatting>
  <conditionalFormatting sqref="L1945:P1954">
    <cfRule type="expression" dxfId="1047" priority="543">
      <formula>#REF! = "produs"</formula>
    </cfRule>
    <cfRule type="expression" dxfId="1046" priority="544">
      <formula>#REF! = "obiectiv"</formula>
    </cfRule>
  </conditionalFormatting>
  <conditionalFormatting sqref="V1946">
    <cfRule type="expression" dxfId="1045" priority="541">
      <formula>#REF! = "produs"</formula>
    </cfRule>
    <cfRule type="expression" dxfId="1044" priority="542">
      <formula>#REF! = "obiectiv"</formula>
    </cfRule>
  </conditionalFormatting>
  <conditionalFormatting sqref="V1946">
    <cfRule type="expression" dxfId="1043" priority="539">
      <formula>#REF! = "produs"</formula>
    </cfRule>
    <cfRule type="expression" dxfId="1042" priority="540">
      <formula>#REF! = "obiectiv"</formula>
    </cfRule>
  </conditionalFormatting>
  <conditionalFormatting sqref="Q1946:U1946">
    <cfRule type="expression" dxfId="1041" priority="537">
      <formula>#REF! = "produs"</formula>
    </cfRule>
    <cfRule type="expression" dxfId="1040" priority="538">
      <formula>#REF! = "obiectiv"</formula>
    </cfRule>
  </conditionalFormatting>
  <conditionalFormatting sqref="Q1946:U1946">
    <cfRule type="expression" dxfId="1039" priority="535">
      <formula>#REF! = "produs"</formula>
    </cfRule>
    <cfRule type="expression" dxfId="1038" priority="536">
      <formula>#REF! = "obiectiv"</formula>
    </cfRule>
  </conditionalFormatting>
  <conditionalFormatting sqref="V1958:V1965 V1968:V1975">
    <cfRule type="expression" dxfId="1037" priority="533">
      <formula>#REF! = "produs"</formula>
    </cfRule>
    <cfRule type="expression" dxfId="1036" priority="534">
      <formula>#REF! = "obiectiv"</formula>
    </cfRule>
  </conditionalFormatting>
  <conditionalFormatting sqref="V1958:V1965 V1968:V1975">
    <cfRule type="expression" dxfId="1035" priority="531">
      <formula>#REF! = "produs"</formula>
    </cfRule>
    <cfRule type="expression" dxfId="1034" priority="532">
      <formula>#REF! = "obiectiv"</formula>
    </cfRule>
  </conditionalFormatting>
  <conditionalFormatting sqref="J1963">
    <cfRule type="expression" dxfId="1033" priority="521">
      <formula>#REF! = "produs"</formula>
    </cfRule>
    <cfRule type="expression" dxfId="1032" priority="522">
      <formula>#REF! = "obiectiv"</formula>
    </cfRule>
  </conditionalFormatting>
  <conditionalFormatting sqref="J1971">
    <cfRule type="expression" dxfId="1031" priority="495">
      <formula>#REF! = "produs"</formula>
    </cfRule>
    <cfRule type="expression" dxfId="1030" priority="496">
      <formula>#REF! = "obiectiv"</formula>
    </cfRule>
  </conditionalFormatting>
  <conditionalFormatting sqref="J1959">
    <cfRule type="expression" dxfId="1029" priority="511">
      <formula>#REF! = "produs"</formula>
    </cfRule>
    <cfRule type="expression" dxfId="1028" priority="512">
      <formula>#REF! = "obiectiv"</formula>
    </cfRule>
  </conditionalFormatting>
  <conditionalFormatting sqref="J1969">
    <cfRule type="expression" dxfId="1027" priority="491">
      <formula>#REF! = "produs"</formula>
    </cfRule>
    <cfRule type="expression" dxfId="1026" priority="492">
      <formula>#REF! = "obiectiv"</formula>
    </cfRule>
  </conditionalFormatting>
  <conditionalFormatting sqref="J1979">
    <cfRule type="expression" dxfId="1025" priority="471">
      <formula>#REF! = "produs"</formula>
    </cfRule>
    <cfRule type="expression" dxfId="1024" priority="472">
      <formula>#REF! = "obiectiv"</formula>
    </cfRule>
  </conditionalFormatting>
  <conditionalFormatting sqref="J1973">
    <cfRule type="expression" dxfId="1023" priority="501">
      <formula>#REF! = "produs"</formula>
    </cfRule>
    <cfRule type="expression" dxfId="1022" priority="502">
      <formula>#REF! = "obiectiv"</formula>
    </cfRule>
  </conditionalFormatting>
  <conditionalFormatting sqref="J1967 J1974:J1975 J1972 J1970">
    <cfRule type="expression" dxfId="1021" priority="505">
      <formula>#REF! = "produs"</formula>
    </cfRule>
    <cfRule type="expression" dxfId="1020" priority="506">
      <formula>#REF! = "obiectiv"</formula>
    </cfRule>
  </conditionalFormatting>
  <conditionalFormatting sqref="J1981">
    <cfRule type="expression" dxfId="1019" priority="475">
      <formula>#REF! = "produs"</formula>
    </cfRule>
    <cfRule type="expression" dxfId="1018" priority="476">
      <formula>#REF! = "obiectiv"</formula>
    </cfRule>
  </conditionalFormatting>
  <conditionalFormatting sqref="J1977 J1984:J1985 J1982 J1980">
    <cfRule type="expression" dxfId="1017" priority="485">
      <formula>#REF! = "produs"</formula>
    </cfRule>
    <cfRule type="expression" dxfId="1016" priority="486">
      <formula>#REF! = "obiectiv"</formula>
    </cfRule>
  </conditionalFormatting>
  <conditionalFormatting sqref="W1957:IU1958 W1960:IU1965">
    <cfRule type="expression" dxfId="1015" priority="529">
      <formula>#REF! = "produs"</formula>
    </cfRule>
    <cfRule type="expression" dxfId="1014" priority="530">
      <formula>#REF! = "obiectiv"</formula>
    </cfRule>
  </conditionalFormatting>
  <conditionalFormatting sqref="K1957:K1958 K1960:K1965">
    <cfRule type="expression" dxfId="1013" priority="527">
      <formula>#REF! = "produs"</formula>
    </cfRule>
    <cfRule type="expression" dxfId="1012" priority="528">
      <formula>#REF! = "obiectiv"</formula>
    </cfRule>
  </conditionalFormatting>
  <conditionalFormatting sqref="J1957 J1964:J1965 J1962 J1960">
    <cfRule type="expression" dxfId="1011" priority="525">
      <formula>#REF! = "produs"</formula>
    </cfRule>
    <cfRule type="expression" dxfId="1010" priority="526">
      <formula>#REF! = "obiectiv"</formula>
    </cfRule>
  </conditionalFormatting>
  <conditionalFormatting sqref="L1964:P1964 L1960:P1961 P1959:P1963 L1957:P1958 L1965:U1965">
    <cfRule type="expression" dxfId="1009" priority="523">
      <formula>#REF! = "produs"</formula>
    </cfRule>
    <cfRule type="expression" dxfId="1008" priority="524">
      <formula>#REF! = "obiectiv"</formula>
    </cfRule>
  </conditionalFormatting>
  <conditionalFormatting sqref="L1963:P1963">
    <cfRule type="expression" dxfId="1007" priority="519">
      <formula>#REF! = "produs"</formula>
    </cfRule>
    <cfRule type="expression" dxfId="1006" priority="520">
      <formula>#REF! = "obiectiv"</formula>
    </cfRule>
  </conditionalFormatting>
  <conditionalFormatting sqref="L1962:P1962">
    <cfRule type="expression" dxfId="1005" priority="517">
      <formula>#REF! = "produs"</formula>
    </cfRule>
    <cfRule type="expression" dxfId="1004" priority="518">
      <formula>#REF! = "obiectiv"</formula>
    </cfRule>
  </conditionalFormatting>
  <conditionalFormatting sqref="J1961">
    <cfRule type="expression" dxfId="1003" priority="515">
      <formula>#REF! = "produs"</formula>
    </cfRule>
    <cfRule type="expression" dxfId="1002" priority="516">
      <formula>#REF! = "obiectiv"</formula>
    </cfRule>
  </conditionalFormatting>
  <conditionalFormatting sqref="K1959:P1959 W1959:IU1959">
    <cfRule type="expression" dxfId="1001" priority="513">
      <formula>#REF! = "produs"</formula>
    </cfRule>
    <cfRule type="expression" dxfId="1000" priority="514">
      <formula>#REF! = "obiectiv"</formula>
    </cfRule>
  </conditionalFormatting>
  <conditionalFormatting sqref="W1967:IU1968 W1970:IU1975">
    <cfRule type="expression" dxfId="999" priority="509">
      <formula>#REF! = "produs"</formula>
    </cfRule>
    <cfRule type="expression" dxfId="998" priority="510">
      <formula>#REF! = "obiectiv"</formula>
    </cfRule>
  </conditionalFormatting>
  <conditionalFormatting sqref="K1967:K1968 K1970:K1975">
    <cfRule type="expression" dxfId="997" priority="507">
      <formula>#REF! = "produs"</formula>
    </cfRule>
    <cfRule type="expression" dxfId="996" priority="508">
      <formula>#REF! = "obiectiv"</formula>
    </cfRule>
  </conditionalFormatting>
  <conditionalFormatting sqref="L1975:U1975 L1974:P1974 L1967:P1968 L1970:P1971 O1972:P1972">
    <cfRule type="expression" dxfId="995" priority="503">
      <formula>#REF! = "produs"</formula>
    </cfRule>
    <cfRule type="expression" dxfId="994" priority="504">
      <formula>#REF! = "obiectiv"</formula>
    </cfRule>
  </conditionalFormatting>
  <conditionalFormatting sqref="L1973:P1973">
    <cfRule type="expression" dxfId="993" priority="499">
      <formula>#REF! = "produs"</formula>
    </cfRule>
    <cfRule type="expression" dxfId="992" priority="500">
      <formula>#REF! = "obiectiv"</formula>
    </cfRule>
  </conditionalFormatting>
  <conditionalFormatting sqref="L1972:P1972">
    <cfRule type="expression" dxfId="991" priority="497">
      <formula>#REF! = "produs"</formula>
    </cfRule>
    <cfRule type="expression" dxfId="990" priority="498">
      <formula>#REF! = "obiectiv"</formula>
    </cfRule>
  </conditionalFormatting>
  <conditionalFormatting sqref="K1969:P1969 W1969:IU1969">
    <cfRule type="expression" dxfId="989" priority="493">
      <formula>#REF! = "produs"</formula>
    </cfRule>
    <cfRule type="expression" dxfId="988" priority="494">
      <formula>#REF! = "obiectiv"</formula>
    </cfRule>
  </conditionalFormatting>
  <conditionalFormatting sqref="W1977:IU1978 W1980:IU1985">
    <cfRule type="expression" dxfId="987" priority="489">
      <formula>#REF! = "produs"</formula>
    </cfRule>
    <cfRule type="expression" dxfId="986" priority="490">
      <formula>#REF! = "obiectiv"</formula>
    </cfRule>
  </conditionalFormatting>
  <conditionalFormatting sqref="K1977:K1978 K1980:K1985">
    <cfRule type="expression" dxfId="985" priority="487">
      <formula>#REF! = "produs"</formula>
    </cfRule>
    <cfRule type="expression" dxfId="984" priority="488">
      <formula>#REF! = "obiectiv"</formula>
    </cfRule>
  </conditionalFormatting>
  <conditionalFormatting sqref="L1984:P1985 L1977:P1978 L1980:P1981">
    <cfRule type="expression" dxfId="983" priority="483">
      <formula>#REF! = "produs"</formula>
    </cfRule>
    <cfRule type="expression" dxfId="982" priority="484">
      <formula>#REF! = "obiectiv"</formula>
    </cfRule>
  </conditionalFormatting>
  <conditionalFormatting sqref="J1983">
    <cfRule type="expression" dxfId="981" priority="481">
      <formula>#REF! = "produs"</formula>
    </cfRule>
    <cfRule type="expression" dxfId="980" priority="482">
      <formula>#REF! = "obiectiv"</formula>
    </cfRule>
  </conditionalFormatting>
  <conditionalFormatting sqref="L1983:P1983">
    <cfRule type="expression" dxfId="979" priority="479">
      <formula>#REF! = "produs"</formula>
    </cfRule>
    <cfRule type="expression" dxfId="978" priority="480">
      <formula>#REF! = "obiectiv"</formula>
    </cfRule>
  </conditionalFormatting>
  <conditionalFormatting sqref="L1982:P1982">
    <cfRule type="expression" dxfId="977" priority="477">
      <formula>#REF! = "produs"</formula>
    </cfRule>
    <cfRule type="expression" dxfId="976" priority="478">
      <formula>#REF! = "obiectiv"</formula>
    </cfRule>
  </conditionalFormatting>
  <conditionalFormatting sqref="K1979:P1979 W1979:IU1979">
    <cfRule type="expression" dxfId="975" priority="473">
      <formula>#REF! = "produs"</formula>
    </cfRule>
    <cfRule type="expression" dxfId="974" priority="474">
      <formula>#REF! = "obiectiv"</formula>
    </cfRule>
  </conditionalFormatting>
  <conditionalFormatting sqref="J1976 J1966 J1956">
    <cfRule type="expression" dxfId="973" priority="469">
      <formula>#REF! = "produs"</formula>
    </cfRule>
    <cfRule type="expression" dxfId="972" priority="470">
      <formula>#REF! = "obiectiv"</formula>
    </cfRule>
  </conditionalFormatting>
  <conditionalFormatting sqref="Q1968:U1974">
    <cfRule type="expression" dxfId="971" priority="465">
      <formula>#REF! = "produs"</formula>
    </cfRule>
    <cfRule type="expression" dxfId="970" priority="466">
      <formula>#REF! = "obiectiv"</formula>
    </cfRule>
  </conditionalFormatting>
  <conditionalFormatting sqref="Q1958:U1964">
    <cfRule type="expression" dxfId="969" priority="467">
      <formula>#REF! = "produs"</formula>
    </cfRule>
    <cfRule type="expression" dxfId="968" priority="468">
      <formula>#REF! = "obiectiv"</formula>
    </cfRule>
  </conditionalFormatting>
  <conditionalFormatting sqref="G1956">
    <cfRule type="expression" dxfId="967" priority="463">
      <formula>#REF! = "produs"</formula>
    </cfRule>
    <cfRule type="expression" dxfId="966" priority="464">
      <formula>#REF! = "obiectiv"</formula>
    </cfRule>
  </conditionalFormatting>
  <conditionalFormatting sqref="G1966">
    <cfRule type="expression" dxfId="965" priority="461">
      <formula>#REF! = "produs"</formula>
    </cfRule>
    <cfRule type="expression" dxfId="964" priority="462">
      <formula>#REF! = "obiectiv"</formula>
    </cfRule>
  </conditionalFormatting>
  <conditionalFormatting sqref="G1976">
    <cfRule type="expression" dxfId="963" priority="459">
      <formula>#REF! = "produs"</formula>
    </cfRule>
    <cfRule type="expression" dxfId="962" priority="460">
      <formula>#REF! = "obiectiv"</formula>
    </cfRule>
  </conditionalFormatting>
  <conditionalFormatting sqref="J1956:J1957 J1959:J1967 J1969:J1977 J1979:J1985">
    <cfRule type="expression" dxfId="961" priority="453">
      <formula>#REF! = "produs"</formula>
    </cfRule>
    <cfRule type="expression" dxfId="960" priority="454">
      <formula>#REF! = "obiectiv"</formula>
    </cfRule>
  </conditionalFormatting>
  <conditionalFormatting sqref="W1956:IU1985">
    <cfRule type="expression" dxfId="959" priority="457">
      <formula>#REF! = "produs"</formula>
    </cfRule>
    <cfRule type="expression" dxfId="958" priority="458">
      <formula>#REF! = "obiectiv"</formula>
    </cfRule>
  </conditionalFormatting>
  <conditionalFormatting sqref="K1956:K1985">
    <cfRule type="expression" dxfId="957" priority="455">
      <formula>#REF! = "produs"</formula>
    </cfRule>
    <cfRule type="expression" dxfId="956" priority="456">
      <formula>#REF! = "obiectiv"</formula>
    </cfRule>
  </conditionalFormatting>
  <conditionalFormatting sqref="L1966:P1967 L1956:P1957 L1958:U1965 L1968:U1975 L1976:P1985">
    <cfRule type="expression" dxfId="955" priority="451">
      <formula>#REF! = "produs"</formula>
    </cfRule>
    <cfRule type="expression" dxfId="954" priority="452">
      <formula>#REF! = "obiectiv"</formula>
    </cfRule>
  </conditionalFormatting>
  <conditionalFormatting sqref="J1978 J1968 J1958">
    <cfRule type="expression" dxfId="953" priority="449">
      <formula>#REF! = "produs"</formula>
    </cfRule>
    <cfRule type="expression" dxfId="952" priority="450">
      <formula>#REF! = "obiectiv"</formula>
    </cfRule>
  </conditionalFormatting>
  <conditionalFormatting sqref="R1972">
    <cfRule type="expression" dxfId="951" priority="447">
      <formula>#REF! = "produs"</formula>
    </cfRule>
    <cfRule type="expression" dxfId="950" priority="448">
      <formula>#REF! = "obiectiv"</formula>
    </cfRule>
  </conditionalFormatting>
  <conditionalFormatting sqref="Q1962:U1962">
    <cfRule type="expression" dxfId="949" priority="445">
      <formula>#REF! = "produs"</formula>
    </cfRule>
    <cfRule type="expression" dxfId="948" priority="446">
      <formula>#REF! = "obiectiv"</formula>
    </cfRule>
  </conditionalFormatting>
  <conditionalFormatting sqref="H1956">
    <cfRule type="expression" dxfId="947" priority="443">
      <formula>#REF! = "produs"</formula>
    </cfRule>
    <cfRule type="expression" dxfId="946" priority="444">
      <formula>#REF! = "obiectiv"</formula>
    </cfRule>
  </conditionalFormatting>
  <conditionalFormatting sqref="H1966">
    <cfRule type="expression" dxfId="945" priority="441">
      <formula>#REF! = "produs"</formula>
    </cfRule>
    <cfRule type="expression" dxfId="944" priority="442">
      <formula>#REF! = "obiectiv"</formula>
    </cfRule>
  </conditionalFormatting>
  <conditionalFormatting sqref="H1976">
    <cfRule type="expression" dxfId="943" priority="439">
      <formula>#REF! = "produs"</formula>
    </cfRule>
    <cfRule type="expression" dxfId="942" priority="440">
      <formula>#REF! = "obiectiv"</formula>
    </cfRule>
  </conditionalFormatting>
  <conditionalFormatting sqref="V1956">
    <cfRule type="expression" dxfId="941" priority="437">
      <formula>#REF! = "produs"</formula>
    </cfRule>
    <cfRule type="expression" dxfId="940" priority="438">
      <formula>#REF! = "obiectiv"</formula>
    </cfRule>
  </conditionalFormatting>
  <conditionalFormatting sqref="V1956">
    <cfRule type="expression" dxfId="939" priority="435">
      <formula>#REF! = "produs"</formula>
    </cfRule>
    <cfRule type="expression" dxfId="938" priority="436">
      <formula>#REF! = "obiectiv"</formula>
    </cfRule>
  </conditionalFormatting>
  <conditionalFormatting sqref="Q1956:U1956">
    <cfRule type="expression" dxfId="937" priority="433">
      <formula>#REF! = "produs"</formula>
    </cfRule>
    <cfRule type="expression" dxfId="936" priority="434">
      <formula>#REF! = "obiectiv"</formula>
    </cfRule>
  </conditionalFormatting>
  <conditionalFormatting sqref="Q1956:U1956">
    <cfRule type="expression" dxfId="935" priority="431">
      <formula>#REF! = "produs"</formula>
    </cfRule>
    <cfRule type="expression" dxfId="934" priority="432">
      <formula>#REF! = "obiectiv"</formula>
    </cfRule>
  </conditionalFormatting>
  <conditionalFormatting sqref="V1957">
    <cfRule type="expression" dxfId="933" priority="429">
      <formula>#REF! = "produs"</formula>
    </cfRule>
    <cfRule type="expression" dxfId="932" priority="430">
      <formula>#REF! = "obiectiv"</formula>
    </cfRule>
  </conditionalFormatting>
  <conditionalFormatting sqref="V1957">
    <cfRule type="expression" dxfId="931" priority="427">
      <formula>#REF! = "produs"</formula>
    </cfRule>
    <cfRule type="expression" dxfId="930" priority="428">
      <formula>#REF! = "obiectiv"</formula>
    </cfRule>
  </conditionalFormatting>
  <conditionalFormatting sqref="Q1957:U1957">
    <cfRule type="expression" dxfId="929" priority="425">
      <formula>#REF! = "produs"</formula>
    </cfRule>
    <cfRule type="expression" dxfId="928" priority="426">
      <formula>#REF! = "obiectiv"</formula>
    </cfRule>
  </conditionalFormatting>
  <conditionalFormatting sqref="Q1957:U1957">
    <cfRule type="expression" dxfId="927" priority="423">
      <formula>#REF! = "produs"</formula>
    </cfRule>
    <cfRule type="expression" dxfId="926" priority="424">
      <formula>#REF! = "obiectiv"</formula>
    </cfRule>
  </conditionalFormatting>
  <conditionalFormatting sqref="V1966">
    <cfRule type="expression" dxfId="925" priority="421">
      <formula>#REF! = "produs"</formula>
    </cfRule>
    <cfRule type="expression" dxfId="924" priority="422">
      <formula>#REF! = "obiectiv"</formula>
    </cfRule>
  </conditionalFormatting>
  <conditionalFormatting sqref="V1966">
    <cfRule type="expression" dxfId="923" priority="419">
      <formula>#REF! = "produs"</formula>
    </cfRule>
    <cfRule type="expression" dxfId="922" priority="420">
      <formula>#REF! = "obiectiv"</formula>
    </cfRule>
  </conditionalFormatting>
  <conditionalFormatting sqref="Q1966:U1966">
    <cfRule type="expression" dxfId="921" priority="417">
      <formula>#REF! = "produs"</formula>
    </cfRule>
    <cfRule type="expression" dxfId="920" priority="418">
      <formula>#REF! = "obiectiv"</formula>
    </cfRule>
  </conditionalFormatting>
  <conditionalFormatting sqref="Q1966:U1966">
    <cfRule type="expression" dxfId="919" priority="415">
      <formula>#REF! = "produs"</formula>
    </cfRule>
    <cfRule type="expression" dxfId="918" priority="416">
      <formula>#REF! = "obiectiv"</formula>
    </cfRule>
  </conditionalFormatting>
  <conditionalFormatting sqref="V1967">
    <cfRule type="expression" dxfId="917" priority="413">
      <formula>#REF! = "produs"</formula>
    </cfRule>
    <cfRule type="expression" dxfId="916" priority="414">
      <formula>#REF! = "obiectiv"</formula>
    </cfRule>
  </conditionalFormatting>
  <conditionalFormatting sqref="V1967">
    <cfRule type="expression" dxfId="915" priority="411">
      <formula>#REF! = "produs"</formula>
    </cfRule>
    <cfRule type="expression" dxfId="914" priority="412">
      <formula>#REF! = "obiectiv"</formula>
    </cfRule>
  </conditionalFormatting>
  <conditionalFormatting sqref="Q1967:U1967">
    <cfRule type="expression" dxfId="913" priority="409">
      <formula>#REF! = "produs"</formula>
    </cfRule>
    <cfRule type="expression" dxfId="912" priority="410">
      <formula>#REF! = "obiectiv"</formula>
    </cfRule>
  </conditionalFormatting>
  <conditionalFormatting sqref="Q1967:U1967">
    <cfRule type="expression" dxfId="911" priority="407">
      <formula>#REF! = "produs"</formula>
    </cfRule>
    <cfRule type="expression" dxfId="910" priority="408">
      <formula>#REF! = "obiectiv"</formula>
    </cfRule>
  </conditionalFormatting>
  <conditionalFormatting sqref="V1978:V1985">
    <cfRule type="expression" dxfId="909" priority="405">
      <formula>#REF! = "produs"</formula>
    </cfRule>
    <cfRule type="expression" dxfId="908" priority="406">
      <formula>#REF! = "obiectiv"</formula>
    </cfRule>
  </conditionalFormatting>
  <conditionalFormatting sqref="V1978:V1985">
    <cfRule type="expression" dxfId="907" priority="403">
      <formula>#REF! = "produs"</formula>
    </cfRule>
    <cfRule type="expression" dxfId="906" priority="404">
      <formula>#REF! = "obiectiv"</formula>
    </cfRule>
  </conditionalFormatting>
  <conditionalFormatting sqref="Q1985:U1985">
    <cfRule type="expression" dxfId="905" priority="401">
      <formula>#REF! = "produs"</formula>
    </cfRule>
    <cfRule type="expression" dxfId="904" priority="402">
      <formula>#REF! = "obiectiv"</formula>
    </cfRule>
  </conditionalFormatting>
  <conditionalFormatting sqref="Q1978:U1984">
    <cfRule type="expression" dxfId="903" priority="399">
      <formula>#REF! = "produs"</formula>
    </cfRule>
    <cfRule type="expression" dxfId="902" priority="400">
      <formula>#REF! = "obiectiv"</formula>
    </cfRule>
  </conditionalFormatting>
  <conditionalFormatting sqref="Q1978:U1985">
    <cfRule type="expression" dxfId="901" priority="397">
      <formula>#REF! = "produs"</formula>
    </cfRule>
    <cfRule type="expression" dxfId="900" priority="398">
      <formula>#REF! = "obiectiv"</formula>
    </cfRule>
  </conditionalFormatting>
  <conditionalFormatting sqref="R1982">
    <cfRule type="expression" dxfId="899" priority="395">
      <formula>#REF! = "produs"</formula>
    </cfRule>
    <cfRule type="expression" dxfId="898" priority="396">
      <formula>#REF! = "obiectiv"</formula>
    </cfRule>
  </conditionalFormatting>
  <conditionalFormatting sqref="V1976">
    <cfRule type="expression" dxfId="897" priority="393">
      <formula>#REF! = "produs"</formula>
    </cfRule>
    <cfRule type="expression" dxfId="896" priority="394">
      <formula>#REF! = "obiectiv"</formula>
    </cfRule>
  </conditionalFormatting>
  <conditionalFormatting sqref="V1976">
    <cfRule type="expression" dxfId="895" priority="391">
      <formula>#REF! = "produs"</formula>
    </cfRule>
    <cfRule type="expression" dxfId="894" priority="392">
      <formula>#REF! = "obiectiv"</formula>
    </cfRule>
  </conditionalFormatting>
  <conditionalFormatting sqref="Q1976:U1976">
    <cfRule type="expression" dxfId="893" priority="389">
      <formula>#REF! = "produs"</formula>
    </cfRule>
    <cfRule type="expression" dxfId="892" priority="390">
      <formula>#REF! = "obiectiv"</formula>
    </cfRule>
  </conditionalFormatting>
  <conditionalFormatting sqref="Q1976:U1976">
    <cfRule type="expression" dxfId="891" priority="387">
      <formula>#REF! = "produs"</formula>
    </cfRule>
    <cfRule type="expression" dxfId="890" priority="388">
      <formula>#REF! = "obiectiv"</formula>
    </cfRule>
  </conditionalFormatting>
  <conditionalFormatting sqref="V1977">
    <cfRule type="expression" dxfId="889" priority="385">
      <formula>#REF! = "produs"</formula>
    </cfRule>
    <cfRule type="expression" dxfId="888" priority="386">
      <formula>#REF! = "obiectiv"</formula>
    </cfRule>
  </conditionalFormatting>
  <conditionalFormatting sqref="V1977">
    <cfRule type="expression" dxfId="887" priority="383">
      <formula>#REF! = "produs"</formula>
    </cfRule>
    <cfRule type="expression" dxfId="886" priority="384">
      <formula>#REF! = "obiectiv"</formula>
    </cfRule>
  </conditionalFormatting>
  <conditionalFormatting sqref="Q1977:U1977">
    <cfRule type="expression" dxfId="885" priority="381">
      <formula>#REF! = "produs"</formula>
    </cfRule>
    <cfRule type="expression" dxfId="884" priority="382">
      <formula>#REF! = "obiectiv"</formula>
    </cfRule>
  </conditionalFormatting>
  <conditionalFormatting sqref="Q1977:U1977">
    <cfRule type="expression" dxfId="883" priority="379">
      <formula>#REF! = "produs"</formula>
    </cfRule>
    <cfRule type="expression" dxfId="882" priority="380">
      <formula>#REF! = "obiectiv"</formula>
    </cfRule>
  </conditionalFormatting>
  <conditionalFormatting sqref="W2001:IU2006 K2001:K2006">
    <cfRule type="expression" dxfId="881" priority="377">
      <formula>#REF! = "produs"</formula>
    </cfRule>
    <cfRule type="expression" dxfId="880" priority="378">
      <formula>#REF! = "obiectiv"</formula>
    </cfRule>
  </conditionalFormatting>
  <conditionalFormatting sqref="J2005:J2006">
    <cfRule type="expression" dxfId="879" priority="375">
      <formula>#REF! = "produs"</formula>
    </cfRule>
    <cfRule type="expression" dxfId="878" priority="376">
      <formula>#REF! = "obiectiv"</formula>
    </cfRule>
  </conditionalFormatting>
  <conditionalFormatting sqref="J1998 J2003 J2001">
    <cfRule type="expression" dxfId="877" priority="355">
      <formula>#REF! = "produs"</formula>
    </cfRule>
    <cfRule type="expression" dxfId="876" priority="356">
      <formula>#REF! = "obiectiv"</formula>
    </cfRule>
  </conditionalFormatting>
  <conditionalFormatting sqref="J1990">
    <cfRule type="expression" dxfId="875" priority="361">
      <formula>#REF! = "produs"</formula>
    </cfRule>
    <cfRule type="expression" dxfId="874" priority="362">
      <formula>#REF! = "obiectiv"</formula>
    </cfRule>
  </conditionalFormatting>
  <conditionalFormatting sqref="J2000">
    <cfRule type="expression" dxfId="873" priority="347">
      <formula>#REF! = "produs"</formula>
    </cfRule>
    <cfRule type="expression" dxfId="872" priority="348">
      <formula>#REF! = "obiectiv"</formula>
    </cfRule>
  </conditionalFormatting>
  <conditionalFormatting sqref="J1992">
    <cfRule type="expression" dxfId="871" priority="365">
      <formula>#REF! = "produs"</formula>
    </cfRule>
    <cfRule type="expression" dxfId="870" priority="366">
      <formula>#REF! = "obiectiv"</formula>
    </cfRule>
  </conditionalFormatting>
  <conditionalFormatting sqref="J2002">
    <cfRule type="expression" dxfId="869" priority="351">
      <formula>#REF! = "produs"</formula>
    </cfRule>
    <cfRule type="expression" dxfId="868" priority="352">
      <formula>#REF! = "obiectiv"</formula>
    </cfRule>
  </conditionalFormatting>
  <conditionalFormatting sqref="W1988:IU1989 W1991:IU1996">
    <cfRule type="expression" dxfId="867" priority="373">
      <formula>#REF! = "produs"</formula>
    </cfRule>
    <cfRule type="expression" dxfId="866" priority="374">
      <formula>#REF! = "obiectiv"</formula>
    </cfRule>
  </conditionalFormatting>
  <conditionalFormatting sqref="K1988:K1989 K1991:K1996">
    <cfRule type="expression" dxfId="865" priority="371">
      <formula>#REF! = "produs"</formula>
    </cfRule>
    <cfRule type="expression" dxfId="864" priority="372">
      <formula>#REF! = "obiectiv"</formula>
    </cfRule>
  </conditionalFormatting>
  <conditionalFormatting sqref="J1988 J1995:J1996 J1993 J1991">
    <cfRule type="expression" dxfId="863" priority="369">
      <formula>#REF! = "produs"</formula>
    </cfRule>
    <cfRule type="expression" dxfId="862" priority="370">
      <formula>#REF! = "obiectiv"</formula>
    </cfRule>
  </conditionalFormatting>
  <conditionalFormatting sqref="J1994">
    <cfRule type="expression" dxfId="861" priority="367">
      <formula>#REF! = "produs"</formula>
    </cfRule>
    <cfRule type="expression" dxfId="860" priority="368">
      <formula>#REF! = "obiectiv"</formula>
    </cfRule>
  </conditionalFormatting>
  <conditionalFormatting sqref="K1990 W1990:IU1990">
    <cfRule type="expression" dxfId="859" priority="363">
      <formula>#REF! = "produs"</formula>
    </cfRule>
    <cfRule type="expression" dxfId="858" priority="364">
      <formula>#REF! = "obiectiv"</formula>
    </cfRule>
  </conditionalFormatting>
  <conditionalFormatting sqref="W1998:IU1999">
    <cfRule type="expression" dxfId="857" priority="359">
      <formula>#REF! = "produs"</formula>
    </cfRule>
    <cfRule type="expression" dxfId="856" priority="360">
      <formula>#REF! = "obiectiv"</formula>
    </cfRule>
  </conditionalFormatting>
  <conditionalFormatting sqref="K1998:K1999">
    <cfRule type="expression" dxfId="855" priority="357">
      <formula>#REF! = "produs"</formula>
    </cfRule>
    <cfRule type="expression" dxfId="854" priority="358">
      <formula>#REF! = "obiectiv"</formula>
    </cfRule>
  </conditionalFormatting>
  <conditionalFormatting sqref="J2004">
    <cfRule type="expression" dxfId="853" priority="353">
      <formula>#REF! = "produs"</formula>
    </cfRule>
    <cfRule type="expression" dxfId="852" priority="354">
      <formula>#REF! = "obiectiv"</formula>
    </cfRule>
  </conditionalFormatting>
  <conditionalFormatting sqref="K2000 W2000:IU2000">
    <cfRule type="expression" dxfId="851" priority="349">
      <formula>#REF! = "produs"</formula>
    </cfRule>
    <cfRule type="expression" dxfId="850" priority="350">
      <formula>#REF! = "obiectiv"</formula>
    </cfRule>
  </conditionalFormatting>
  <conditionalFormatting sqref="J1997 J1987">
    <cfRule type="expression" dxfId="849" priority="345">
      <formula>#REF! = "produs"</formula>
    </cfRule>
    <cfRule type="expression" dxfId="848" priority="346">
      <formula>#REF! = "obiectiv"</formula>
    </cfRule>
  </conditionalFormatting>
  <conditionalFormatting sqref="H1987">
    <cfRule type="expression" dxfId="847" priority="339">
      <formula>#REF! = "produs"</formula>
    </cfRule>
    <cfRule type="expression" dxfId="846" priority="340">
      <formula>#REF! = "obiectiv"</formula>
    </cfRule>
  </conditionalFormatting>
  <conditionalFormatting sqref="G1987">
    <cfRule type="expression" dxfId="845" priority="343">
      <formula>#REF! = "produs"</formula>
    </cfRule>
    <cfRule type="expression" dxfId="844" priority="344">
      <formula>#REF! = "obiectiv"</formula>
    </cfRule>
  </conditionalFormatting>
  <conditionalFormatting sqref="G1997">
    <cfRule type="expression" dxfId="843" priority="341">
      <formula>#REF! = "produs"</formula>
    </cfRule>
    <cfRule type="expression" dxfId="842" priority="342">
      <formula>#REF! = "obiectiv"</formula>
    </cfRule>
  </conditionalFormatting>
  <conditionalFormatting sqref="J1987:J1988 J1990:J1998 J2000:J2006">
    <cfRule type="expression" dxfId="841" priority="333">
      <formula>#REF! = "produs"</formula>
    </cfRule>
    <cfRule type="expression" dxfId="840" priority="334">
      <formula>#REF! = "obiectiv"</formula>
    </cfRule>
  </conditionalFormatting>
  <conditionalFormatting sqref="W1987:IU2006">
    <cfRule type="expression" dxfId="839" priority="337">
      <formula>#REF! = "produs"</formula>
    </cfRule>
    <cfRule type="expression" dxfId="838" priority="338">
      <formula>#REF! = "obiectiv"</formula>
    </cfRule>
  </conditionalFormatting>
  <conditionalFormatting sqref="K1987:K2006">
    <cfRule type="expression" dxfId="837" priority="335">
      <formula>#REF! = "produs"</formula>
    </cfRule>
    <cfRule type="expression" dxfId="836" priority="336">
      <formula>#REF! = "obiectiv"</formula>
    </cfRule>
  </conditionalFormatting>
  <conditionalFormatting sqref="J1999 J1989">
    <cfRule type="expression" dxfId="835" priority="331">
      <formula>#REF! = "produs"</formula>
    </cfRule>
    <cfRule type="expression" dxfId="834" priority="332">
      <formula>#REF! = "obiectiv"</formula>
    </cfRule>
  </conditionalFormatting>
  <conditionalFormatting sqref="V1987 V1989:V1996">
    <cfRule type="expression" dxfId="833" priority="329">
      <formula>#REF! = "produs"</formula>
    </cfRule>
    <cfRule type="expression" dxfId="832" priority="330">
      <formula>#REF! = "obiectiv"</formula>
    </cfRule>
  </conditionalFormatting>
  <conditionalFormatting sqref="V1987 V1989:V1996">
    <cfRule type="expression" dxfId="831" priority="327">
      <formula>#REF! = "produs"</formula>
    </cfRule>
    <cfRule type="expression" dxfId="830" priority="328">
      <formula>#REF! = "obiectiv"</formula>
    </cfRule>
  </conditionalFormatting>
  <conditionalFormatting sqref="Q1996:U1996">
    <cfRule type="expression" dxfId="829" priority="325">
      <formula>#REF! = "produs"</formula>
    </cfRule>
    <cfRule type="expression" dxfId="828" priority="326">
      <formula>#REF! = "obiectiv"</formula>
    </cfRule>
  </conditionalFormatting>
  <conditionalFormatting sqref="Q1989:U1995">
    <cfRule type="expression" dxfId="827" priority="323">
      <formula>#REF! = "produs"</formula>
    </cfRule>
    <cfRule type="expression" dxfId="826" priority="324">
      <formula>#REF! = "obiectiv"</formula>
    </cfRule>
  </conditionalFormatting>
  <conditionalFormatting sqref="Q1987:U1987">
    <cfRule type="expression" dxfId="825" priority="321">
      <formula>#REF! = "produs"</formula>
    </cfRule>
    <cfRule type="expression" dxfId="824" priority="322">
      <formula>#REF! = "obiectiv"</formula>
    </cfRule>
  </conditionalFormatting>
  <conditionalFormatting sqref="Q1987:U1987 Q1989:U1996">
    <cfRule type="expression" dxfId="823" priority="319">
      <formula>#REF! = "produs"</formula>
    </cfRule>
    <cfRule type="expression" dxfId="822" priority="320">
      <formula>#REF! = "obiectiv"</formula>
    </cfRule>
  </conditionalFormatting>
  <conditionalFormatting sqref="Q1993:S1993">
    <cfRule type="expression" dxfId="821" priority="317">
      <formula>#REF! = "produs"</formula>
    </cfRule>
    <cfRule type="expression" dxfId="820" priority="318">
      <formula>#REF! = "obiectiv"</formula>
    </cfRule>
  </conditionalFormatting>
  <conditionalFormatting sqref="L1991:P1992 O1993:P1993 L1995:P1996 L1988:P1989">
    <cfRule type="expression" dxfId="819" priority="315">
      <formula>#REF! = "produs"</formula>
    </cfRule>
    <cfRule type="expression" dxfId="818" priority="316">
      <formula>#REF! = "obiectiv"</formula>
    </cfRule>
  </conditionalFormatting>
  <conditionalFormatting sqref="L1994:P1994">
    <cfRule type="expression" dxfId="817" priority="313">
      <formula>#REF! = "produs"</formula>
    </cfRule>
    <cfRule type="expression" dxfId="816" priority="314">
      <formula>#REF! = "obiectiv"</formula>
    </cfRule>
  </conditionalFormatting>
  <conditionalFormatting sqref="L1993:P1993">
    <cfRule type="expression" dxfId="815" priority="311">
      <formula>#REF! = "produs"</formula>
    </cfRule>
    <cfRule type="expression" dxfId="814" priority="312">
      <formula>#REF! = "obiectiv"</formula>
    </cfRule>
  </conditionalFormatting>
  <conditionalFormatting sqref="L1990:P1990">
    <cfRule type="expression" dxfId="813" priority="309">
      <formula>#REF! = "produs"</formula>
    </cfRule>
    <cfRule type="expression" dxfId="812" priority="310">
      <formula>#REF! = "obiectiv"</formula>
    </cfRule>
  </conditionalFormatting>
  <conditionalFormatting sqref="L1987:P1996">
    <cfRule type="expression" dxfId="811" priority="307">
      <formula>#REF! = "produs"</formula>
    </cfRule>
    <cfRule type="expression" dxfId="810" priority="308">
      <formula>#REF! = "obiectiv"</formula>
    </cfRule>
  </conditionalFormatting>
  <conditionalFormatting sqref="V1988">
    <cfRule type="expression" dxfId="809" priority="305">
      <formula>#REF! = "produs"</formula>
    </cfRule>
    <cfRule type="expression" dxfId="808" priority="306">
      <formula>#REF! = "obiectiv"</formula>
    </cfRule>
  </conditionalFormatting>
  <conditionalFormatting sqref="V1988">
    <cfRule type="expression" dxfId="807" priority="303">
      <formula>#REF! = "produs"</formula>
    </cfRule>
    <cfRule type="expression" dxfId="806" priority="304">
      <formula>#REF! = "obiectiv"</formula>
    </cfRule>
  </conditionalFormatting>
  <conditionalFormatting sqref="Q1988:U1988">
    <cfRule type="expression" dxfId="805" priority="301">
      <formula>#REF! = "produs"</formula>
    </cfRule>
    <cfRule type="expression" dxfId="804" priority="302">
      <formula>#REF! = "obiectiv"</formula>
    </cfRule>
  </conditionalFormatting>
  <conditionalFormatting sqref="Q1988:U1988">
    <cfRule type="expression" dxfId="803" priority="299">
      <formula>#REF! = "produs"</formula>
    </cfRule>
    <cfRule type="expression" dxfId="802" priority="300">
      <formula>#REF! = "obiectiv"</formula>
    </cfRule>
  </conditionalFormatting>
  <conditionalFormatting sqref="H1997">
    <cfRule type="expression" dxfId="801" priority="297">
      <formula>#REF! = "produs"</formula>
    </cfRule>
    <cfRule type="expression" dxfId="800" priority="298">
      <formula>#REF! = "obiectiv"</formula>
    </cfRule>
  </conditionalFormatting>
  <conditionalFormatting sqref="V1997 V1999:V2006">
    <cfRule type="expression" dxfId="799" priority="295">
      <formula>#REF! = "produs"</formula>
    </cfRule>
    <cfRule type="expression" dxfId="798" priority="296">
      <formula>#REF! = "obiectiv"</formula>
    </cfRule>
  </conditionalFormatting>
  <conditionalFormatting sqref="V1997 V1999:V2006">
    <cfRule type="expression" dxfId="797" priority="293">
      <formula>#REF! = "produs"</formula>
    </cfRule>
    <cfRule type="expression" dxfId="796" priority="294">
      <formula>#REF! = "obiectiv"</formula>
    </cfRule>
  </conditionalFormatting>
  <conditionalFormatting sqref="Q2006:U2006">
    <cfRule type="expression" dxfId="795" priority="291">
      <formula>#REF! = "produs"</formula>
    </cfRule>
    <cfRule type="expression" dxfId="794" priority="292">
      <formula>#REF! = "obiectiv"</formula>
    </cfRule>
  </conditionalFormatting>
  <conditionalFormatting sqref="Q1999:U2005">
    <cfRule type="expression" dxfId="793" priority="289">
      <formula>#REF! = "produs"</formula>
    </cfRule>
    <cfRule type="expression" dxfId="792" priority="290">
      <formula>#REF! = "obiectiv"</formula>
    </cfRule>
  </conditionalFormatting>
  <conditionalFormatting sqref="Q1997:U1997">
    <cfRule type="expression" dxfId="791" priority="287">
      <formula>#REF! = "produs"</formula>
    </cfRule>
    <cfRule type="expression" dxfId="790" priority="288">
      <formula>#REF! = "obiectiv"</formula>
    </cfRule>
  </conditionalFormatting>
  <conditionalFormatting sqref="Q1997:U1997 Q1999:U2006">
    <cfRule type="expression" dxfId="789" priority="285">
      <formula>#REF! = "produs"</formula>
    </cfRule>
    <cfRule type="expression" dxfId="788" priority="286">
      <formula>#REF! = "obiectiv"</formula>
    </cfRule>
  </conditionalFormatting>
  <conditionalFormatting sqref="Q2003:S2003">
    <cfRule type="expression" dxfId="787" priority="283">
      <formula>#REF! = "produs"</formula>
    </cfRule>
    <cfRule type="expression" dxfId="786" priority="284">
      <formula>#REF! = "obiectiv"</formula>
    </cfRule>
  </conditionalFormatting>
  <conditionalFormatting sqref="L2005:P2006 L1998:P1998">
    <cfRule type="expression" dxfId="785" priority="281">
      <formula>#REF! = "produs"</formula>
    </cfRule>
    <cfRule type="expression" dxfId="784" priority="282">
      <formula>#REF! = "obiectiv"</formula>
    </cfRule>
  </conditionalFormatting>
  <conditionalFormatting sqref="V1998">
    <cfRule type="expression" dxfId="783" priority="269">
      <formula>#REF! = "produs"</formula>
    </cfRule>
    <cfRule type="expression" dxfId="782" priority="270">
      <formula>#REF! = "obiectiv"</formula>
    </cfRule>
  </conditionalFormatting>
  <conditionalFormatting sqref="Q1998:U1998">
    <cfRule type="expression" dxfId="781" priority="267">
      <formula>#REF! = "produs"</formula>
    </cfRule>
    <cfRule type="expression" dxfId="780" priority="268">
      <formula>#REF! = "obiectiv"</formula>
    </cfRule>
  </conditionalFormatting>
  <conditionalFormatting sqref="Q1998:U1998">
    <cfRule type="expression" dxfId="779" priority="265">
      <formula>#REF! = "produs"</formula>
    </cfRule>
    <cfRule type="expression" dxfId="778" priority="266">
      <formula>#REF! = "obiectiv"</formula>
    </cfRule>
  </conditionalFormatting>
  <conditionalFormatting sqref="L1997:P1998 L2005:P2006">
    <cfRule type="expression" dxfId="777" priority="273">
      <formula>#REF! = "produs"</formula>
    </cfRule>
    <cfRule type="expression" dxfId="776" priority="274">
      <formula>#REF! = "obiectiv"</formula>
    </cfRule>
  </conditionalFormatting>
  <conditionalFormatting sqref="V1998">
    <cfRule type="expression" dxfId="775" priority="271">
      <formula>#REF! = "produs"</formula>
    </cfRule>
    <cfRule type="expression" dxfId="774" priority="272">
      <formula>#REF! = "obiectiv"</formula>
    </cfRule>
  </conditionalFormatting>
  <conditionalFormatting sqref="L2001:P2002 O2003:P2003 L1999:P1999">
    <cfRule type="expression" dxfId="773" priority="263">
      <formula>#REF! = "produs"</formula>
    </cfRule>
    <cfRule type="expression" dxfId="772" priority="264">
      <formula>#REF! = "obiectiv"</formula>
    </cfRule>
  </conditionalFormatting>
  <conditionalFormatting sqref="L2004:P2004">
    <cfRule type="expression" dxfId="771" priority="261">
      <formula>#REF! = "produs"</formula>
    </cfRule>
    <cfRule type="expression" dxfId="770" priority="262">
      <formula>#REF! = "obiectiv"</formula>
    </cfRule>
  </conditionalFormatting>
  <conditionalFormatting sqref="L2003:P2003">
    <cfRule type="expression" dxfId="769" priority="259">
      <formula>#REF! = "produs"</formula>
    </cfRule>
    <cfRule type="expression" dxfId="768" priority="260">
      <formula>#REF! = "obiectiv"</formula>
    </cfRule>
  </conditionalFormatting>
  <conditionalFormatting sqref="L2000:P2000">
    <cfRule type="expression" dxfId="767" priority="257">
      <formula>#REF! = "produs"</formula>
    </cfRule>
    <cfRule type="expression" dxfId="766" priority="258">
      <formula>#REF! = "obiectiv"</formula>
    </cfRule>
  </conditionalFormatting>
  <conditionalFormatting sqref="L1999:P2004">
    <cfRule type="expression" dxfId="765" priority="255">
      <formula>#REF! = "produs"</formula>
    </cfRule>
    <cfRule type="expression" dxfId="764" priority="256">
      <formula>#REF! = "obiectiv"</formula>
    </cfRule>
  </conditionalFormatting>
  <conditionalFormatting sqref="Q986:U992">
    <cfRule type="expression" dxfId="763" priority="253">
      <formula>#REF! = "produs"</formula>
    </cfRule>
    <cfRule type="expression" dxfId="762" priority="254">
      <formula>#REF! = "obiectiv"</formula>
    </cfRule>
  </conditionalFormatting>
  <conditionalFormatting sqref="V1955">
    <cfRule type="expression" dxfId="761" priority="251">
      <formula>#REF! = "produs"</formula>
    </cfRule>
    <cfRule type="expression" dxfId="760" priority="252">
      <formula>#REF! = "obiectiv"</formula>
    </cfRule>
  </conditionalFormatting>
  <conditionalFormatting sqref="Q577:U582">
    <cfRule type="expression" dxfId="759" priority="247">
      <formula>#REF! = "produs"</formula>
    </cfRule>
    <cfRule type="expression" dxfId="758" priority="248">
      <formula>#REF! = "obiectiv"</formula>
    </cfRule>
  </conditionalFormatting>
  <conditionalFormatting sqref="Q586:U592">
    <cfRule type="expression" dxfId="757" priority="245">
      <formula>#REF! = "produs"</formula>
    </cfRule>
    <cfRule type="expression" dxfId="756" priority="246">
      <formula>#REF! = "obiectiv"</formula>
    </cfRule>
  </conditionalFormatting>
  <conditionalFormatting sqref="Q596:U602">
    <cfRule type="expression" dxfId="755" priority="243">
      <formula>#REF! = "produs"</formula>
    </cfRule>
    <cfRule type="expression" dxfId="754" priority="244">
      <formula>#REF! = "obiectiv"</formula>
    </cfRule>
  </conditionalFormatting>
  <conditionalFormatting sqref="Q606:U612">
    <cfRule type="expression" dxfId="753" priority="241">
      <formula>#REF! = "produs"</formula>
    </cfRule>
    <cfRule type="expression" dxfId="752" priority="242">
      <formula>#REF! = "obiectiv"</formula>
    </cfRule>
  </conditionalFormatting>
  <conditionalFormatting sqref="Q616:U622">
    <cfRule type="expression" dxfId="751" priority="239">
      <formula>#REF! = "produs"</formula>
    </cfRule>
    <cfRule type="expression" dxfId="750" priority="240">
      <formula>#REF! = "obiectiv"</formula>
    </cfRule>
  </conditionalFormatting>
  <conditionalFormatting sqref="M193">
    <cfRule type="expression" dxfId="749" priority="237">
      <formula>#REF! = "produs"</formula>
    </cfRule>
    <cfRule type="expression" dxfId="748" priority="238">
      <formula>#REF! = "obiectiv"</formula>
    </cfRule>
  </conditionalFormatting>
  <conditionalFormatting sqref="N193">
    <cfRule type="expression" dxfId="747" priority="235">
      <formula>#REF! = "produs"</formula>
    </cfRule>
    <cfRule type="expression" dxfId="746" priority="236">
      <formula>#REF! = "obiectiv"</formula>
    </cfRule>
  </conditionalFormatting>
  <conditionalFormatting sqref="L1701:P1701">
    <cfRule type="expression" dxfId="745" priority="233">
      <formula>#REF! = "produs"</formula>
    </cfRule>
    <cfRule type="expression" dxfId="744" priority="234">
      <formula>#REF! = "obiectiv"</formula>
    </cfRule>
  </conditionalFormatting>
  <conditionalFormatting sqref="H25">
    <cfRule type="expression" dxfId="743" priority="231">
      <formula>#REF! = "produs"</formula>
    </cfRule>
    <cfRule type="expression" dxfId="742" priority="232">
      <formula>#REF! = "obiectiv"</formula>
    </cfRule>
  </conditionalFormatting>
  <conditionalFormatting sqref="F220">
    <cfRule type="expression" dxfId="741" priority="229">
      <formula>#REF! = "produs"</formula>
    </cfRule>
    <cfRule type="expression" dxfId="740" priority="230">
      <formula>#REF! = "obiectiv"</formula>
    </cfRule>
  </conditionalFormatting>
  <conditionalFormatting sqref="F334">
    <cfRule type="expression" dxfId="739" priority="227">
      <formula>$E334 = "produs"</formula>
    </cfRule>
    <cfRule type="expression" dxfId="738" priority="228">
      <formula>$E334 = "obiectiv"</formula>
    </cfRule>
  </conditionalFormatting>
  <conditionalFormatting sqref="W376:IU377 W379:IU384">
    <cfRule type="expression" dxfId="737" priority="223">
      <formula>#REF! = "produs"</formula>
    </cfRule>
    <cfRule type="expression" dxfId="736" priority="224">
      <formula>#REF! = "obiectiv"</formula>
    </cfRule>
  </conditionalFormatting>
  <conditionalFormatting sqref="J375">
    <cfRule type="expression" dxfId="735" priority="221">
      <formula>#REF! = "produs"</formula>
    </cfRule>
    <cfRule type="expression" dxfId="734" priority="222">
      <formula>#REF! = "obiectiv"</formula>
    </cfRule>
  </conditionalFormatting>
  <conditionalFormatting sqref="V375:V384">
    <cfRule type="expression" dxfId="733" priority="225">
      <formula>#REF! = "produs"</formula>
    </cfRule>
    <cfRule type="expression" dxfId="732" priority="226">
      <formula>#REF! = "obiectiv"</formula>
    </cfRule>
  </conditionalFormatting>
  <conditionalFormatting sqref="J382">
    <cfRule type="expression" dxfId="731" priority="213">
      <formula>#REF! = "produs"</formula>
    </cfRule>
    <cfRule type="expression" dxfId="730" priority="214">
      <formula>#REF! = "obiectiv"</formula>
    </cfRule>
  </conditionalFormatting>
  <conditionalFormatting sqref="J376 J383:J384 J381 J379">
    <cfRule type="expression" dxfId="729" priority="217">
      <formula>#REF! = "produs"</formula>
    </cfRule>
    <cfRule type="expression" dxfId="728" priority="218">
      <formula>#REF! = "obiectiv"</formula>
    </cfRule>
  </conditionalFormatting>
  <conditionalFormatting sqref="J380">
    <cfRule type="expression" dxfId="727" priority="211">
      <formula>#REF! = "produs"</formula>
    </cfRule>
    <cfRule type="expression" dxfId="726" priority="212">
      <formula>#REF! = "obiectiv"</formula>
    </cfRule>
  </conditionalFormatting>
  <conditionalFormatting sqref="K379:K384 K376:K377">
    <cfRule type="expression" dxfId="725" priority="219">
      <formula>#REF! = "produs"</formula>
    </cfRule>
    <cfRule type="expression" dxfId="724" priority="220">
      <formula>#REF! = "obiectiv"</formula>
    </cfRule>
  </conditionalFormatting>
  <conditionalFormatting sqref="Q384:U384 Q376:U376">
    <cfRule type="expression" dxfId="723" priority="215">
      <formula>#REF! = "produs"</formula>
    </cfRule>
    <cfRule type="expression" dxfId="722" priority="216">
      <formula>#REF! = "obiectiv"</formula>
    </cfRule>
  </conditionalFormatting>
  <conditionalFormatting sqref="J378">
    <cfRule type="expression" dxfId="721" priority="207">
      <formula>#REF! = "produs"</formula>
    </cfRule>
    <cfRule type="expression" dxfId="720" priority="208">
      <formula>#REF! = "obiectiv"</formula>
    </cfRule>
  </conditionalFormatting>
  <conditionalFormatting sqref="K378 W378:IU378">
    <cfRule type="expression" dxfId="719" priority="209">
      <formula>#REF! = "produs"</formula>
    </cfRule>
    <cfRule type="expression" dxfId="718" priority="210">
      <formula>#REF! = "obiectiv"</formula>
    </cfRule>
  </conditionalFormatting>
  <conditionalFormatting sqref="Q377:U383">
    <cfRule type="expression" dxfId="717" priority="205">
      <formula>#REF! = "produs"</formula>
    </cfRule>
    <cfRule type="expression" dxfId="716" priority="206">
      <formula>#REF! = "obiectiv"</formula>
    </cfRule>
  </conditionalFormatting>
  <conditionalFormatting sqref="Q375:U375">
    <cfRule type="expression" dxfId="715" priority="203">
      <formula>#REF! = "produs"</formula>
    </cfRule>
    <cfRule type="expression" dxfId="714" priority="204">
      <formula>#REF! = "obiectiv"</formula>
    </cfRule>
  </conditionalFormatting>
  <conditionalFormatting sqref="H375">
    <cfRule type="expression" dxfId="713" priority="201">
      <formula>#REF! = "produs"</formula>
    </cfRule>
    <cfRule type="expression" dxfId="712" priority="202">
      <formula>#REF! = "obiectiv"</formula>
    </cfRule>
  </conditionalFormatting>
  <conditionalFormatting sqref="J377">
    <cfRule type="expression" dxfId="711" priority="199">
      <formula>#REF! = "produs"</formula>
    </cfRule>
    <cfRule type="expression" dxfId="710" priority="200">
      <formula>#REF! = "obiectiv"</formula>
    </cfRule>
  </conditionalFormatting>
  <conditionalFormatting sqref="L382:P382">
    <cfRule type="expression" dxfId="709" priority="193">
      <formula>#REF! = "produs"</formula>
    </cfRule>
    <cfRule type="expression" dxfId="708" priority="194">
      <formula>#REF! = "obiectiv"</formula>
    </cfRule>
  </conditionalFormatting>
  <conditionalFormatting sqref="L378:P378">
    <cfRule type="expression" dxfId="707" priority="191">
      <formula>#REF! = "produs"</formula>
    </cfRule>
    <cfRule type="expression" dxfId="706" priority="192">
      <formula>#REF! = "obiectiv"</formula>
    </cfRule>
  </conditionalFormatting>
  <conditionalFormatting sqref="L383:P384 L376:P377 L379:P380">
    <cfRule type="expression" dxfId="705" priority="195">
      <formula>#REF! = "produs"</formula>
    </cfRule>
    <cfRule type="expression" dxfId="704" priority="196">
      <formula>#REF! = "obiectiv"</formula>
    </cfRule>
  </conditionalFormatting>
  <conditionalFormatting sqref="K368 W368:IU368">
    <cfRule type="expression" dxfId="703" priority="173">
      <formula>#REF! = "produs"</formula>
    </cfRule>
    <cfRule type="expression" dxfId="702" priority="174">
      <formula>#REF! = "obiectiv"</formula>
    </cfRule>
  </conditionalFormatting>
  <conditionalFormatting sqref="W366:IU367 W369:IU374">
    <cfRule type="expression" dxfId="701" priority="187">
      <formula>#REF! = "produs"</formula>
    </cfRule>
    <cfRule type="expression" dxfId="700" priority="188">
      <formula>#REF! = "obiectiv"</formula>
    </cfRule>
  </conditionalFormatting>
  <conditionalFormatting sqref="J365">
    <cfRule type="expression" dxfId="699" priority="185">
      <formula>#REF! = "produs"</formula>
    </cfRule>
    <cfRule type="expression" dxfId="698" priority="186">
      <formula>#REF! = "obiectiv"</formula>
    </cfRule>
  </conditionalFormatting>
  <conditionalFormatting sqref="V365:V374">
    <cfRule type="expression" dxfId="697" priority="189">
      <formula>#REF! = "produs"</formula>
    </cfRule>
    <cfRule type="expression" dxfId="696" priority="190">
      <formula>#REF! = "obiectiv"</formula>
    </cfRule>
  </conditionalFormatting>
  <conditionalFormatting sqref="J372">
    <cfRule type="expression" dxfId="695" priority="177">
      <formula>#REF! = "produs"</formula>
    </cfRule>
    <cfRule type="expression" dxfId="694" priority="178">
      <formula>#REF! = "obiectiv"</formula>
    </cfRule>
  </conditionalFormatting>
  <conditionalFormatting sqref="J366 J373:J374 J371 J369">
    <cfRule type="expression" dxfId="693" priority="181">
      <formula>#REF! = "produs"</formula>
    </cfRule>
    <cfRule type="expression" dxfId="692" priority="182">
      <formula>#REF! = "obiectiv"</formula>
    </cfRule>
  </conditionalFormatting>
  <conditionalFormatting sqref="J370">
    <cfRule type="expression" dxfId="691" priority="175">
      <formula>#REF! = "produs"</formula>
    </cfRule>
    <cfRule type="expression" dxfId="690" priority="176">
      <formula>#REF! = "obiectiv"</formula>
    </cfRule>
  </conditionalFormatting>
  <conditionalFormatting sqref="K369:K374 K366:K367">
    <cfRule type="expression" dxfId="689" priority="183">
      <formula>#REF! = "produs"</formula>
    </cfRule>
    <cfRule type="expression" dxfId="688" priority="184">
      <formula>#REF! = "obiectiv"</formula>
    </cfRule>
  </conditionalFormatting>
  <conditionalFormatting sqref="Q374:U374 Q366:U366">
    <cfRule type="expression" dxfId="687" priority="179">
      <formula>#REF! = "produs"</formula>
    </cfRule>
    <cfRule type="expression" dxfId="686" priority="180">
      <formula>#REF! = "obiectiv"</formula>
    </cfRule>
  </conditionalFormatting>
  <conditionalFormatting sqref="J368">
    <cfRule type="expression" dxfId="685" priority="171">
      <formula>#REF! = "produs"</formula>
    </cfRule>
    <cfRule type="expression" dxfId="684" priority="172">
      <formula>#REF! = "obiectiv"</formula>
    </cfRule>
  </conditionalFormatting>
  <conditionalFormatting sqref="J367">
    <cfRule type="expression" dxfId="683" priority="163">
      <formula>#REF! = "produs"</formula>
    </cfRule>
    <cfRule type="expression" dxfId="682" priority="164">
      <formula>#REF! = "obiectiv"</formula>
    </cfRule>
  </conditionalFormatting>
  <conditionalFormatting sqref="Q367:U373">
    <cfRule type="expression" dxfId="681" priority="169">
      <formula>#REF! = "produs"</formula>
    </cfRule>
    <cfRule type="expression" dxfId="680" priority="170">
      <formula>#REF! = "obiectiv"</formula>
    </cfRule>
  </conditionalFormatting>
  <conditionalFormatting sqref="Q365:U365">
    <cfRule type="expression" dxfId="679" priority="167">
      <formula>#REF! = "produs"</formula>
    </cfRule>
    <cfRule type="expression" dxfId="678" priority="168">
      <formula>#REF! = "obiectiv"</formula>
    </cfRule>
  </conditionalFormatting>
  <conditionalFormatting sqref="H365">
    <cfRule type="expression" dxfId="677" priority="165">
      <formula>#REF! = "produs"</formula>
    </cfRule>
    <cfRule type="expression" dxfId="676" priority="166">
      <formula>#REF! = "obiectiv"</formula>
    </cfRule>
  </conditionalFormatting>
  <conditionalFormatting sqref="L372:P372">
    <cfRule type="expression" dxfId="675" priority="157">
      <formula>#REF! = "produs"</formula>
    </cfRule>
    <cfRule type="expression" dxfId="674" priority="158">
      <formula>#REF! = "obiectiv"</formula>
    </cfRule>
  </conditionalFormatting>
  <conditionalFormatting sqref="L368:P368">
    <cfRule type="expression" dxfId="673" priority="155">
      <formula>#REF! = "produs"</formula>
    </cfRule>
    <cfRule type="expression" dxfId="672" priority="156">
      <formula>#REF! = "obiectiv"</formula>
    </cfRule>
  </conditionalFormatting>
  <conditionalFormatting sqref="L373:P374 L366:P367 L369:P370">
    <cfRule type="expression" dxfId="671" priority="159">
      <formula>#REF! = "produs"</formula>
    </cfRule>
    <cfRule type="expression" dxfId="670" priority="160">
      <formula>#REF! = "obiectiv"</formula>
    </cfRule>
  </conditionalFormatting>
  <conditionalFormatting sqref="G365">
    <cfRule type="expression" dxfId="669" priority="161">
      <formula>#REF! = "produs"</formula>
    </cfRule>
    <cfRule type="expression" dxfId="668" priority="162">
      <formula>#REF! = "obiectiv"</formula>
    </cfRule>
  </conditionalFormatting>
  <conditionalFormatting sqref="G375">
    <cfRule type="expression" dxfId="667" priority="153">
      <formula>#REF! = "produs"</formula>
    </cfRule>
    <cfRule type="expression" dxfId="666" priority="154">
      <formula>#REF! = "obiectiv"</formula>
    </cfRule>
  </conditionalFormatting>
  <conditionalFormatting sqref="F396">
    <cfRule type="expression" dxfId="665" priority="151">
      <formula>#REF! = "produs"</formula>
    </cfRule>
    <cfRule type="expression" dxfId="664" priority="152">
      <formula>#REF! = "obiectiv"</formula>
    </cfRule>
  </conditionalFormatting>
  <conditionalFormatting sqref="K459">
    <cfRule type="expression" dxfId="663" priority="149">
      <formula>#REF! = "produs"</formula>
    </cfRule>
    <cfRule type="expression" dxfId="662" priority="150">
      <formula>#REF! = "obiectiv"</formula>
    </cfRule>
  </conditionalFormatting>
  <conditionalFormatting sqref="F1044">
    <cfRule type="expression" dxfId="661" priority="147">
      <formula>#REF! = "produs"</formula>
    </cfRule>
    <cfRule type="expression" dxfId="660" priority="148">
      <formula>#REF! = "obiectiv"</formula>
    </cfRule>
  </conditionalFormatting>
  <conditionalFormatting sqref="F1145">
    <cfRule type="expression" dxfId="659" priority="145">
      <formula>#REF! = "produs"</formula>
    </cfRule>
    <cfRule type="expression" dxfId="658" priority="146">
      <formula>#REF! = "obiectiv"</formula>
    </cfRule>
  </conditionalFormatting>
  <conditionalFormatting sqref="F1166">
    <cfRule type="expression" dxfId="657" priority="143">
      <formula>#REF! = "produs"</formula>
    </cfRule>
    <cfRule type="expression" dxfId="656" priority="144">
      <formula>#REF! = "obiectiv"</formula>
    </cfRule>
  </conditionalFormatting>
  <conditionalFormatting sqref="F1167">
    <cfRule type="expression" dxfId="655" priority="141">
      <formula>#REF! = "produs"</formula>
    </cfRule>
    <cfRule type="expression" dxfId="654" priority="142">
      <formula>#REF! = "obiectiv"</formula>
    </cfRule>
  </conditionalFormatting>
  <conditionalFormatting sqref="F1228">
    <cfRule type="expression" dxfId="653" priority="139">
      <formula>#REF! = "produs"</formula>
    </cfRule>
    <cfRule type="expression" dxfId="652" priority="140">
      <formula>#REF! = "obiectiv"</formula>
    </cfRule>
  </conditionalFormatting>
  <conditionalFormatting sqref="F1299">
    <cfRule type="expression" dxfId="651" priority="137">
      <formula>#REF! = "produs"</formula>
    </cfRule>
    <cfRule type="expression" dxfId="650" priority="138">
      <formula>#REF! = "obiectiv"</formula>
    </cfRule>
  </conditionalFormatting>
  <conditionalFormatting sqref="F1340">
    <cfRule type="expression" dxfId="649" priority="135">
      <formula>#REF! = "produs"</formula>
    </cfRule>
    <cfRule type="expression" dxfId="648" priority="136">
      <formula>#REF! = "obiectiv"</formula>
    </cfRule>
  </conditionalFormatting>
  <conditionalFormatting sqref="F1401">
    <cfRule type="expression" dxfId="647" priority="133">
      <formula>#REF! = "produs"</formula>
    </cfRule>
    <cfRule type="expression" dxfId="646" priority="134">
      <formula>#REF! = "obiectiv"</formula>
    </cfRule>
  </conditionalFormatting>
  <conditionalFormatting sqref="F1401">
    <cfRule type="expression" dxfId="645" priority="131">
      <formula>#REF! = "produs"</formula>
    </cfRule>
    <cfRule type="expression" dxfId="644" priority="132">
      <formula>#REF! = "obiectiv"</formula>
    </cfRule>
  </conditionalFormatting>
  <conditionalFormatting sqref="F1842">
    <cfRule type="expression" dxfId="643" priority="129">
      <formula>#REF! = "produs"</formula>
    </cfRule>
    <cfRule type="expression" dxfId="642" priority="130">
      <formula>#REF! = "obiectiv"</formula>
    </cfRule>
  </conditionalFormatting>
  <conditionalFormatting sqref="F1843">
    <cfRule type="expression" dxfId="641" priority="127">
      <formula>#REF! = "produs"</formula>
    </cfRule>
    <cfRule type="expression" dxfId="640" priority="128">
      <formula>#REF! = "obiectiv"</formula>
    </cfRule>
  </conditionalFormatting>
  <conditionalFormatting sqref="F1914">
    <cfRule type="expression" dxfId="639" priority="125">
      <formula>#REF! = "produs"</formula>
    </cfRule>
    <cfRule type="expression" dxfId="638" priority="126">
      <formula>#REF! = "obiectiv"</formula>
    </cfRule>
  </conditionalFormatting>
  <conditionalFormatting sqref="F1955">
    <cfRule type="expression" dxfId="637" priority="123">
      <formula>#REF! = "produs"</formula>
    </cfRule>
    <cfRule type="expression" dxfId="636" priority="124">
      <formula>#REF! = "obiectiv"</formula>
    </cfRule>
  </conditionalFormatting>
  <conditionalFormatting sqref="F1986">
    <cfRule type="expression" dxfId="635" priority="121">
      <formula>#REF! = "produs"</formula>
    </cfRule>
    <cfRule type="expression" dxfId="634" priority="122">
      <formula>#REF! = "obiectiv"</formula>
    </cfRule>
  </conditionalFormatting>
  <conditionalFormatting sqref="F2142">
    <cfRule type="expression" dxfId="633" priority="119">
      <formula>#REF! = "produs"</formula>
    </cfRule>
    <cfRule type="expression" dxfId="632" priority="120">
      <formula>#REF! = "obiectiv"</formula>
    </cfRule>
  </conditionalFormatting>
  <conditionalFormatting sqref="F2143">
    <cfRule type="expression" dxfId="631" priority="117">
      <formula>#REF! = "produs"</formula>
    </cfRule>
    <cfRule type="expression" dxfId="630" priority="118">
      <formula>#REF! = "obiectiv"</formula>
    </cfRule>
  </conditionalFormatting>
  <conditionalFormatting sqref="F2164">
    <cfRule type="expression" dxfId="629" priority="115">
      <formula>#REF! = "produs"</formula>
    </cfRule>
    <cfRule type="expression" dxfId="628" priority="116">
      <formula>#REF! = "obiectiv"</formula>
    </cfRule>
  </conditionalFormatting>
  <conditionalFormatting sqref="V922:V931">
    <cfRule type="expression" dxfId="627" priority="81">
      <formula>#REF! = "produs"</formula>
    </cfRule>
    <cfRule type="expression" dxfId="626" priority="82">
      <formula>#REF! = "obiectiv"</formula>
    </cfRule>
  </conditionalFormatting>
  <conditionalFormatting sqref="K925:P925 W925:IU925">
    <cfRule type="expression" dxfId="625" priority="63">
      <formula>#REF! = "produs"</formula>
    </cfRule>
    <cfRule type="expression" dxfId="624" priority="64">
      <formula>#REF! = "obiectiv"</formula>
    </cfRule>
  </conditionalFormatting>
  <conditionalFormatting sqref="L929:P929">
    <cfRule type="expression" dxfId="623" priority="69">
      <formula>#REF! = "produs"</formula>
    </cfRule>
    <cfRule type="expression" dxfId="622" priority="70">
      <formula>#REF! = "obiectiv"</formula>
    </cfRule>
  </conditionalFormatting>
  <conditionalFormatting sqref="L928:P928">
    <cfRule type="expression" dxfId="621" priority="67">
      <formula>#REF! = "produs"</formula>
    </cfRule>
    <cfRule type="expression" dxfId="620" priority="68">
      <formula>#REF! = "obiectiv"</formula>
    </cfRule>
  </conditionalFormatting>
  <conditionalFormatting sqref="J927">
    <cfRule type="expression" dxfId="619" priority="65">
      <formula>#REF! = "produs"</formula>
    </cfRule>
    <cfRule type="expression" dxfId="618" priority="66">
      <formula>#REF! = "obiectiv"</formula>
    </cfRule>
  </conditionalFormatting>
  <conditionalFormatting sqref="J925">
    <cfRule type="expression" dxfId="617" priority="61">
      <formula>#REF! = "produs"</formula>
    </cfRule>
    <cfRule type="expression" dxfId="616" priority="62">
      <formula>#REF! = "obiectiv"</formula>
    </cfRule>
  </conditionalFormatting>
  <conditionalFormatting sqref="W923:IU924 W926:IU931">
    <cfRule type="expression" dxfId="615" priority="79">
      <formula>#REF! = "produs"</formula>
    </cfRule>
    <cfRule type="expression" dxfId="614" priority="80">
      <formula>#REF! = "obiectiv"</formula>
    </cfRule>
  </conditionalFormatting>
  <conditionalFormatting sqref="J923 J930:J931 J928 J926">
    <cfRule type="expression" dxfId="613" priority="75">
      <formula>#REF! = "produs"</formula>
    </cfRule>
    <cfRule type="expression" dxfId="612" priority="76">
      <formula>#REF! = "obiectiv"</formula>
    </cfRule>
  </conditionalFormatting>
  <conditionalFormatting sqref="K924 K926:K931">
    <cfRule type="expression" dxfId="611" priority="77">
      <formula>#REF! = "produs"</formula>
    </cfRule>
    <cfRule type="expression" dxfId="610" priority="78">
      <formula>#REF! = "obiectiv"</formula>
    </cfRule>
  </conditionalFormatting>
  <conditionalFormatting sqref="L931:U931 L930:P930 L926:P927 L923:U923 L924:P924">
    <cfRule type="expression" dxfId="609" priority="73">
      <formula>#REF! = "produs"</formula>
    </cfRule>
    <cfRule type="expression" dxfId="608" priority="74">
      <formula>#REF! = "obiectiv"</formula>
    </cfRule>
  </conditionalFormatting>
  <conditionalFormatting sqref="J929">
    <cfRule type="expression" dxfId="607" priority="71">
      <formula>#REF! = "produs"</formula>
    </cfRule>
    <cfRule type="expression" dxfId="606" priority="72">
      <formula>#REF! = "obiectiv"</formula>
    </cfRule>
  </conditionalFormatting>
  <conditionalFormatting sqref="J922">
    <cfRule type="expression" dxfId="605" priority="59">
      <formula>#REF! = "produs"</formula>
    </cfRule>
    <cfRule type="expression" dxfId="604" priority="60">
      <formula>#REF! = "obiectiv"</formula>
    </cfRule>
  </conditionalFormatting>
  <conditionalFormatting sqref="Q924:U930">
    <cfRule type="expression" dxfId="603" priority="57">
      <formula>#REF! = "produs"</formula>
    </cfRule>
    <cfRule type="expression" dxfId="602" priority="58">
      <formula>#REF! = "obiectiv"</formula>
    </cfRule>
  </conditionalFormatting>
  <conditionalFormatting sqref="Q922:U922">
    <cfRule type="expression" dxfId="601" priority="55">
      <formula>#REF! = "produs"</formula>
    </cfRule>
    <cfRule type="expression" dxfId="600" priority="56">
      <formula>#REF! = "obiectiv"</formula>
    </cfRule>
  </conditionalFormatting>
  <conditionalFormatting sqref="H922">
    <cfRule type="expression" dxfId="599" priority="53">
      <formula>#REF! = "produs"</formula>
    </cfRule>
    <cfRule type="expression" dxfId="598" priority="54">
      <formula>#REF! = "obiectiv"</formula>
    </cfRule>
  </conditionalFormatting>
  <conditionalFormatting sqref="G922">
    <cfRule type="expression" dxfId="597" priority="51">
      <formula>#REF! = "produs"</formula>
    </cfRule>
    <cfRule type="expression" dxfId="596" priority="52">
      <formula>#REF! = "obiectiv"</formula>
    </cfRule>
  </conditionalFormatting>
  <conditionalFormatting sqref="J924">
    <cfRule type="expression" dxfId="595" priority="49">
      <formula>#REF! = "produs"</formula>
    </cfRule>
    <cfRule type="expression" dxfId="594" priority="50">
      <formula>#REF! = "obiectiv"</formula>
    </cfRule>
  </conditionalFormatting>
  <conditionalFormatting sqref="K923">
    <cfRule type="expression" dxfId="593" priority="47">
      <formula>#REF! = "produs"</formula>
    </cfRule>
    <cfRule type="expression" dxfId="592" priority="48">
      <formula>#REF! = "obiectiv"</formula>
    </cfRule>
  </conditionalFormatting>
  <conditionalFormatting sqref="K923">
    <cfRule type="expression" dxfId="591" priority="45">
      <formula>#REF! = "produs"</formula>
    </cfRule>
    <cfRule type="expression" dxfId="590" priority="46">
      <formula>#REF! = "obiectiv"</formula>
    </cfRule>
  </conditionalFormatting>
  <conditionalFormatting sqref="W386:IU387 W389:IU394">
    <cfRule type="expression" dxfId="589" priority="41">
      <formula>#REF! = "produs"</formula>
    </cfRule>
    <cfRule type="expression" dxfId="588" priority="42">
      <formula>#REF! = "obiectiv"</formula>
    </cfRule>
  </conditionalFormatting>
  <conditionalFormatting sqref="J385">
    <cfRule type="expression" dxfId="587" priority="39">
      <formula>#REF! = "produs"</formula>
    </cfRule>
    <cfRule type="expression" dxfId="586" priority="40">
      <formula>#REF! = "obiectiv"</formula>
    </cfRule>
  </conditionalFormatting>
  <conditionalFormatting sqref="V385:V394">
    <cfRule type="expression" dxfId="585" priority="43">
      <formula>#REF! = "produs"</formula>
    </cfRule>
    <cfRule type="expression" dxfId="584" priority="44">
      <formula>#REF! = "obiectiv"</formula>
    </cfRule>
  </conditionalFormatting>
  <conditionalFormatting sqref="J392">
    <cfRule type="expression" dxfId="583" priority="31">
      <formula>#REF! = "produs"</formula>
    </cfRule>
    <cfRule type="expression" dxfId="582" priority="32">
      <formula>#REF! = "obiectiv"</formula>
    </cfRule>
  </conditionalFormatting>
  <conditionalFormatting sqref="J386 J393:J394 J391 J389">
    <cfRule type="expression" dxfId="581" priority="35">
      <formula>#REF! = "produs"</formula>
    </cfRule>
    <cfRule type="expression" dxfId="580" priority="36">
      <formula>#REF! = "obiectiv"</formula>
    </cfRule>
  </conditionalFormatting>
  <conditionalFormatting sqref="J390">
    <cfRule type="expression" dxfId="579" priority="29">
      <formula>#REF! = "produs"</formula>
    </cfRule>
    <cfRule type="expression" dxfId="578" priority="30">
      <formula>#REF! = "obiectiv"</formula>
    </cfRule>
  </conditionalFormatting>
  <conditionalFormatting sqref="K389:K394 K386:K387">
    <cfRule type="expression" dxfId="577" priority="37">
      <formula>#REF! = "produs"</formula>
    </cfRule>
    <cfRule type="expression" dxfId="576" priority="38">
      <formula>#REF! = "obiectiv"</formula>
    </cfRule>
  </conditionalFormatting>
  <conditionalFormatting sqref="Q394:U394 Q386:U386">
    <cfRule type="expression" dxfId="575" priority="33">
      <formula>#REF! = "produs"</formula>
    </cfRule>
    <cfRule type="expression" dxfId="574" priority="34">
      <formula>#REF! = "obiectiv"</formula>
    </cfRule>
  </conditionalFormatting>
  <conditionalFormatting sqref="J388">
    <cfRule type="expression" dxfId="573" priority="25">
      <formula>#REF! = "produs"</formula>
    </cfRule>
    <cfRule type="expression" dxfId="572" priority="26">
      <formula>#REF! = "obiectiv"</formula>
    </cfRule>
  </conditionalFormatting>
  <conditionalFormatting sqref="K388 W388:IU388">
    <cfRule type="expression" dxfId="571" priority="27">
      <formula>#REF! = "produs"</formula>
    </cfRule>
    <cfRule type="expression" dxfId="570" priority="28">
      <formula>#REF! = "obiectiv"</formula>
    </cfRule>
  </conditionalFormatting>
  <conditionalFormatting sqref="Q387:U393">
    <cfRule type="expression" dxfId="569" priority="23">
      <formula>#REF! = "produs"</formula>
    </cfRule>
    <cfRule type="expression" dxfId="568" priority="24">
      <formula>#REF! = "obiectiv"</formula>
    </cfRule>
  </conditionalFormatting>
  <conditionalFormatting sqref="Q385:U385">
    <cfRule type="expression" dxfId="567" priority="21">
      <formula>#REF! = "produs"</formula>
    </cfRule>
    <cfRule type="expression" dxfId="566" priority="22">
      <formula>#REF! = "obiectiv"</formula>
    </cfRule>
  </conditionalFormatting>
  <conditionalFormatting sqref="H385">
    <cfRule type="expression" dxfId="565" priority="19">
      <formula>#REF! = "produs"</formula>
    </cfRule>
    <cfRule type="expression" dxfId="564" priority="20">
      <formula>#REF! = "obiectiv"</formula>
    </cfRule>
  </conditionalFormatting>
  <conditionalFormatting sqref="J387">
    <cfRule type="expression" dxfId="563" priority="17">
      <formula>#REF! = "produs"</formula>
    </cfRule>
    <cfRule type="expression" dxfId="562" priority="18">
      <formula>#REF! = "obiectiv"</formula>
    </cfRule>
  </conditionalFormatting>
  <conditionalFormatting sqref="L392:P392">
    <cfRule type="expression" dxfId="561" priority="13">
      <formula>#REF! = "produs"</formula>
    </cfRule>
    <cfRule type="expression" dxfId="560" priority="14">
      <formula>#REF! = "obiectiv"</formula>
    </cfRule>
  </conditionalFormatting>
  <conditionalFormatting sqref="L388:P388">
    <cfRule type="expression" dxfId="559" priority="11">
      <formula>#REF! = "produs"</formula>
    </cfRule>
    <cfRule type="expression" dxfId="558" priority="12">
      <formula>#REF! = "obiectiv"</formula>
    </cfRule>
  </conditionalFormatting>
  <conditionalFormatting sqref="L393:P394 L386:P387 L389:P390">
    <cfRule type="expression" dxfId="557" priority="15">
      <formula>#REF! = "produs"</formula>
    </cfRule>
    <cfRule type="expression" dxfId="556" priority="16">
      <formula>#REF! = "obiectiv"</formula>
    </cfRule>
  </conditionalFormatting>
  <conditionalFormatting sqref="G385">
    <cfRule type="expression" dxfId="555" priority="9">
      <formula>#REF! = "produs"</formula>
    </cfRule>
    <cfRule type="expression" dxfId="554" priority="10">
      <formula>#REF! = "obiectiv"</formula>
    </cfRule>
  </conditionalFormatting>
  <conditionalFormatting sqref="V220">
    <cfRule type="expression" dxfId="553" priority="7">
      <formula>#REF! = "produs"</formula>
    </cfRule>
    <cfRule type="expression" dxfId="552" priority="8">
      <formula>#REF! = "obiectiv"</formula>
    </cfRule>
  </conditionalFormatting>
  <conditionalFormatting sqref="Q701:U707">
    <cfRule type="expression" dxfId="551" priority="1">
      <formula>#REF! = "produs"</formula>
    </cfRule>
    <cfRule type="expression" dxfId="550" priority="2">
      <formula>#REF! = "obiectiv"</formula>
    </cfRule>
  </conditionalFormatting>
  <pageMargins left="0.7" right="0.7" top="0.75" bottom="0.75" header="0.51180555555555496" footer="0.3"/>
  <pageSetup paperSize="8" firstPageNumber="0" fitToHeight="0" orientation="landscape" horizontalDpi="300" verticalDpi="300" r:id="rId1"/>
  <headerFooter alignWithMargins="0">
    <oddFooter>&amp;CСтраница &amp;P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88"/>
  <sheetViews>
    <sheetView topLeftCell="A460" workbookViewId="0">
      <selection activeCell="F478" sqref="F478"/>
    </sheetView>
  </sheetViews>
  <sheetFormatPr defaultColWidth="9.140625" defaultRowHeight="15"/>
  <cols>
    <col min="1" max="1" width="9.140625" style="1042"/>
    <col min="2" max="2" width="37.28515625" style="1042" customWidth="1"/>
    <col min="3" max="3" width="13.7109375" style="1042" customWidth="1"/>
    <col min="4" max="4" width="11.140625" style="1042" customWidth="1"/>
    <col min="5" max="5" width="14.42578125" style="269" customWidth="1"/>
    <col min="6" max="6" width="13.42578125" style="651" customWidth="1"/>
    <col min="7" max="7" width="12.42578125" style="269" customWidth="1"/>
    <col min="8" max="8" width="15.140625" style="269" customWidth="1"/>
    <col min="9" max="9" width="15" style="269" customWidth="1"/>
    <col min="10" max="10" width="13.28515625" style="1042" customWidth="1"/>
    <col min="11" max="11" width="12.7109375" style="1042" customWidth="1"/>
    <col min="12" max="12" width="11.140625" style="1042" customWidth="1"/>
    <col min="13" max="13" width="12.28515625" style="389" customWidth="1"/>
    <col min="14" max="15" width="10" style="1042" customWidth="1"/>
    <col min="16" max="16" width="13.42578125" style="1042" customWidth="1"/>
    <col min="17" max="17" width="10" style="1042" customWidth="1"/>
    <col min="18" max="18" width="23" style="1042" customWidth="1"/>
    <col min="19" max="25" width="11.7109375" style="1042" customWidth="1"/>
    <col min="26" max="26" width="9.140625" style="1042"/>
    <col min="27" max="27" width="22" style="1042" customWidth="1"/>
    <col min="28" max="28" width="15.7109375" style="1042" customWidth="1"/>
    <col min="29" max="33" width="9.140625" style="1042"/>
    <col min="34" max="34" width="12.28515625" style="1042" customWidth="1"/>
    <col min="35" max="16384" width="9.140625" style="1042"/>
  </cols>
  <sheetData>
    <row r="1" spans="1:18" ht="15.75" thickBot="1"/>
    <row r="2" spans="1:18" ht="22.5" customHeight="1" thickBot="1">
      <c r="B2" s="2032" t="s">
        <v>943</v>
      </c>
      <c r="C2" s="2033"/>
      <c r="D2" s="2033"/>
      <c r="E2" s="2033"/>
      <c r="F2" s="2033"/>
      <c r="G2" s="2033"/>
      <c r="H2" s="2033"/>
      <c r="I2" s="2034"/>
    </row>
    <row r="4" spans="1:18" ht="19.5" thickBot="1">
      <c r="B4" s="388" t="s">
        <v>801</v>
      </c>
      <c r="E4" s="647"/>
      <c r="F4" s="647"/>
      <c r="G4" s="647"/>
      <c r="H4" s="647"/>
      <c r="I4" s="647"/>
    </row>
    <row r="5" spans="1:18" s="390" customFormat="1" ht="18.75" customHeight="1">
      <c r="A5" s="2035" t="s">
        <v>1214</v>
      </c>
      <c r="B5" s="2036"/>
      <c r="C5" s="1043" t="s">
        <v>434</v>
      </c>
      <c r="D5" s="1044" t="s">
        <v>435</v>
      </c>
      <c r="E5" s="1044">
        <v>2021</v>
      </c>
      <c r="F5" s="1045">
        <v>2022</v>
      </c>
      <c r="G5" s="1044">
        <v>2023</v>
      </c>
      <c r="H5" s="1044">
        <v>2024</v>
      </c>
      <c r="I5" s="1046">
        <v>2025</v>
      </c>
      <c r="J5" s="1042"/>
      <c r="K5" s="1042"/>
      <c r="L5" s="1042"/>
      <c r="M5" s="389"/>
      <c r="N5" s="1042"/>
      <c r="O5" s="1042"/>
      <c r="P5" s="1042"/>
      <c r="Q5" s="1042"/>
      <c r="R5" s="1042"/>
    </row>
    <row r="6" spans="1:18" s="390" customFormat="1" ht="18" customHeight="1" thickBot="1">
      <c r="A6" s="2037"/>
      <c r="B6" s="2038"/>
      <c r="C6" s="1047">
        <f>C8+C15</f>
        <v>17100</v>
      </c>
      <c r="D6" s="1048">
        <v>0.255</v>
      </c>
      <c r="E6" s="1048">
        <v>0.3</v>
      </c>
      <c r="F6" s="1048">
        <v>0.35</v>
      </c>
      <c r="G6" s="1048">
        <v>0.4</v>
      </c>
      <c r="H6" s="1048">
        <v>0.55000000000000004</v>
      </c>
      <c r="I6" s="1049">
        <v>0.7</v>
      </c>
      <c r="J6" s="1042"/>
      <c r="K6" s="1042"/>
      <c r="L6" s="1042"/>
      <c r="M6" s="389"/>
      <c r="N6" s="1042"/>
      <c r="O6" s="1042"/>
      <c r="P6" s="1042"/>
      <c r="Q6" s="1042"/>
      <c r="R6" s="1042"/>
    </row>
    <row r="7" spans="1:18" s="390" customFormat="1" ht="15" customHeight="1">
      <c r="A7" s="2039" t="s">
        <v>870</v>
      </c>
      <c r="B7" s="1050" t="s">
        <v>1215</v>
      </c>
      <c r="C7" s="1051" t="s">
        <v>1216</v>
      </c>
      <c r="D7" s="1051"/>
      <c r="E7" s="1051">
        <f>C6*E6</f>
        <v>5130</v>
      </c>
      <c r="F7" s="1052">
        <f>C6*F6</f>
        <v>5985</v>
      </c>
      <c r="G7" s="1051">
        <f>C6*G6</f>
        <v>6840</v>
      </c>
      <c r="H7" s="1051">
        <f>C6*H6</f>
        <v>9405</v>
      </c>
      <c r="I7" s="1053">
        <f>C6*I6</f>
        <v>11970</v>
      </c>
      <c r="J7" s="1042"/>
      <c r="K7" s="1042"/>
      <c r="L7" s="1042"/>
      <c r="M7" s="389"/>
      <c r="N7" s="1042"/>
      <c r="O7" s="1042"/>
      <c r="P7" s="1042"/>
      <c r="Q7" s="1042"/>
      <c r="R7" s="1042"/>
    </row>
    <row r="8" spans="1:18" s="390" customFormat="1" ht="15" customHeight="1">
      <c r="A8" s="2040"/>
      <c r="B8" s="393" t="s">
        <v>803</v>
      </c>
      <c r="C8" s="394">
        <v>13000</v>
      </c>
      <c r="D8" s="394"/>
      <c r="E8" s="394">
        <f>C8*E6</f>
        <v>3900</v>
      </c>
      <c r="F8" s="649">
        <f>C8*F6</f>
        <v>4550</v>
      </c>
      <c r="G8" s="394">
        <f>C8*G6</f>
        <v>5200</v>
      </c>
      <c r="H8" s="394">
        <f>C8*H6</f>
        <v>7150.0000000000009</v>
      </c>
      <c r="I8" s="395">
        <f>C8*I6</f>
        <v>9100</v>
      </c>
      <c r="J8" s="1042"/>
      <c r="K8" s="1042"/>
      <c r="L8" s="1042"/>
      <c r="M8" s="389"/>
      <c r="N8" s="1042"/>
      <c r="O8" s="1042"/>
      <c r="P8" s="1042"/>
      <c r="Q8" s="1042"/>
      <c r="R8" s="1042"/>
    </row>
    <row r="9" spans="1:18" s="390" customFormat="1" ht="15" customHeight="1">
      <c r="A9" s="2040"/>
      <c r="B9" s="2042" t="s">
        <v>1217</v>
      </c>
      <c r="C9" s="1054">
        <v>1</v>
      </c>
      <c r="D9" s="1055"/>
      <c r="E9" s="1056">
        <v>0.75</v>
      </c>
      <c r="F9" s="1056">
        <v>0.7</v>
      </c>
      <c r="G9" s="1056">
        <v>0.65</v>
      </c>
      <c r="H9" s="1056">
        <v>0</v>
      </c>
      <c r="I9" s="1057">
        <v>0</v>
      </c>
      <c r="J9" s="1042"/>
      <c r="K9" s="1042"/>
      <c r="L9" s="1042"/>
      <c r="M9" s="389"/>
      <c r="N9" s="1042"/>
      <c r="O9" s="1042"/>
      <c r="P9" s="1042"/>
      <c r="Q9" s="1042"/>
      <c r="R9" s="1042"/>
    </row>
    <row r="10" spans="1:18" s="390" customFormat="1" ht="15" customHeight="1">
      <c r="A10" s="2040"/>
      <c r="B10" s="2042"/>
      <c r="C10" s="1054"/>
      <c r="D10" s="1055"/>
      <c r="E10" s="1058">
        <f>E8*E9</f>
        <v>2925</v>
      </c>
      <c r="F10" s="1058">
        <f>F8*F9</f>
        <v>3185</v>
      </c>
      <c r="G10" s="1058">
        <f>G8*G9</f>
        <v>3380</v>
      </c>
      <c r="H10" s="1058">
        <f>H8*H9</f>
        <v>0</v>
      </c>
      <c r="I10" s="1059">
        <f>I8*I9</f>
        <v>0</v>
      </c>
      <c r="J10" s="1042"/>
      <c r="K10" s="1042"/>
      <c r="L10" s="1042"/>
      <c r="M10" s="389"/>
      <c r="N10" s="1042"/>
      <c r="O10" s="1042"/>
      <c r="P10" s="1042"/>
      <c r="Q10" s="1042"/>
      <c r="R10" s="1042"/>
    </row>
    <row r="11" spans="1:18" s="390" customFormat="1" ht="15" customHeight="1">
      <c r="A11" s="2040"/>
      <c r="B11" s="2042" t="s">
        <v>441</v>
      </c>
      <c r="C11" s="1055"/>
      <c r="D11" s="1055"/>
      <c r="E11" s="1056">
        <f>C9-E9</f>
        <v>0.25</v>
      </c>
      <c r="F11" s="1056">
        <f>C9-F9</f>
        <v>0.30000000000000004</v>
      </c>
      <c r="G11" s="1056">
        <f>C9-G9</f>
        <v>0.35</v>
      </c>
      <c r="H11" s="1056">
        <v>0.4</v>
      </c>
      <c r="I11" s="1057">
        <v>0.45</v>
      </c>
      <c r="J11" s="1042"/>
      <c r="K11" s="1042"/>
      <c r="L11" s="1042"/>
      <c r="M11" s="389"/>
      <c r="N11" s="1042"/>
      <c r="O11" s="1042"/>
      <c r="P11" s="1042"/>
      <c r="Q11" s="1042"/>
      <c r="R11" s="1042"/>
    </row>
    <row r="12" spans="1:18" s="390" customFormat="1" ht="15" customHeight="1">
      <c r="A12" s="2040"/>
      <c r="B12" s="2042"/>
      <c r="C12" s="1055"/>
      <c r="D12" s="1055"/>
      <c r="E12" s="1058">
        <f>E8*E11</f>
        <v>975</v>
      </c>
      <c r="F12" s="1058">
        <f>F8*F11</f>
        <v>1365.0000000000002</v>
      </c>
      <c r="G12" s="1058">
        <f>G8*G11</f>
        <v>1819.9999999999998</v>
      </c>
      <c r="H12" s="1058">
        <f>H8*H11</f>
        <v>2860.0000000000005</v>
      </c>
      <c r="I12" s="1059">
        <f>I8*I11</f>
        <v>4095</v>
      </c>
      <c r="J12" s="1042"/>
      <c r="K12" s="1042"/>
      <c r="L12" s="1042"/>
      <c r="M12" s="389"/>
      <c r="N12" s="1042"/>
      <c r="O12" s="1042"/>
      <c r="P12" s="1042"/>
      <c r="Q12" s="1042"/>
      <c r="R12" s="1042"/>
    </row>
    <row r="13" spans="1:18" s="390" customFormat="1" ht="15" customHeight="1">
      <c r="A13" s="2040"/>
      <c r="B13" s="2042" t="s">
        <v>1218</v>
      </c>
      <c r="C13" s="1055"/>
      <c r="D13" s="1055"/>
      <c r="E13" s="1056">
        <f>C9-E9-E11</f>
        <v>0</v>
      </c>
      <c r="F13" s="1056">
        <f>C9-F9-F11</f>
        <v>0</v>
      </c>
      <c r="G13" s="1056">
        <f>C9-G9-G11</f>
        <v>0</v>
      </c>
      <c r="H13" s="1056">
        <f>C9-H9-H11</f>
        <v>0.6</v>
      </c>
      <c r="I13" s="1057">
        <f>C9-I9-I11</f>
        <v>0.55000000000000004</v>
      </c>
      <c r="J13" s="1042"/>
      <c r="K13" s="1042"/>
      <c r="L13" s="1042"/>
      <c r="M13" s="389"/>
      <c r="N13" s="1042"/>
      <c r="O13" s="1042"/>
      <c r="P13" s="1042"/>
      <c r="Q13" s="1042"/>
      <c r="R13" s="1042"/>
    </row>
    <row r="14" spans="1:18" s="390" customFormat="1" ht="15" customHeight="1" thickBot="1">
      <c r="A14" s="2040"/>
      <c r="B14" s="2043"/>
      <c r="C14" s="1060"/>
      <c r="D14" s="1060"/>
      <c r="E14" s="1061">
        <f>E13*E8</f>
        <v>0</v>
      </c>
      <c r="F14" s="1061">
        <f t="shared" ref="F14:I14" si="0">F13*F8</f>
        <v>0</v>
      </c>
      <c r="G14" s="1061">
        <f t="shared" si="0"/>
        <v>0</v>
      </c>
      <c r="H14" s="1061">
        <f t="shared" si="0"/>
        <v>4290</v>
      </c>
      <c r="I14" s="1062">
        <f t="shared" si="0"/>
        <v>5005</v>
      </c>
      <c r="J14" s="1042"/>
      <c r="K14" s="1042"/>
      <c r="L14" s="1042"/>
      <c r="M14" s="389"/>
      <c r="N14" s="1042"/>
      <c r="O14" s="1042"/>
      <c r="P14" s="1042"/>
      <c r="Q14" s="1042"/>
      <c r="R14" s="1042"/>
    </row>
    <row r="15" spans="1:18" s="390" customFormat="1" ht="15" customHeight="1">
      <c r="A15" s="2040"/>
      <c r="B15" s="1050" t="s">
        <v>804</v>
      </c>
      <c r="C15" s="1063">
        <v>4100</v>
      </c>
      <c r="D15" s="1063"/>
      <c r="E15" s="1063">
        <f>E6*C15</f>
        <v>1230</v>
      </c>
      <c r="F15" s="1063">
        <f>F6*C15</f>
        <v>1435</v>
      </c>
      <c r="G15" s="1063">
        <f>G6*C15</f>
        <v>1640</v>
      </c>
      <c r="H15" s="1063">
        <f>H6*C15</f>
        <v>2255</v>
      </c>
      <c r="I15" s="1064">
        <f>I6*C15</f>
        <v>2870</v>
      </c>
      <c r="J15" s="1042"/>
      <c r="K15" s="1042"/>
      <c r="L15" s="1042"/>
      <c r="M15" s="389"/>
      <c r="N15" s="1042"/>
      <c r="O15" s="1042"/>
      <c r="P15" s="1042"/>
      <c r="Q15" s="1042"/>
      <c r="R15" s="1042"/>
    </row>
    <row r="16" spans="1:18" s="390" customFormat="1" ht="15" customHeight="1">
      <c r="A16" s="2040"/>
      <c r="B16" s="2042" t="s">
        <v>1219</v>
      </c>
      <c r="C16" s="1054">
        <v>1</v>
      </c>
      <c r="D16" s="1055"/>
      <c r="E16" s="1056">
        <v>1</v>
      </c>
      <c r="F16" s="1056">
        <v>1</v>
      </c>
      <c r="G16" s="1056">
        <v>1</v>
      </c>
      <c r="H16" s="1056">
        <v>0</v>
      </c>
      <c r="I16" s="1057">
        <v>0</v>
      </c>
      <c r="J16" s="1042"/>
      <c r="K16" s="1042"/>
      <c r="L16" s="1042"/>
      <c r="M16" s="389"/>
      <c r="N16" s="1042"/>
      <c r="O16" s="1042"/>
      <c r="P16" s="1042"/>
      <c r="Q16" s="1042"/>
      <c r="R16" s="1042"/>
    </row>
    <row r="17" spans="1:18" s="390" customFormat="1" ht="15" customHeight="1">
      <c r="A17" s="2040"/>
      <c r="B17" s="2042"/>
      <c r="C17" s="1054"/>
      <c r="D17" s="1055"/>
      <c r="E17" s="1058">
        <f>E15*E16</f>
        <v>1230</v>
      </c>
      <c r="F17" s="1058">
        <f t="shared" ref="F17:G17" si="1">F15*F16</f>
        <v>1435</v>
      </c>
      <c r="G17" s="1058">
        <f t="shared" si="1"/>
        <v>1640</v>
      </c>
      <c r="H17" s="1058">
        <f t="shared" ref="H17:I17" si="2">H13*H16</f>
        <v>0</v>
      </c>
      <c r="I17" s="1059">
        <f t="shared" si="2"/>
        <v>0</v>
      </c>
      <c r="J17" s="1042"/>
      <c r="K17" s="1042"/>
      <c r="L17" s="1042"/>
      <c r="M17" s="389"/>
      <c r="N17" s="1042"/>
      <c r="O17" s="1042"/>
      <c r="P17" s="1042"/>
      <c r="Q17" s="1042"/>
      <c r="R17" s="1042"/>
    </row>
    <row r="18" spans="1:18" s="390" customFormat="1" ht="15" customHeight="1">
      <c r="A18" s="2040"/>
      <c r="B18" s="2042" t="s">
        <v>1220</v>
      </c>
      <c r="C18" s="1055"/>
      <c r="D18" s="1055"/>
      <c r="E18" s="1056">
        <v>0</v>
      </c>
      <c r="F18" s="1056">
        <v>0</v>
      </c>
      <c r="G18" s="1056">
        <v>0</v>
      </c>
      <c r="H18" s="1056">
        <v>0.1</v>
      </c>
      <c r="I18" s="1057">
        <v>0.3</v>
      </c>
      <c r="J18" s="1042"/>
      <c r="K18" s="1042"/>
      <c r="L18" s="1042"/>
      <c r="M18" s="389"/>
      <c r="N18" s="1042"/>
      <c r="O18" s="1042"/>
      <c r="P18" s="1042"/>
      <c r="Q18" s="1042"/>
      <c r="R18" s="1042"/>
    </row>
    <row r="19" spans="1:18" s="390" customFormat="1" ht="15" customHeight="1">
      <c r="A19" s="2040"/>
      <c r="B19" s="2042"/>
      <c r="C19" s="1055"/>
      <c r="D19" s="1055"/>
      <c r="E19" s="1058">
        <f>E18*E13</f>
        <v>0</v>
      </c>
      <c r="F19" s="1058">
        <f t="shared" ref="F19:G19" si="3">F18*F13</f>
        <v>0</v>
      </c>
      <c r="G19" s="1058">
        <f t="shared" si="3"/>
        <v>0</v>
      </c>
      <c r="H19" s="1065">
        <f>H18*H15</f>
        <v>225.5</v>
      </c>
      <c r="I19" s="1066">
        <f>I18*I15</f>
        <v>861</v>
      </c>
      <c r="J19" s="1042"/>
      <c r="K19" s="1042"/>
      <c r="L19" s="1042"/>
      <c r="M19" s="389"/>
      <c r="N19" s="1042"/>
      <c r="O19" s="1042"/>
      <c r="P19" s="1042"/>
      <c r="Q19" s="1042"/>
      <c r="R19" s="1042"/>
    </row>
    <row r="20" spans="1:18" s="390" customFormat="1" ht="15" customHeight="1">
      <c r="A20" s="2040"/>
      <c r="B20" s="2042" t="s">
        <v>1218</v>
      </c>
      <c r="C20" s="1055"/>
      <c r="D20" s="1055"/>
      <c r="E20" s="1056">
        <v>0</v>
      </c>
      <c r="F20" s="1056">
        <v>0</v>
      </c>
      <c r="G20" s="1056">
        <v>0</v>
      </c>
      <c r="H20" s="1056">
        <f>C16-H16-H18</f>
        <v>0.9</v>
      </c>
      <c r="I20" s="1057">
        <f>C16-I16-I18</f>
        <v>0.7</v>
      </c>
      <c r="J20" s="1042"/>
      <c r="K20" s="1042"/>
      <c r="L20" s="1042"/>
      <c r="M20" s="389"/>
      <c r="N20" s="1042"/>
      <c r="O20" s="1042"/>
      <c r="P20" s="1042"/>
      <c r="Q20" s="1042"/>
      <c r="R20" s="1042"/>
    </row>
    <row r="21" spans="1:18" s="390" customFormat="1" ht="15" customHeight="1" thickBot="1">
      <c r="A21" s="2040"/>
      <c r="B21" s="2043"/>
      <c r="C21" s="1060"/>
      <c r="D21" s="1060"/>
      <c r="E21" s="1061">
        <f>E20*E15</f>
        <v>0</v>
      </c>
      <c r="F21" s="1061">
        <f t="shared" ref="F21:I21" si="4">F20*F15</f>
        <v>0</v>
      </c>
      <c r="G21" s="1061">
        <f t="shared" si="4"/>
        <v>0</v>
      </c>
      <c r="H21" s="1067">
        <f>H20*H15</f>
        <v>2029.5</v>
      </c>
      <c r="I21" s="1068">
        <f t="shared" si="4"/>
        <v>2008.9999999999998</v>
      </c>
      <c r="J21" s="1042"/>
      <c r="K21" s="1042"/>
      <c r="L21" s="1042"/>
      <c r="M21" s="389"/>
      <c r="N21" s="1042"/>
      <c r="O21" s="1042"/>
      <c r="P21" s="1042"/>
      <c r="Q21" s="1042"/>
      <c r="R21" s="1042"/>
    </row>
    <row r="22" spans="1:18" s="390" customFormat="1" ht="15" customHeight="1">
      <c r="A22" s="2040"/>
      <c r="B22" s="1069" t="s">
        <v>1221</v>
      </c>
      <c r="C22" s="552"/>
      <c r="D22" s="552"/>
      <c r="E22" s="397">
        <v>0.9</v>
      </c>
      <c r="F22" s="397">
        <v>0.9</v>
      </c>
      <c r="G22" s="397">
        <v>0.9</v>
      </c>
      <c r="H22" s="397">
        <v>0.9</v>
      </c>
      <c r="I22" s="843">
        <v>0.9</v>
      </c>
      <c r="J22" s="1042"/>
      <c r="K22" s="1042"/>
      <c r="L22" s="1042"/>
      <c r="M22" s="389"/>
      <c r="N22" s="1042"/>
      <c r="O22" s="1042"/>
      <c r="P22" s="1042"/>
      <c r="Q22" s="1042"/>
      <c r="R22" s="1042"/>
    </row>
    <row r="23" spans="1:18" s="390" customFormat="1" ht="15" customHeight="1">
      <c r="A23" s="2040"/>
      <c r="B23" s="1070" t="s">
        <v>807</v>
      </c>
      <c r="C23" s="1026"/>
      <c r="D23" s="1071"/>
      <c r="E23" s="401">
        <v>0.8</v>
      </c>
      <c r="F23" s="402">
        <v>0.8</v>
      </c>
      <c r="G23" s="401">
        <v>0.85</v>
      </c>
      <c r="H23" s="401">
        <v>0.85</v>
      </c>
      <c r="I23" s="416">
        <v>0.9</v>
      </c>
      <c r="J23" s="1042"/>
      <c r="K23" s="1042"/>
      <c r="L23" s="1042"/>
      <c r="M23" s="389"/>
      <c r="N23" s="1042"/>
      <c r="O23" s="1042"/>
      <c r="P23" s="1042"/>
      <c r="Q23" s="1042"/>
      <c r="R23" s="1042"/>
    </row>
    <row r="24" spans="1:18" s="390" customFormat="1" ht="15" customHeight="1">
      <c r="A24" s="2040"/>
      <c r="B24" s="2044" t="s">
        <v>808</v>
      </c>
      <c r="C24" s="1024"/>
      <c r="D24" s="404"/>
      <c r="E24" s="414">
        <v>0.8</v>
      </c>
      <c r="F24" s="414">
        <v>0.8</v>
      </c>
      <c r="G24" s="414">
        <v>0.8</v>
      </c>
      <c r="H24" s="414">
        <v>0.8</v>
      </c>
      <c r="I24" s="415">
        <v>0.8</v>
      </c>
      <c r="J24" s="1042"/>
      <c r="K24" s="1042"/>
      <c r="L24" s="1042"/>
      <c r="M24" s="389"/>
      <c r="N24" s="1042"/>
      <c r="O24" s="1042"/>
      <c r="P24" s="1042"/>
      <c r="Q24" s="1042"/>
      <c r="R24" s="1042"/>
    </row>
    <row r="25" spans="1:18" s="390" customFormat="1" ht="15" customHeight="1">
      <c r="A25" s="2040"/>
      <c r="B25" s="2045"/>
      <c r="C25" s="1072"/>
      <c r="D25" s="1073" t="s">
        <v>101</v>
      </c>
      <c r="E25" s="406">
        <f>E7*E22*E23*E24</f>
        <v>2954.8800000000006</v>
      </c>
      <c r="F25" s="406">
        <f t="shared" ref="F25:I25" si="5">F7*F22*F23*F24</f>
        <v>3447.36</v>
      </c>
      <c r="G25" s="406">
        <f t="shared" si="5"/>
        <v>4186.08</v>
      </c>
      <c r="H25" s="406">
        <f t="shared" si="5"/>
        <v>5755.8600000000006</v>
      </c>
      <c r="I25" s="407">
        <f t="shared" si="5"/>
        <v>7756.5600000000013</v>
      </c>
      <c r="J25" s="410"/>
      <c r="K25" s="410"/>
      <c r="L25" s="410"/>
      <c r="M25" s="410"/>
      <c r="N25" s="410"/>
      <c r="O25" s="1042"/>
      <c r="P25" s="1042"/>
      <c r="Q25" s="1042"/>
      <c r="R25" s="1042"/>
    </row>
    <row r="26" spans="1:18" s="390" customFormat="1" ht="15" customHeight="1">
      <c r="A26" s="2040"/>
      <c r="B26" s="2045"/>
      <c r="C26" s="1072" t="s">
        <v>1222</v>
      </c>
      <c r="D26" s="1026" t="s">
        <v>803</v>
      </c>
      <c r="E26" s="410">
        <f>E8*E22*E23*E24</f>
        <v>2246.4</v>
      </c>
      <c r="F26" s="410">
        <f t="shared" ref="F26:I26" si="6">F8*F22*F23*F24</f>
        <v>2620.8000000000002</v>
      </c>
      <c r="G26" s="410">
        <f t="shared" si="6"/>
        <v>3182.4</v>
      </c>
      <c r="H26" s="410">
        <f t="shared" si="6"/>
        <v>4375.8000000000011</v>
      </c>
      <c r="I26" s="411">
        <f t="shared" si="6"/>
        <v>5896.8</v>
      </c>
      <c r="J26" s="410"/>
      <c r="K26" s="410"/>
      <c r="L26" s="410"/>
      <c r="M26" s="410"/>
      <c r="N26" s="410"/>
      <c r="O26" s="1042"/>
      <c r="P26" s="1042"/>
      <c r="Q26" s="1042"/>
      <c r="R26" s="1042"/>
    </row>
    <row r="27" spans="1:18" s="390" customFormat="1" ht="15" customHeight="1">
      <c r="A27" s="2040"/>
      <c r="B27" s="2046"/>
      <c r="C27" s="1074" t="s">
        <v>1223</v>
      </c>
      <c r="D27" s="1025" t="s">
        <v>804</v>
      </c>
      <c r="E27" s="406">
        <f>E15*E22*E23*E24</f>
        <v>708.48</v>
      </c>
      <c r="F27" s="406">
        <f t="shared" ref="F27:I27" si="7">F15*F22*F23*F24</f>
        <v>826.56000000000006</v>
      </c>
      <c r="G27" s="406">
        <f t="shared" si="7"/>
        <v>1003.68</v>
      </c>
      <c r="H27" s="406">
        <f t="shared" si="7"/>
        <v>1380.0600000000002</v>
      </c>
      <c r="I27" s="407">
        <f t="shared" si="7"/>
        <v>1859.7600000000002</v>
      </c>
      <c r="J27" s="410">
        <f t="shared" ref="J27:N50" si="8">E27*1.15</f>
        <v>814.75199999999995</v>
      </c>
      <c r="K27" s="410">
        <f t="shared" si="8"/>
        <v>950.54399999999998</v>
      </c>
      <c r="L27" s="410">
        <f t="shared" si="8"/>
        <v>1154.2319999999997</v>
      </c>
      <c r="M27" s="410">
        <f t="shared" si="8"/>
        <v>1587.0690000000002</v>
      </c>
      <c r="N27" s="410">
        <f t="shared" si="8"/>
        <v>2138.7240000000002</v>
      </c>
      <c r="O27" s="1042"/>
      <c r="P27" s="1042"/>
      <c r="Q27" s="1042"/>
      <c r="R27" s="1042"/>
    </row>
    <row r="28" spans="1:18" s="390" customFormat="1" ht="15" customHeight="1">
      <c r="A28" s="2040"/>
      <c r="B28" s="2020" t="s">
        <v>809</v>
      </c>
      <c r="C28" s="1072"/>
      <c r="D28" s="1026"/>
      <c r="E28" s="402">
        <v>0.2</v>
      </c>
      <c r="F28" s="402">
        <v>0.2</v>
      </c>
      <c r="G28" s="402">
        <v>0.2</v>
      </c>
      <c r="H28" s="402">
        <v>0.2</v>
      </c>
      <c r="I28" s="416">
        <v>0.2</v>
      </c>
      <c r="J28" s="410"/>
      <c r="K28" s="410"/>
      <c r="L28" s="410"/>
      <c r="M28" s="410"/>
      <c r="N28" s="410"/>
      <c r="O28" s="1042"/>
      <c r="P28" s="1042"/>
      <c r="Q28" s="1042"/>
      <c r="R28" s="1042"/>
    </row>
    <row r="29" spans="1:18" s="390" customFormat="1" ht="15" customHeight="1">
      <c r="A29" s="2040"/>
      <c r="B29" s="2020"/>
      <c r="C29" s="1072"/>
      <c r="D29" s="1073" t="s">
        <v>101</v>
      </c>
      <c r="E29" s="406">
        <f>E7*E22*E23*E28</f>
        <v>738.72000000000014</v>
      </c>
      <c r="F29" s="406">
        <f>F7*F22*F23*F28</f>
        <v>861.84</v>
      </c>
      <c r="G29" s="406">
        <f>G7*G22*G23*G28</f>
        <v>1046.52</v>
      </c>
      <c r="H29" s="406">
        <f>H7*H22*H23*H28</f>
        <v>1438.9650000000001</v>
      </c>
      <c r="I29" s="407">
        <f>I7*I22*I23*I28</f>
        <v>1939.1400000000003</v>
      </c>
      <c r="J29" s="410"/>
      <c r="K29" s="410"/>
      <c r="L29" s="410"/>
      <c r="M29" s="410"/>
      <c r="N29" s="410"/>
      <c r="O29" s="1042"/>
      <c r="P29" s="1042"/>
      <c r="Q29" s="1042"/>
      <c r="R29" s="1042"/>
    </row>
    <row r="30" spans="1:18" s="390" customFormat="1" ht="15" customHeight="1">
      <c r="A30" s="2040"/>
      <c r="B30" s="2020"/>
      <c r="C30" s="1072" t="s">
        <v>1222</v>
      </c>
      <c r="D30" s="1026" t="s">
        <v>1224</v>
      </c>
      <c r="E30" s="410">
        <f>E8*E22*E23*E28</f>
        <v>561.6</v>
      </c>
      <c r="F30" s="410">
        <f>F8*F22*F23*F28</f>
        <v>655.20000000000005</v>
      </c>
      <c r="G30" s="410">
        <f>G8*G22*G23*G28</f>
        <v>795.6</v>
      </c>
      <c r="H30" s="410">
        <f>H8*H22*H23*H28</f>
        <v>1093.9500000000003</v>
      </c>
      <c r="I30" s="411">
        <f>I8*I22*I23*I28</f>
        <v>1474.2</v>
      </c>
      <c r="J30" s="410"/>
      <c r="K30" s="410"/>
      <c r="L30" s="410"/>
      <c r="M30" s="410"/>
      <c r="N30" s="410"/>
      <c r="O30" s="1042"/>
      <c r="P30" s="1042"/>
      <c r="Q30" s="1042"/>
      <c r="R30" s="1042"/>
    </row>
    <row r="31" spans="1:18" s="390" customFormat="1" ht="15" customHeight="1" thickBot="1">
      <c r="A31" s="2040"/>
      <c r="B31" s="2021"/>
      <c r="C31" s="1075" t="s">
        <v>1223</v>
      </c>
      <c r="D31" s="490" t="s">
        <v>804</v>
      </c>
      <c r="E31" s="417">
        <f>E15*E22*E23*E28</f>
        <v>177.12</v>
      </c>
      <c r="F31" s="417">
        <f>F15*F22*F23*F28</f>
        <v>206.64000000000001</v>
      </c>
      <c r="G31" s="417">
        <f>G15*G22*G23*G28</f>
        <v>250.92</v>
      </c>
      <c r="H31" s="417">
        <f>H15*H22*H23*H28</f>
        <v>345.01500000000004</v>
      </c>
      <c r="I31" s="418">
        <f>I15*I22*I23*I28</f>
        <v>464.94000000000005</v>
      </c>
      <c r="J31" s="410">
        <f t="shared" si="8"/>
        <v>203.68799999999999</v>
      </c>
      <c r="K31" s="410">
        <f t="shared" si="8"/>
        <v>237.636</v>
      </c>
      <c r="L31" s="410">
        <f t="shared" si="8"/>
        <v>288.55799999999994</v>
      </c>
      <c r="M31" s="410">
        <f t="shared" si="8"/>
        <v>396.76725000000005</v>
      </c>
      <c r="N31" s="410">
        <f t="shared" si="8"/>
        <v>534.68100000000004</v>
      </c>
      <c r="O31" s="1042"/>
      <c r="P31" s="1042"/>
      <c r="Q31" s="1042"/>
      <c r="R31" s="1042"/>
    </row>
    <row r="32" spans="1:18" s="390" customFormat="1" ht="15" customHeight="1">
      <c r="A32" s="2040"/>
      <c r="B32" s="2022" t="s">
        <v>944</v>
      </c>
      <c r="C32" s="2025" t="s">
        <v>806</v>
      </c>
      <c r="D32" s="2025"/>
      <c r="E32" s="397">
        <v>0.9</v>
      </c>
      <c r="F32" s="397">
        <v>0.9</v>
      </c>
      <c r="G32" s="397">
        <v>0.9</v>
      </c>
      <c r="H32" s="397">
        <v>0.9</v>
      </c>
      <c r="I32" s="843">
        <v>0.9</v>
      </c>
      <c r="J32" s="410"/>
      <c r="K32" s="410"/>
      <c r="L32" s="410"/>
      <c r="M32" s="410"/>
      <c r="N32" s="410"/>
      <c r="O32" s="1042"/>
      <c r="P32" s="1042"/>
      <c r="Q32" s="1042"/>
      <c r="R32" s="1042"/>
    </row>
    <row r="33" spans="1:18" s="390" customFormat="1" ht="15" customHeight="1">
      <c r="A33" s="2040"/>
      <c r="B33" s="2023"/>
      <c r="C33" s="2026"/>
      <c r="D33" s="2026"/>
      <c r="E33" s="412">
        <f>E7*E32</f>
        <v>4617</v>
      </c>
      <c r="F33" s="412">
        <f>F7*F32</f>
        <v>5386.5</v>
      </c>
      <c r="G33" s="412">
        <f>G7*G32</f>
        <v>6156</v>
      </c>
      <c r="H33" s="412">
        <f>H7*H32</f>
        <v>8464.5</v>
      </c>
      <c r="I33" s="413">
        <f>I7*I32</f>
        <v>10773</v>
      </c>
      <c r="J33" s="410">
        <f t="shared" si="8"/>
        <v>5309.5499999999993</v>
      </c>
      <c r="K33" s="410">
        <f t="shared" si="8"/>
        <v>6194.4749999999995</v>
      </c>
      <c r="L33" s="410">
        <f t="shared" si="8"/>
        <v>7079.4</v>
      </c>
      <c r="M33" s="410">
        <f t="shared" si="8"/>
        <v>9734.1749999999993</v>
      </c>
      <c r="N33" s="410">
        <f t="shared" si="8"/>
        <v>12388.949999999999</v>
      </c>
      <c r="O33" s="1042"/>
      <c r="P33" s="1042"/>
      <c r="Q33" s="1042"/>
      <c r="R33" s="1042"/>
    </row>
    <row r="34" spans="1:18" s="390" customFormat="1" ht="15" customHeight="1">
      <c r="A34" s="2040"/>
      <c r="B34" s="2023"/>
      <c r="C34" s="1028" t="s">
        <v>810</v>
      </c>
      <c r="D34" s="1028"/>
      <c r="E34" s="401">
        <v>0.8</v>
      </c>
      <c r="F34" s="402">
        <v>0.8</v>
      </c>
      <c r="G34" s="401">
        <v>0.85</v>
      </c>
      <c r="H34" s="401">
        <v>0.85</v>
      </c>
      <c r="I34" s="416">
        <v>0.9</v>
      </c>
      <c r="J34" s="410"/>
      <c r="K34" s="410"/>
      <c r="L34" s="410"/>
      <c r="M34" s="410"/>
      <c r="N34" s="410"/>
      <c r="O34" s="1042"/>
      <c r="P34" s="1042"/>
      <c r="Q34" s="1042"/>
      <c r="R34" s="1042"/>
    </row>
    <row r="35" spans="1:18" s="390" customFormat="1" ht="15" customHeight="1">
      <c r="A35" s="2040"/>
      <c r="B35" s="2024"/>
      <c r="C35" s="1022"/>
      <c r="D35" s="1022"/>
      <c r="E35" s="399">
        <f>E34*E33</f>
        <v>3693.6000000000004</v>
      </c>
      <c r="F35" s="399">
        <f>F34*F33</f>
        <v>4309.2</v>
      </c>
      <c r="G35" s="399">
        <f>G34*G33</f>
        <v>5232.5999999999995</v>
      </c>
      <c r="H35" s="399">
        <f>H34*H33</f>
        <v>7194.8249999999998</v>
      </c>
      <c r="I35" s="400">
        <f>I34*I33</f>
        <v>9695.7000000000007</v>
      </c>
      <c r="J35" s="410"/>
      <c r="K35" s="410"/>
      <c r="L35" s="410"/>
      <c r="M35" s="410"/>
      <c r="N35" s="410"/>
      <c r="O35" s="1042"/>
      <c r="P35" s="1042"/>
      <c r="Q35" s="1042"/>
      <c r="R35" s="1042"/>
    </row>
    <row r="36" spans="1:18" s="390" customFormat="1" ht="15" customHeight="1">
      <c r="A36" s="2040"/>
      <c r="B36" s="2027" t="s">
        <v>811</v>
      </c>
      <c r="C36" s="1026" t="s">
        <v>812</v>
      </c>
      <c r="D36" s="1076" t="s">
        <v>101</v>
      </c>
      <c r="E36" s="1077">
        <f>E35-E25</f>
        <v>738.7199999999998</v>
      </c>
      <c r="F36" s="1077">
        <f t="shared" ref="F36:I36" si="9">F35-F25</f>
        <v>861.83999999999969</v>
      </c>
      <c r="G36" s="1077">
        <f t="shared" si="9"/>
        <v>1046.5199999999995</v>
      </c>
      <c r="H36" s="1077">
        <f t="shared" si="9"/>
        <v>1438.9649999999992</v>
      </c>
      <c r="I36" s="1078">
        <f t="shared" si="9"/>
        <v>1939.1399999999994</v>
      </c>
      <c r="J36" s="410"/>
      <c r="K36" s="410"/>
      <c r="L36" s="410"/>
      <c r="M36" s="410"/>
      <c r="N36" s="410"/>
      <c r="O36" s="1042"/>
      <c r="P36" s="1042"/>
      <c r="Q36" s="1042"/>
      <c r="R36" s="1042"/>
    </row>
    <row r="37" spans="1:18" s="390" customFormat="1" ht="15" customHeight="1">
      <c r="A37" s="2040"/>
      <c r="B37" s="2028"/>
      <c r="C37" s="1026"/>
      <c r="D37" s="1026" t="s">
        <v>1224</v>
      </c>
      <c r="E37" s="410">
        <f>(E8*E32*E34)-E26</f>
        <v>561.59999999999991</v>
      </c>
      <c r="F37" s="410">
        <f t="shared" ref="F37:I37" si="10">(F8*F32*F34)-F26</f>
        <v>655.19999999999982</v>
      </c>
      <c r="G37" s="410">
        <f t="shared" si="10"/>
        <v>795.59999999999991</v>
      </c>
      <c r="H37" s="410">
        <f t="shared" si="10"/>
        <v>1093.9499999999998</v>
      </c>
      <c r="I37" s="411">
        <f t="shared" si="10"/>
        <v>1474.1999999999998</v>
      </c>
      <c r="J37" s="970"/>
      <c r="K37" s="970"/>
      <c r="L37" s="970"/>
      <c r="M37" s="970"/>
      <c r="N37" s="970"/>
      <c r="O37" s="1042"/>
      <c r="P37" s="1042"/>
      <c r="Q37" s="1042"/>
      <c r="R37" s="1042"/>
    </row>
    <row r="38" spans="1:18" s="390" customFormat="1" ht="15" customHeight="1" thickBot="1">
      <c r="A38" s="2040"/>
      <c r="B38" s="2029"/>
      <c r="C38" s="490"/>
      <c r="D38" s="490" t="s">
        <v>804</v>
      </c>
      <c r="E38" s="1079">
        <f>(E15*E32*E34)-E27</f>
        <v>177.12</v>
      </c>
      <c r="F38" s="1079">
        <f t="shared" ref="F38:I38" si="11">(F15*F32*F34)-F27</f>
        <v>206.64</v>
      </c>
      <c r="G38" s="1079">
        <f t="shared" si="11"/>
        <v>250.91999999999996</v>
      </c>
      <c r="H38" s="1079">
        <f t="shared" si="11"/>
        <v>345.01499999999987</v>
      </c>
      <c r="I38" s="1080">
        <f t="shared" si="11"/>
        <v>464.94000000000005</v>
      </c>
      <c r="J38" s="970">
        <f t="shared" si="8"/>
        <v>203.68799999999999</v>
      </c>
      <c r="K38" s="970">
        <f t="shared" si="8"/>
        <v>237.63599999999997</v>
      </c>
      <c r="L38" s="970">
        <f t="shared" si="8"/>
        <v>288.55799999999994</v>
      </c>
      <c r="M38" s="970">
        <f t="shared" si="8"/>
        <v>396.76724999999982</v>
      </c>
      <c r="N38" s="970">
        <f t="shared" si="8"/>
        <v>534.68100000000004</v>
      </c>
      <c r="O38" s="1042"/>
      <c r="P38" s="1042"/>
      <c r="Q38" s="1042"/>
      <c r="R38" s="1042"/>
    </row>
    <row r="39" spans="1:18" s="390" customFormat="1" ht="15" customHeight="1">
      <c r="A39" s="2040"/>
      <c r="B39" s="2030" t="s">
        <v>945</v>
      </c>
      <c r="C39" s="2025" t="s">
        <v>806</v>
      </c>
      <c r="D39" s="2025"/>
      <c r="E39" s="397">
        <v>0.95</v>
      </c>
      <c r="F39" s="397">
        <v>0.95</v>
      </c>
      <c r="G39" s="397">
        <v>0.95</v>
      </c>
      <c r="H39" s="397">
        <v>0.95</v>
      </c>
      <c r="I39" s="843">
        <v>0.95</v>
      </c>
      <c r="J39" s="410"/>
      <c r="K39" s="410"/>
      <c r="L39" s="410"/>
      <c r="M39" s="410"/>
      <c r="N39" s="410"/>
      <c r="O39" s="1042"/>
      <c r="P39" s="1042"/>
      <c r="Q39" s="1042"/>
      <c r="R39" s="1042"/>
    </row>
    <row r="40" spans="1:18" s="390" customFormat="1" ht="15" customHeight="1">
      <c r="A40" s="2040"/>
      <c r="B40" s="2031"/>
      <c r="C40" s="2026"/>
      <c r="D40" s="2026"/>
      <c r="E40" s="412">
        <f>E7*E39</f>
        <v>4873.5</v>
      </c>
      <c r="F40" s="412">
        <f>F7*F39</f>
        <v>5685.75</v>
      </c>
      <c r="G40" s="412">
        <f>G7*G39</f>
        <v>6498</v>
      </c>
      <c r="H40" s="412">
        <f>H7*H39</f>
        <v>8934.75</v>
      </c>
      <c r="I40" s="413">
        <f>I7*I39</f>
        <v>11371.5</v>
      </c>
      <c r="J40" s="410">
        <f t="shared" si="8"/>
        <v>5604.5249999999996</v>
      </c>
      <c r="K40" s="410">
        <f t="shared" si="8"/>
        <v>6538.6124999999993</v>
      </c>
      <c r="L40" s="410">
        <f t="shared" si="8"/>
        <v>7472.7</v>
      </c>
      <c r="M40" s="410">
        <f t="shared" si="8"/>
        <v>10274.9625</v>
      </c>
      <c r="N40" s="410">
        <f t="shared" si="8"/>
        <v>13077.224999999999</v>
      </c>
      <c r="O40" s="1042"/>
      <c r="P40" s="1042"/>
      <c r="Q40" s="1042"/>
      <c r="R40" s="1042"/>
    </row>
    <row r="41" spans="1:18" s="390" customFormat="1" ht="15" customHeight="1">
      <c r="A41" s="2040"/>
      <c r="B41" s="2031"/>
      <c r="C41" s="1023" t="s">
        <v>813</v>
      </c>
      <c r="D41" s="1023"/>
      <c r="E41" s="402">
        <v>0.2</v>
      </c>
      <c r="F41" s="402">
        <v>0.2</v>
      </c>
      <c r="G41" s="402">
        <v>0.25</v>
      </c>
      <c r="H41" s="402">
        <v>0.25</v>
      </c>
      <c r="I41" s="416">
        <v>0.3</v>
      </c>
      <c r="J41" s="410"/>
      <c r="K41" s="410"/>
      <c r="L41" s="410"/>
      <c r="M41" s="410"/>
      <c r="N41" s="410"/>
      <c r="O41" s="1042"/>
      <c r="P41" s="1042"/>
      <c r="Q41" s="1042"/>
      <c r="R41" s="1042"/>
    </row>
    <row r="42" spans="1:18" s="390" customFormat="1" ht="15" customHeight="1">
      <c r="A42" s="2040"/>
      <c r="B42" s="2047" t="s">
        <v>814</v>
      </c>
      <c r="C42" s="1023"/>
      <c r="D42" s="1073" t="s">
        <v>101</v>
      </c>
      <c r="E42" s="406">
        <f>E40*E41</f>
        <v>974.7</v>
      </c>
      <c r="F42" s="406">
        <f t="shared" ref="F42:I42" si="12">F40*F41</f>
        <v>1137.1500000000001</v>
      </c>
      <c r="G42" s="406">
        <f t="shared" si="12"/>
        <v>1624.5</v>
      </c>
      <c r="H42" s="406">
        <f t="shared" si="12"/>
        <v>2233.6875</v>
      </c>
      <c r="I42" s="407">
        <f t="shared" si="12"/>
        <v>3411.45</v>
      </c>
      <c r="J42" s="410"/>
      <c r="K42" s="410"/>
      <c r="L42" s="410"/>
      <c r="M42" s="410"/>
      <c r="N42" s="410"/>
      <c r="O42" s="1042"/>
      <c r="P42" s="1042"/>
      <c r="Q42" s="1042"/>
      <c r="R42" s="1042"/>
    </row>
    <row r="43" spans="1:18" s="390" customFormat="1" ht="15" customHeight="1">
      <c r="A43" s="2040"/>
      <c r="B43" s="2047"/>
      <c r="C43" s="1023"/>
      <c r="D43" s="1026" t="s">
        <v>1224</v>
      </c>
      <c r="E43" s="410">
        <f>E8*E39*E41</f>
        <v>741</v>
      </c>
      <c r="F43" s="410">
        <f t="shared" ref="F43:I43" si="13">F8*F39*F41</f>
        <v>864.5</v>
      </c>
      <c r="G43" s="410">
        <f t="shared" si="13"/>
        <v>1235</v>
      </c>
      <c r="H43" s="410">
        <f t="shared" si="13"/>
        <v>1698.1250000000002</v>
      </c>
      <c r="I43" s="411">
        <f t="shared" si="13"/>
        <v>2593.5</v>
      </c>
      <c r="J43" s="410"/>
      <c r="K43" s="410"/>
      <c r="L43" s="410"/>
      <c r="M43" s="410"/>
      <c r="N43" s="410"/>
      <c r="O43" s="1042"/>
      <c r="P43" s="1042"/>
      <c r="Q43" s="1042"/>
      <c r="R43" s="1042"/>
    </row>
    <row r="44" spans="1:18" s="390" customFormat="1" ht="15" customHeight="1" thickBot="1">
      <c r="A44" s="2040"/>
      <c r="B44" s="2048"/>
      <c r="C44" s="1027"/>
      <c r="D44" s="490" t="s">
        <v>804</v>
      </c>
      <c r="E44" s="417">
        <f>E15*E39*E41</f>
        <v>233.70000000000002</v>
      </c>
      <c r="F44" s="417">
        <f t="shared" ref="F44:I44" si="14">F15*F39*F41</f>
        <v>272.65000000000003</v>
      </c>
      <c r="G44" s="417">
        <f t="shared" si="14"/>
        <v>389.5</v>
      </c>
      <c r="H44" s="417">
        <f t="shared" si="14"/>
        <v>535.5625</v>
      </c>
      <c r="I44" s="418">
        <f t="shared" si="14"/>
        <v>817.94999999999993</v>
      </c>
      <c r="J44" s="410">
        <f t="shared" si="8"/>
        <v>268.755</v>
      </c>
      <c r="K44" s="410">
        <f t="shared" si="8"/>
        <v>313.54750000000001</v>
      </c>
      <c r="L44" s="410">
        <f t="shared" si="8"/>
        <v>447.92499999999995</v>
      </c>
      <c r="M44" s="410">
        <f t="shared" si="8"/>
        <v>615.89687499999991</v>
      </c>
      <c r="N44" s="410">
        <f t="shared" si="8"/>
        <v>940.64249999999981</v>
      </c>
      <c r="O44" s="1042"/>
      <c r="P44" s="1042"/>
      <c r="Q44" s="1042"/>
      <c r="R44" s="1042"/>
    </row>
    <row r="45" spans="1:18" s="390" customFormat="1" ht="15" customHeight="1">
      <c r="A45" s="2040"/>
      <c r="B45" s="2030" t="s">
        <v>946</v>
      </c>
      <c r="C45" s="2025" t="s">
        <v>806</v>
      </c>
      <c r="D45" s="2025"/>
      <c r="E45" s="397">
        <v>0.95</v>
      </c>
      <c r="F45" s="397">
        <v>0.95</v>
      </c>
      <c r="G45" s="397">
        <v>0.95</v>
      </c>
      <c r="H45" s="397">
        <v>0.95</v>
      </c>
      <c r="I45" s="843">
        <v>0.95</v>
      </c>
      <c r="J45" s="410"/>
      <c r="K45" s="410"/>
      <c r="L45" s="410"/>
      <c r="M45" s="410"/>
      <c r="N45" s="410"/>
      <c r="O45" s="1042"/>
      <c r="P45" s="1042"/>
      <c r="Q45" s="1042"/>
      <c r="R45" s="1042"/>
    </row>
    <row r="46" spans="1:18" s="390" customFormat="1" ht="15" customHeight="1">
      <c r="A46" s="2040"/>
      <c r="B46" s="2031"/>
      <c r="C46" s="2049"/>
      <c r="D46" s="2049"/>
      <c r="E46" s="403">
        <f>E7*E45</f>
        <v>4873.5</v>
      </c>
      <c r="F46" s="403">
        <f>F7*F45</f>
        <v>5685.75</v>
      </c>
      <c r="G46" s="403">
        <f>G7*G45</f>
        <v>6498</v>
      </c>
      <c r="H46" s="403">
        <f>H7*H45</f>
        <v>8934.75</v>
      </c>
      <c r="I46" s="1081">
        <f>I7*I45</f>
        <v>11371.5</v>
      </c>
      <c r="J46" s="410"/>
      <c r="K46" s="410"/>
      <c r="L46" s="410"/>
      <c r="M46" s="410"/>
      <c r="N46" s="410"/>
      <c r="O46" s="1042"/>
      <c r="P46" s="1042"/>
      <c r="Q46" s="1042"/>
      <c r="R46" s="1042"/>
    </row>
    <row r="47" spans="1:18" s="390" customFormat="1" ht="15" customHeight="1">
      <c r="A47" s="2040"/>
      <c r="B47" s="2031"/>
      <c r="C47" s="1023" t="s">
        <v>815</v>
      </c>
      <c r="D47" s="1023"/>
      <c r="E47" s="402">
        <v>0.2</v>
      </c>
      <c r="F47" s="402">
        <v>0.2</v>
      </c>
      <c r="G47" s="402">
        <v>0.25</v>
      </c>
      <c r="H47" s="402">
        <v>0.25</v>
      </c>
      <c r="I47" s="416">
        <v>0.3</v>
      </c>
      <c r="J47" s="410"/>
      <c r="K47" s="410"/>
      <c r="L47" s="410"/>
      <c r="M47" s="410"/>
      <c r="N47" s="410"/>
      <c r="O47" s="1042"/>
      <c r="P47" s="1042"/>
      <c r="Q47" s="1042"/>
      <c r="R47" s="1042"/>
    </row>
    <row r="48" spans="1:18" s="390" customFormat="1" ht="15" customHeight="1">
      <c r="A48" s="2040"/>
      <c r="B48" s="2047" t="s">
        <v>816</v>
      </c>
      <c r="C48" s="1023"/>
      <c r="D48" s="1073" t="s">
        <v>101</v>
      </c>
      <c r="E48" s="406">
        <f>E46*E47</f>
        <v>974.7</v>
      </c>
      <c r="F48" s="406">
        <f t="shared" ref="F48:I48" si="15">F46*F47</f>
        <v>1137.1500000000001</v>
      </c>
      <c r="G48" s="406">
        <f t="shared" si="15"/>
        <v>1624.5</v>
      </c>
      <c r="H48" s="406">
        <f t="shared" si="15"/>
        <v>2233.6875</v>
      </c>
      <c r="I48" s="407">
        <f t="shared" si="15"/>
        <v>3411.45</v>
      </c>
      <c r="J48" s="410"/>
      <c r="K48" s="410"/>
      <c r="L48" s="410"/>
      <c r="M48" s="410"/>
      <c r="N48" s="410"/>
      <c r="O48" s="1042"/>
      <c r="P48" s="1042"/>
      <c r="Q48" s="1042"/>
      <c r="R48" s="1042"/>
    </row>
    <row r="49" spans="1:18" s="390" customFormat="1" ht="15" customHeight="1">
      <c r="A49" s="2040"/>
      <c r="B49" s="2047"/>
      <c r="C49" s="1023"/>
      <c r="D49" s="1026" t="s">
        <v>1224</v>
      </c>
      <c r="E49" s="410">
        <f>E8*E45*E47</f>
        <v>741</v>
      </c>
      <c r="F49" s="410">
        <f t="shared" ref="F49:I49" si="16">F8*F45*F47</f>
        <v>864.5</v>
      </c>
      <c r="G49" s="410">
        <f t="shared" si="16"/>
        <v>1235</v>
      </c>
      <c r="H49" s="410">
        <f t="shared" si="16"/>
        <v>1698.1250000000002</v>
      </c>
      <c r="I49" s="411">
        <f t="shared" si="16"/>
        <v>2593.5</v>
      </c>
      <c r="J49" s="410"/>
      <c r="K49" s="410"/>
      <c r="L49" s="410"/>
      <c r="M49" s="410"/>
      <c r="N49" s="410"/>
      <c r="O49" s="1042"/>
      <c r="P49" s="1042"/>
      <c r="Q49" s="1042"/>
      <c r="R49" s="1042"/>
    </row>
    <row r="50" spans="1:18" s="390" customFormat="1" ht="15" customHeight="1" thickBot="1">
      <c r="A50" s="2041"/>
      <c r="B50" s="2048"/>
      <c r="C50" s="1027"/>
      <c r="D50" s="490" t="s">
        <v>804</v>
      </c>
      <c r="E50" s="417">
        <f>E15*E45*E47</f>
        <v>233.70000000000002</v>
      </c>
      <c r="F50" s="417">
        <f t="shared" ref="F50:I50" si="17">F15*F45*F47</f>
        <v>272.65000000000003</v>
      </c>
      <c r="G50" s="417">
        <f t="shared" si="17"/>
        <v>389.5</v>
      </c>
      <c r="H50" s="417">
        <f t="shared" si="17"/>
        <v>535.5625</v>
      </c>
      <c r="I50" s="418">
        <f t="shared" si="17"/>
        <v>817.94999999999993</v>
      </c>
      <c r="J50" s="410">
        <f t="shared" si="8"/>
        <v>268.755</v>
      </c>
      <c r="K50" s="410">
        <f t="shared" si="8"/>
        <v>313.54750000000001</v>
      </c>
      <c r="L50" s="410">
        <f t="shared" si="8"/>
        <v>447.92499999999995</v>
      </c>
      <c r="M50" s="410">
        <f t="shared" si="8"/>
        <v>615.89687499999991</v>
      </c>
      <c r="N50" s="410">
        <f t="shared" si="8"/>
        <v>940.64249999999981</v>
      </c>
      <c r="O50" s="1042"/>
      <c r="P50" s="1042"/>
      <c r="Q50" s="1042"/>
      <c r="R50" s="1042"/>
    </row>
    <row r="51" spans="1:18" s="390" customFormat="1" ht="18.75" customHeight="1">
      <c r="A51" s="2035" t="s">
        <v>817</v>
      </c>
      <c r="B51" s="2036"/>
      <c r="C51" s="1043" t="s">
        <v>434</v>
      </c>
      <c r="D51" s="1044" t="s">
        <v>435</v>
      </c>
      <c r="E51" s="1044">
        <v>2021</v>
      </c>
      <c r="F51" s="1045">
        <v>2022</v>
      </c>
      <c r="G51" s="1044">
        <v>2023</v>
      </c>
      <c r="H51" s="1044">
        <v>2024</v>
      </c>
      <c r="I51" s="1046">
        <v>2025</v>
      </c>
      <c r="J51" s="1042"/>
      <c r="K51" s="1042"/>
      <c r="L51" s="1042"/>
      <c r="M51" s="389"/>
      <c r="N51" s="1042"/>
      <c r="O51" s="1042"/>
      <c r="P51" s="1042"/>
      <c r="Q51" s="1042"/>
      <c r="R51" s="1042"/>
    </row>
    <row r="52" spans="1:18" s="390" customFormat="1" ht="18" customHeight="1" thickBot="1">
      <c r="A52" s="2037"/>
      <c r="B52" s="2038"/>
      <c r="C52" s="1082">
        <v>34128</v>
      </c>
      <c r="D52" s="1083" t="s">
        <v>89</v>
      </c>
      <c r="E52" s="1083">
        <v>0.5</v>
      </c>
      <c r="F52" s="1083">
        <v>0.55000000000000004</v>
      </c>
      <c r="G52" s="1083">
        <v>0.6</v>
      </c>
      <c r="H52" s="1083">
        <v>0.67</v>
      </c>
      <c r="I52" s="1084">
        <v>0.75</v>
      </c>
      <c r="J52" s="1042"/>
      <c r="K52" s="1042"/>
      <c r="L52" s="1042"/>
      <c r="M52" s="389"/>
      <c r="N52" s="1042"/>
      <c r="O52" s="1042"/>
      <c r="P52" s="1042"/>
      <c r="Q52" s="1042"/>
      <c r="R52" s="1042"/>
    </row>
    <row r="53" spans="1:18" s="390" customFormat="1" ht="15" customHeight="1">
      <c r="A53" s="2039" t="s">
        <v>818</v>
      </c>
      <c r="B53" s="1050" t="s">
        <v>1215</v>
      </c>
      <c r="C53" s="1051" t="s">
        <v>1216</v>
      </c>
      <c r="D53" s="1051"/>
      <c r="E53" s="1052">
        <f>C52*E52</f>
        <v>17064</v>
      </c>
      <c r="F53" s="1052">
        <f>C52*F52</f>
        <v>18770.400000000001</v>
      </c>
      <c r="G53" s="1052">
        <f>C52*G52</f>
        <v>20476.8</v>
      </c>
      <c r="H53" s="1052">
        <f>C52*H52</f>
        <v>22865.760000000002</v>
      </c>
      <c r="I53" s="1085">
        <f>C52*I52</f>
        <v>25596</v>
      </c>
      <c r="J53" s="1042"/>
      <c r="K53" s="1042"/>
      <c r="L53" s="1042"/>
      <c r="M53" s="389"/>
      <c r="N53" s="1042"/>
      <c r="O53" s="1042"/>
      <c r="P53" s="1042"/>
      <c r="Q53" s="1042"/>
      <c r="R53" s="1042"/>
    </row>
    <row r="54" spans="1:18" s="390" customFormat="1" ht="15" customHeight="1">
      <c r="A54" s="2040"/>
      <c r="B54" s="393" t="s">
        <v>803</v>
      </c>
      <c r="C54" s="394">
        <v>24160</v>
      </c>
      <c r="D54" s="394"/>
      <c r="E54" s="394">
        <f>C54*E52</f>
        <v>12080</v>
      </c>
      <c r="F54" s="649">
        <f>C54*F52</f>
        <v>13288.000000000002</v>
      </c>
      <c r="G54" s="394">
        <f>C54*G52</f>
        <v>14496</v>
      </c>
      <c r="H54" s="394">
        <f>C54*H52</f>
        <v>16187.2</v>
      </c>
      <c r="I54" s="395">
        <f>C54*I52</f>
        <v>18120</v>
      </c>
      <c r="J54" s="1042"/>
      <c r="K54" s="1042"/>
      <c r="L54" s="1042"/>
      <c r="M54" s="389"/>
      <c r="N54" s="1042"/>
      <c r="O54" s="1042"/>
      <c r="P54" s="1042"/>
      <c r="Q54" s="1042"/>
      <c r="R54" s="1042"/>
    </row>
    <row r="55" spans="1:18" s="390" customFormat="1" ht="15" customHeight="1">
      <c r="A55" s="2040"/>
      <c r="B55" s="2042" t="s">
        <v>1217</v>
      </c>
      <c r="C55" s="1054">
        <v>1</v>
      </c>
      <c r="D55" s="1055"/>
      <c r="E55" s="1056">
        <v>0.75</v>
      </c>
      <c r="F55" s="1056">
        <v>0.7</v>
      </c>
      <c r="G55" s="1056">
        <v>0.65</v>
      </c>
      <c r="H55" s="1056">
        <v>0</v>
      </c>
      <c r="I55" s="1057">
        <v>0</v>
      </c>
      <c r="J55" s="1042"/>
      <c r="K55" s="1042"/>
      <c r="L55" s="1042"/>
      <c r="M55" s="389"/>
      <c r="N55" s="1042"/>
      <c r="O55" s="1042"/>
      <c r="P55" s="1042"/>
      <c r="Q55" s="1042"/>
      <c r="R55" s="1042"/>
    </row>
    <row r="56" spans="1:18" s="390" customFormat="1" ht="15" customHeight="1">
      <c r="A56" s="2040"/>
      <c r="B56" s="2042"/>
      <c r="C56" s="1054"/>
      <c r="D56" s="1055"/>
      <c r="E56" s="1065">
        <f>E54*E55</f>
        <v>9060</v>
      </c>
      <c r="F56" s="1065">
        <f>F54*F55</f>
        <v>9301.6</v>
      </c>
      <c r="G56" s="1065">
        <f>G54*G55</f>
        <v>9422.4</v>
      </c>
      <c r="H56" s="1065">
        <f>H54*H55</f>
        <v>0</v>
      </c>
      <c r="I56" s="1066">
        <f>I54*I55</f>
        <v>0</v>
      </c>
      <c r="J56" s="1042"/>
      <c r="K56" s="1042"/>
      <c r="L56" s="1042"/>
      <c r="M56" s="389"/>
      <c r="N56" s="1042"/>
      <c r="O56" s="1042"/>
      <c r="P56" s="1042"/>
      <c r="Q56" s="1042"/>
      <c r="R56" s="1042"/>
    </row>
    <row r="57" spans="1:18" s="390" customFormat="1" ht="15" customHeight="1">
      <c r="A57" s="2040"/>
      <c r="B57" s="2042" t="s">
        <v>441</v>
      </c>
      <c r="C57" s="1055"/>
      <c r="D57" s="1055"/>
      <c r="E57" s="1056">
        <f>C55-E55</f>
        <v>0.25</v>
      </c>
      <c r="F57" s="1056">
        <f>C55-F55</f>
        <v>0.30000000000000004</v>
      </c>
      <c r="G57" s="1056">
        <f>C55-G55</f>
        <v>0.35</v>
      </c>
      <c r="H57" s="1056">
        <v>1</v>
      </c>
      <c r="I57" s="1057">
        <v>1</v>
      </c>
      <c r="J57" s="1042"/>
      <c r="K57" s="1042"/>
      <c r="L57" s="1042"/>
      <c r="M57" s="389"/>
      <c r="N57" s="1042"/>
      <c r="O57" s="1042"/>
      <c r="P57" s="1042"/>
      <c r="Q57" s="1042"/>
      <c r="R57" s="1042"/>
    </row>
    <row r="58" spans="1:18" s="390" customFormat="1" ht="15" customHeight="1">
      <c r="A58" s="2040"/>
      <c r="B58" s="2042"/>
      <c r="C58" s="1055"/>
      <c r="D58" s="1055"/>
      <c r="E58" s="1065">
        <f>E54*E57</f>
        <v>3020</v>
      </c>
      <c r="F58" s="1065">
        <f>F54*F57</f>
        <v>3986.400000000001</v>
      </c>
      <c r="G58" s="1065">
        <f>G54*G57</f>
        <v>5073.5999999999995</v>
      </c>
      <c r="H58" s="1065">
        <f>H54*H57</f>
        <v>16187.2</v>
      </c>
      <c r="I58" s="1066">
        <f>I54*I57</f>
        <v>18120</v>
      </c>
      <c r="J58" s="1042"/>
      <c r="K58" s="1042"/>
      <c r="L58" s="1042"/>
      <c r="M58" s="389"/>
      <c r="N58" s="1042"/>
      <c r="O58" s="1042"/>
      <c r="P58" s="1042"/>
      <c r="Q58" s="1042"/>
      <c r="R58" s="1042"/>
    </row>
    <row r="59" spans="1:18" s="390" customFormat="1" ht="15" customHeight="1">
      <c r="A59" s="2040"/>
      <c r="B59" s="2042" t="s">
        <v>1218</v>
      </c>
      <c r="C59" s="1055"/>
      <c r="D59" s="1055"/>
      <c r="E59" s="1056">
        <f>C55-E55-E57</f>
        <v>0</v>
      </c>
      <c r="F59" s="1056">
        <f>C55-F55-F57</f>
        <v>0</v>
      </c>
      <c r="G59" s="1056">
        <f>C55-G55-G57</f>
        <v>0</v>
      </c>
      <c r="H59" s="1056">
        <f>C55-H55-H57</f>
        <v>0</v>
      </c>
      <c r="I59" s="1057">
        <f>C55-I55-I57</f>
        <v>0</v>
      </c>
      <c r="J59" s="1042"/>
      <c r="K59" s="1042"/>
      <c r="L59" s="1042"/>
      <c r="M59" s="389"/>
      <c r="N59" s="1042"/>
      <c r="O59" s="1042"/>
      <c r="P59" s="1042"/>
      <c r="Q59" s="1042"/>
      <c r="R59" s="1042"/>
    </row>
    <row r="60" spans="1:18" s="390" customFormat="1" ht="15" customHeight="1" thickBot="1">
      <c r="A60" s="2040"/>
      <c r="B60" s="2043"/>
      <c r="C60" s="1060"/>
      <c r="D60" s="1060"/>
      <c r="E60" s="1061">
        <f>E59*E54</f>
        <v>0</v>
      </c>
      <c r="F60" s="1061">
        <f t="shared" ref="F60:I60" si="18">F59*F54</f>
        <v>0</v>
      </c>
      <c r="G60" s="1061">
        <f t="shared" si="18"/>
        <v>0</v>
      </c>
      <c r="H60" s="1061">
        <f t="shared" si="18"/>
        <v>0</v>
      </c>
      <c r="I60" s="1062">
        <f t="shared" si="18"/>
        <v>0</v>
      </c>
      <c r="J60" s="1042"/>
      <c r="K60" s="1042"/>
      <c r="L60" s="1042"/>
      <c r="M60" s="389"/>
      <c r="N60" s="1042"/>
      <c r="O60" s="1042"/>
      <c r="P60" s="1042"/>
      <c r="Q60" s="1042"/>
      <c r="R60" s="1042"/>
    </row>
    <row r="61" spans="1:18" s="390" customFormat="1" ht="15" customHeight="1">
      <c r="A61" s="2040"/>
      <c r="B61" s="1050" t="s">
        <v>804</v>
      </c>
      <c r="C61" s="1063">
        <v>9968</v>
      </c>
      <c r="D61" s="1063"/>
      <c r="E61" s="1086">
        <f>E52*C61</f>
        <v>4984</v>
      </c>
      <c r="F61" s="1086">
        <f>F52*C61</f>
        <v>5482.4000000000005</v>
      </c>
      <c r="G61" s="1086">
        <f>G52*C61</f>
        <v>5980.8</v>
      </c>
      <c r="H61" s="1086">
        <f>H52*C61</f>
        <v>6678.56</v>
      </c>
      <c r="I61" s="1087">
        <f>I52*C61</f>
        <v>7476</v>
      </c>
      <c r="J61" s="1042"/>
      <c r="K61" s="1042"/>
      <c r="L61" s="1042"/>
      <c r="M61" s="389"/>
      <c r="N61" s="1042"/>
      <c r="O61" s="1042"/>
      <c r="P61" s="1042"/>
      <c r="Q61" s="1042"/>
      <c r="R61" s="1042"/>
    </row>
    <row r="62" spans="1:18" s="390" customFormat="1" ht="15" customHeight="1">
      <c r="A62" s="2040"/>
      <c r="B62" s="2042" t="s">
        <v>1219</v>
      </c>
      <c r="C62" s="1054">
        <v>1</v>
      </c>
      <c r="D62" s="1055"/>
      <c r="E62" s="1056">
        <v>1</v>
      </c>
      <c r="F62" s="1056">
        <v>1</v>
      </c>
      <c r="G62" s="1056">
        <v>1</v>
      </c>
      <c r="H62" s="1056">
        <v>0</v>
      </c>
      <c r="I62" s="1057">
        <v>0</v>
      </c>
      <c r="J62" s="1042"/>
      <c r="K62" s="1042"/>
      <c r="L62" s="1042"/>
      <c r="M62" s="389"/>
      <c r="N62" s="1042"/>
      <c r="O62" s="1042"/>
      <c r="P62" s="1042"/>
      <c r="Q62" s="1042"/>
      <c r="R62" s="1042"/>
    </row>
    <row r="63" spans="1:18" s="390" customFormat="1" ht="15" customHeight="1">
      <c r="A63" s="2040"/>
      <c r="B63" s="2042"/>
      <c r="C63" s="1054"/>
      <c r="D63" s="1055"/>
      <c r="E63" s="1065">
        <f>E61*E62</f>
        <v>4984</v>
      </c>
      <c r="F63" s="1065">
        <f t="shared" ref="F63:G63" si="19">F61*F62</f>
        <v>5482.4000000000005</v>
      </c>
      <c r="G63" s="1065">
        <f t="shared" si="19"/>
        <v>5980.8</v>
      </c>
      <c r="H63" s="1065">
        <f t="shared" ref="H63:I63" si="20">H59*H62</f>
        <v>0</v>
      </c>
      <c r="I63" s="1066">
        <f t="shared" si="20"/>
        <v>0</v>
      </c>
      <c r="J63" s="1042"/>
      <c r="K63" s="1042"/>
      <c r="L63" s="1042"/>
      <c r="M63" s="389"/>
      <c r="N63" s="1042"/>
      <c r="O63" s="1042"/>
      <c r="P63" s="1042"/>
      <c r="Q63" s="1042"/>
      <c r="R63" s="1042"/>
    </row>
    <row r="64" spans="1:18" s="390" customFormat="1" ht="15" customHeight="1">
      <c r="A64" s="2040"/>
      <c r="B64" s="2042" t="s">
        <v>1220</v>
      </c>
      <c r="C64" s="1055"/>
      <c r="D64" s="1055"/>
      <c r="E64" s="1056">
        <v>0</v>
      </c>
      <c r="F64" s="1056">
        <v>0</v>
      </c>
      <c r="G64" s="1056">
        <v>0</v>
      </c>
      <c r="H64" s="1056">
        <v>1</v>
      </c>
      <c r="I64" s="1057">
        <v>1</v>
      </c>
      <c r="J64" s="1042"/>
      <c r="K64" s="1042"/>
      <c r="L64" s="1042"/>
      <c r="M64" s="389"/>
      <c r="N64" s="1042"/>
      <c r="O64" s="1042"/>
      <c r="P64" s="1042"/>
      <c r="Q64" s="1042"/>
      <c r="R64" s="1042"/>
    </row>
    <row r="65" spans="1:18" s="390" customFormat="1" ht="15" customHeight="1">
      <c r="A65" s="2040"/>
      <c r="B65" s="2042"/>
      <c r="C65" s="1055"/>
      <c r="D65" s="1055"/>
      <c r="E65" s="1058">
        <f>E64*E59</f>
        <v>0</v>
      </c>
      <c r="F65" s="1058">
        <f t="shared" ref="F65:G65" si="21">F64*F59</f>
        <v>0</v>
      </c>
      <c r="G65" s="1058">
        <f t="shared" si="21"/>
        <v>0</v>
      </c>
      <c r="H65" s="1065">
        <f>H64*H61</f>
        <v>6678.56</v>
      </c>
      <c r="I65" s="1066">
        <f>I64*I61</f>
        <v>7476</v>
      </c>
      <c r="J65" s="1042"/>
      <c r="K65" s="1042"/>
      <c r="L65" s="1042"/>
      <c r="M65" s="389"/>
      <c r="N65" s="1042"/>
      <c r="O65" s="1042"/>
      <c r="P65" s="1042"/>
      <c r="Q65" s="1042"/>
      <c r="R65" s="1042"/>
    </row>
    <row r="66" spans="1:18" s="390" customFormat="1" ht="15" customHeight="1">
      <c r="A66" s="2040"/>
      <c r="B66" s="2042" t="s">
        <v>1218</v>
      </c>
      <c r="C66" s="1055"/>
      <c r="D66" s="1055"/>
      <c r="E66" s="1056">
        <v>0</v>
      </c>
      <c r="F66" s="1056">
        <v>0</v>
      </c>
      <c r="G66" s="1056">
        <v>0</v>
      </c>
      <c r="H66" s="1056">
        <f>C62-H62-H64</f>
        <v>0</v>
      </c>
      <c r="I66" s="1057">
        <f>C62-I62-I64</f>
        <v>0</v>
      </c>
      <c r="J66" s="1042"/>
      <c r="K66" s="1042"/>
      <c r="L66" s="1042"/>
      <c r="M66" s="389"/>
      <c r="N66" s="1042"/>
      <c r="O66" s="1042"/>
      <c r="P66" s="1042"/>
      <c r="Q66" s="1042"/>
      <c r="R66" s="1042"/>
    </row>
    <row r="67" spans="1:18" s="390" customFormat="1" ht="15" customHeight="1" thickBot="1">
      <c r="A67" s="2040"/>
      <c r="B67" s="2043"/>
      <c r="C67" s="1060"/>
      <c r="D67" s="1060"/>
      <c r="E67" s="1061">
        <f>E66*E61</f>
        <v>0</v>
      </c>
      <c r="F67" s="1061">
        <f t="shared" ref="F67:G67" si="22">F66*F61</f>
        <v>0</v>
      </c>
      <c r="G67" s="1061">
        <f t="shared" si="22"/>
        <v>0</v>
      </c>
      <c r="H67" s="1067">
        <f>H66*H61</f>
        <v>0</v>
      </c>
      <c r="I67" s="1068">
        <f t="shared" ref="I67" si="23">I66*I61</f>
        <v>0</v>
      </c>
      <c r="J67" s="1042"/>
      <c r="K67" s="1042"/>
      <c r="L67" s="1042"/>
      <c r="M67" s="389"/>
      <c r="N67" s="1042"/>
      <c r="O67" s="1042"/>
      <c r="P67" s="1042"/>
      <c r="Q67" s="1042"/>
      <c r="R67" s="1042"/>
    </row>
    <row r="68" spans="1:18" s="390" customFormat="1" ht="15" customHeight="1">
      <c r="A68" s="2040"/>
      <c r="B68" s="1069" t="s">
        <v>819</v>
      </c>
      <c r="C68" s="552"/>
      <c r="D68" s="552"/>
      <c r="E68" s="397">
        <v>0.8</v>
      </c>
      <c r="F68" s="397">
        <v>0.8</v>
      </c>
      <c r="G68" s="397">
        <v>0.8</v>
      </c>
      <c r="H68" s="397">
        <v>0.8</v>
      </c>
      <c r="I68" s="843">
        <v>0.8</v>
      </c>
      <c r="J68" s="1042"/>
      <c r="K68" s="1042"/>
      <c r="L68" s="1042"/>
      <c r="M68" s="389"/>
      <c r="N68" s="1042"/>
      <c r="O68" s="1042"/>
      <c r="P68" s="1042"/>
      <c r="Q68" s="1042"/>
      <c r="R68" s="1042"/>
    </row>
    <row r="69" spans="1:18" s="390" customFormat="1" ht="15" customHeight="1">
      <c r="A69" s="2040"/>
      <c r="B69" s="1070" t="s">
        <v>807</v>
      </c>
      <c r="C69" s="1026"/>
      <c r="D69" s="1071"/>
      <c r="E69" s="402">
        <v>0.8</v>
      </c>
      <c r="F69" s="402">
        <v>0.8</v>
      </c>
      <c r="G69" s="402">
        <v>0.85</v>
      </c>
      <c r="H69" s="402">
        <v>0.85</v>
      </c>
      <c r="I69" s="416">
        <v>0.9</v>
      </c>
      <c r="J69" s="1042"/>
      <c r="K69" s="1042"/>
      <c r="L69" s="1042"/>
      <c r="M69" s="389"/>
      <c r="N69" s="1042"/>
      <c r="O69" s="1042"/>
      <c r="P69" s="1042"/>
      <c r="Q69" s="1042"/>
      <c r="R69" s="1042"/>
    </row>
    <row r="70" spans="1:18" s="390" customFormat="1" ht="15" customHeight="1">
      <c r="A70" s="2040"/>
      <c r="B70" s="2044" t="s">
        <v>808</v>
      </c>
      <c r="C70" s="1024"/>
      <c r="D70" s="404"/>
      <c r="E70" s="405">
        <v>0.9</v>
      </c>
      <c r="F70" s="402">
        <v>0.9</v>
      </c>
      <c r="G70" s="405">
        <v>0.9</v>
      </c>
      <c r="H70" s="405">
        <v>0.9</v>
      </c>
      <c r="I70" s="409">
        <v>0.9</v>
      </c>
      <c r="J70" s="1042"/>
      <c r="K70" s="1042"/>
      <c r="L70" s="1042"/>
      <c r="M70" s="389"/>
      <c r="N70" s="1042"/>
      <c r="O70" s="1042"/>
      <c r="P70" s="1042"/>
      <c r="Q70" s="1042"/>
      <c r="R70" s="1042"/>
    </row>
    <row r="71" spans="1:18" s="390" customFormat="1" ht="15" customHeight="1">
      <c r="A71" s="2040"/>
      <c r="B71" s="2045"/>
      <c r="C71" s="1072"/>
      <c r="D71" s="1073" t="s">
        <v>101</v>
      </c>
      <c r="E71" s="406">
        <f>E53*E68*E69*E70</f>
        <v>9828.8640000000014</v>
      </c>
      <c r="F71" s="406">
        <f t="shared" ref="F71:I71" si="24">F53*F68*F69*F70</f>
        <v>10811.750400000003</v>
      </c>
      <c r="G71" s="406">
        <f t="shared" si="24"/>
        <v>12531.801600000001</v>
      </c>
      <c r="H71" s="406">
        <f t="shared" si="24"/>
        <v>13993.845120000002</v>
      </c>
      <c r="I71" s="407">
        <f t="shared" si="24"/>
        <v>16586.208000000002</v>
      </c>
      <c r="J71" s="410"/>
      <c r="K71" s="410"/>
      <c r="L71" s="410"/>
      <c r="M71" s="410"/>
      <c r="N71" s="410"/>
      <c r="O71" s="1042"/>
      <c r="P71" s="1042"/>
      <c r="Q71" s="1042"/>
      <c r="R71" s="1042"/>
    </row>
    <row r="72" spans="1:18" s="390" customFormat="1" ht="15" customHeight="1">
      <c r="A72" s="2040"/>
      <c r="B72" s="2045"/>
      <c r="C72" s="1072" t="s">
        <v>1222</v>
      </c>
      <c r="D72" s="1026" t="s">
        <v>803</v>
      </c>
      <c r="E72" s="410">
        <f>E54*E68*E69*E70</f>
        <v>6958.0800000000008</v>
      </c>
      <c r="F72" s="410">
        <f t="shared" ref="F72:I72" si="25">F54*F68*F69*F70</f>
        <v>7653.8880000000017</v>
      </c>
      <c r="G72" s="410">
        <f t="shared" si="25"/>
        <v>8871.5520000000015</v>
      </c>
      <c r="H72" s="410">
        <f t="shared" si="25"/>
        <v>9906.5664000000015</v>
      </c>
      <c r="I72" s="411">
        <f t="shared" si="25"/>
        <v>11741.76</v>
      </c>
      <c r="J72" s="410"/>
      <c r="K72" s="410"/>
      <c r="L72" s="410"/>
      <c r="M72" s="410"/>
      <c r="N72" s="410"/>
      <c r="O72" s="1042"/>
      <c r="P72" s="1042"/>
      <c r="Q72" s="1042"/>
      <c r="R72" s="1042"/>
    </row>
    <row r="73" spans="1:18" s="390" customFormat="1" ht="15" customHeight="1">
      <c r="A73" s="2040"/>
      <c r="B73" s="2046"/>
      <c r="C73" s="1074" t="s">
        <v>1223</v>
      </c>
      <c r="D73" s="1025" t="s">
        <v>804</v>
      </c>
      <c r="E73" s="406">
        <f>E61*E68*E69*E70</f>
        <v>2870.7840000000001</v>
      </c>
      <c r="F73" s="406">
        <f>F61*F68*F69*F70</f>
        <v>3157.8624000000009</v>
      </c>
      <c r="G73" s="406">
        <f t="shared" ref="G73:I73" si="26">G61*G68*G69*G70</f>
        <v>3660.2496000000001</v>
      </c>
      <c r="H73" s="406">
        <f t="shared" si="26"/>
        <v>4087.2787200000007</v>
      </c>
      <c r="I73" s="407">
        <f t="shared" si="26"/>
        <v>4844.4480000000003</v>
      </c>
      <c r="J73" s="410">
        <f t="shared" ref="J73:K96" si="27">E73*1.15</f>
        <v>3301.4015999999997</v>
      </c>
      <c r="K73" s="410">
        <f>F73*1.15</f>
        <v>3631.5417600000005</v>
      </c>
      <c r="L73" s="410">
        <f t="shared" ref="L73:N96" si="28">G73*1.15</f>
        <v>4209.2870400000002</v>
      </c>
      <c r="M73" s="410">
        <f t="shared" si="28"/>
        <v>4700.3705280000004</v>
      </c>
      <c r="N73" s="410">
        <f t="shared" si="28"/>
        <v>5571.1152000000002</v>
      </c>
      <c r="O73" s="1042"/>
      <c r="P73" s="1042"/>
      <c r="Q73" s="1042"/>
      <c r="R73" s="1042"/>
    </row>
    <row r="74" spans="1:18" s="390" customFormat="1" ht="15" customHeight="1">
      <c r="A74" s="2040"/>
      <c r="B74" s="2020" t="s">
        <v>809</v>
      </c>
      <c r="C74" s="1072"/>
      <c r="D74" s="1026"/>
      <c r="E74" s="402">
        <v>0.1</v>
      </c>
      <c r="F74" s="402">
        <v>0.1</v>
      </c>
      <c r="G74" s="402">
        <v>0.1</v>
      </c>
      <c r="H74" s="402">
        <v>0.1</v>
      </c>
      <c r="I74" s="416">
        <v>0.1</v>
      </c>
      <c r="J74" s="410"/>
      <c r="K74" s="410"/>
      <c r="L74" s="410"/>
      <c r="M74" s="410"/>
      <c r="N74" s="410"/>
      <c r="O74" s="1042"/>
      <c r="P74" s="1042"/>
      <c r="Q74" s="1042"/>
      <c r="R74" s="1042"/>
    </row>
    <row r="75" spans="1:18" s="390" customFormat="1" ht="15" customHeight="1">
      <c r="A75" s="2040"/>
      <c r="B75" s="2020"/>
      <c r="C75" s="1072"/>
      <c r="D75" s="1073" t="s">
        <v>101</v>
      </c>
      <c r="E75" s="406">
        <f>E53*E68*E69*E74</f>
        <v>1092.0960000000002</v>
      </c>
      <c r="F75" s="406">
        <f>F53*F68*F69*F74</f>
        <v>1201.3056000000004</v>
      </c>
      <c r="G75" s="406">
        <f>G53*G68*G69*G74</f>
        <v>1392.4224000000002</v>
      </c>
      <c r="H75" s="406">
        <f>H53*H68*H69*H74</f>
        <v>1554.8716800000002</v>
      </c>
      <c r="I75" s="407">
        <f>I53*I68*I69*I74</f>
        <v>1842.9120000000003</v>
      </c>
      <c r="J75" s="410"/>
      <c r="K75" s="410"/>
      <c r="L75" s="410"/>
      <c r="M75" s="410"/>
      <c r="N75" s="410"/>
      <c r="O75" s="1042"/>
      <c r="P75" s="1042"/>
      <c r="Q75" s="1042"/>
      <c r="R75" s="1042"/>
    </row>
    <row r="76" spans="1:18" s="390" customFormat="1" ht="15" customHeight="1">
      <c r="A76" s="2040"/>
      <c r="B76" s="2020"/>
      <c r="C76" s="1072" t="s">
        <v>1222</v>
      </c>
      <c r="D76" s="1026" t="s">
        <v>1224</v>
      </c>
      <c r="E76" s="410">
        <f>E54*E68*E69*E74</f>
        <v>773.12000000000012</v>
      </c>
      <c r="F76" s="410">
        <f>F54*F68*F69*F74</f>
        <v>850.43200000000024</v>
      </c>
      <c r="G76" s="410">
        <f>G54*G68*G69*G74</f>
        <v>985.72800000000007</v>
      </c>
      <c r="H76" s="410">
        <f>H54*H68*H69*H74</f>
        <v>1100.7296000000003</v>
      </c>
      <c r="I76" s="411">
        <f>I54*I68*I69*I74</f>
        <v>1304.6400000000001</v>
      </c>
      <c r="J76" s="410"/>
      <c r="K76" s="410"/>
      <c r="L76" s="410"/>
      <c r="M76" s="410"/>
      <c r="N76" s="410"/>
      <c r="O76" s="1042"/>
      <c r="P76" s="1042"/>
      <c r="Q76" s="1042"/>
      <c r="R76" s="1042"/>
    </row>
    <row r="77" spans="1:18" s="390" customFormat="1" ht="15" customHeight="1" thickBot="1">
      <c r="A77" s="2040"/>
      <c r="B77" s="2021"/>
      <c r="C77" s="1075" t="s">
        <v>1223</v>
      </c>
      <c r="D77" s="490" t="s">
        <v>804</v>
      </c>
      <c r="E77" s="1079">
        <f>E61*E68*E69*E74</f>
        <v>318.97600000000006</v>
      </c>
      <c r="F77" s="1079">
        <f>F61*F68*F69*F74</f>
        <v>350.87360000000012</v>
      </c>
      <c r="G77" s="1079">
        <f>G61*G68*G69*G74</f>
        <v>406.69440000000003</v>
      </c>
      <c r="H77" s="1079">
        <f>H61*H68*H69*H74</f>
        <v>454.14208000000008</v>
      </c>
      <c r="I77" s="1080">
        <f>I61*I68*I69*I74</f>
        <v>538.27200000000005</v>
      </c>
      <c r="J77" s="410" t="s">
        <v>1225</v>
      </c>
      <c r="K77" s="410"/>
      <c r="L77" s="410"/>
      <c r="M77" s="410"/>
      <c r="N77" s="410"/>
      <c r="O77" s="1042"/>
      <c r="P77" s="1042"/>
      <c r="Q77" s="1042"/>
      <c r="R77" s="1042"/>
    </row>
    <row r="78" spans="1:18" s="390" customFormat="1" ht="15" customHeight="1">
      <c r="A78" s="2040"/>
      <c r="B78" s="2022" t="s">
        <v>944</v>
      </c>
      <c r="C78" s="1021" t="s">
        <v>819</v>
      </c>
      <c r="D78" s="1021"/>
      <c r="E78" s="397">
        <v>0.8</v>
      </c>
      <c r="F78" s="397">
        <v>0.8</v>
      </c>
      <c r="G78" s="397">
        <v>0.8</v>
      </c>
      <c r="H78" s="397">
        <v>0.8</v>
      </c>
      <c r="I78" s="843">
        <v>0.8</v>
      </c>
      <c r="J78" s="410"/>
      <c r="K78" s="410"/>
      <c r="L78" s="410"/>
      <c r="M78" s="410"/>
      <c r="N78" s="410"/>
      <c r="O78" s="1042"/>
      <c r="P78" s="1042"/>
      <c r="Q78" s="1042"/>
      <c r="R78" s="1042"/>
    </row>
    <row r="79" spans="1:18" s="390" customFormat="1" ht="15" customHeight="1">
      <c r="A79" s="2040"/>
      <c r="B79" s="2023"/>
      <c r="C79" s="1022"/>
      <c r="D79" s="1022"/>
      <c r="E79" s="412">
        <f>E53*E78</f>
        <v>13651.2</v>
      </c>
      <c r="F79" s="412">
        <f>F53*F78</f>
        <v>15016.320000000002</v>
      </c>
      <c r="G79" s="412">
        <f>G53*G78</f>
        <v>16381.44</v>
      </c>
      <c r="H79" s="412">
        <f>H53*H78</f>
        <v>18292.608000000004</v>
      </c>
      <c r="I79" s="413">
        <f>I53*I78</f>
        <v>20476.800000000003</v>
      </c>
      <c r="J79" s="410"/>
      <c r="K79" s="410"/>
      <c r="L79" s="410"/>
      <c r="M79" s="410"/>
      <c r="N79" s="410"/>
      <c r="O79" s="1042"/>
      <c r="P79" s="1042"/>
      <c r="Q79" s="1042"/>
      <c r="R79" s="1042"/>
    </row>
    <row r="80" spans="1:18" s="390" customFormat="1" ht="15" customHeight="1">
      <c r="A80" s="2040"/>
      <c r="B80" s="2023"/>
      <c r="C80" s="1028" t="s">
        <v>810</v>
      </c>
      <c r="D80" s="1028"/>
      <c r="E80" s="402">
        <v>0.8</v>
      </c>
      <c r="F80" s="402">
        <v>0.8</v>
      </c>
      <c r="G80" s="402">
        <v>0.85</v>
      </c>
      <c r="H80" s="402">
        <v>0.85</v>
      </c>
      <c r="I80" s="416">
        <v>0.9</v>
      </c>
      <c r="J80" s="410"/>
      <c r="K80" s="410"/>
      <c r="L80" s="410"/>
      <c r="M80" s="410"/>
      <c r="N80" s="410"/>
      <c r="O80" s="1042"/>
      <c r="P80" s="1042"/>
      <c r="Q80" s="1042"/>
      <c r="R80" s="1042"/>
    </row>
    <row r="81" spans="1:18" s="390" customFormat="1" ht="15" customHeight="1">
      <c r="A81" s="2040"/>
      <c r="B81" s="2024"/>
      <c r="C81" s="1022"/>
      <c r="D81" s="1022"/>
      <c r="E81" s="399">
        <f>E80*E79</f>
        <v>10920.960000000001</v>
      </c>
      <c r="F81" s="399">
        <f>F80*F79</f>
        <v>12013.056000000002</v>
      </c>
      <c r="G81" s="399">
        <f>G80*G79</f>
        <v>13924.224</v>
      </c>
      <c r="H81" s="399">
        <f>H80*H79</f>
        <v>15548.716800000002</v>
      </c>
      <c r="I81" s="400">
        <f>I80*I79</f>
        <v>18429.120000000003</v>
      </c>
      <c r="J81" s="410"/>
      <c r="K81" s="410"/>
      <c r="L81" s="410"/>
      <c r="M81" s="410"/>
      <c r="N81" s="410"/>
      <c r="O81" s="1042"/>
      <c r="P81" s="1042"/>
      <c r="Q81" s="1042"/>
      <c r="R81" s="1042"/>
    </row>
    <row r="82" spans="1:18" s="390" customFormat="1" ht="15" customHeight="1">
      <c r="A82" s="2040"/>
      <c r="B82" s="2027" t="s">
        <v>811</v>
      </c>
      <c r="C82" s="1026"/>
      <c r="D82" s="1076" t="s">
        <v>101</v>
      </c>
      <c r="E82" s="1077">
        <f>E81-E71</f>
        <v>1092.0959999999995</v>
      </c>
      <c r="F82" s="1077">
        <f t="shared" ref="F82:I82" si="29">F81-F71</f>
        <v>1201.3055999999997</v>
      </c>
      <c r="G82" s="1077">
        <f t="shared" si="29"/>
        <v>1392.4223999999995</v>
      </c>
      <c r="H82" s="1077">
        <f t="shared" si="29"/>
        <v>1554.8716800000002</v>
      </c>
      <c r="I82" s="1078">
        <f t="shared" si="29"/>
        <v>1842.9120000000003</v>
      </c>
      <c r="J82" s="410"/>
      <c r="K82" s="410"/>
      <c r="L82" s="410"/>
      <c r="M82" s="410"/>
      <c r="N82" s="410"/>
      <c r="O82" s="1042"/>
      <c r="P82" s="1042"/>
      <c r="Q82" s="1042"/>
      <c r="R82" s="1042"/>
    </row>
    <row r="83" spans="1:18" s="390" customFormat="1" ht="15" customHeight="1">
      <c r="A83" s="2040"/>
      <c r="B83" s="2028"/>
      <c r="C83" s="1026"/>
      <c r="D83" s="1026" t="s">
        <v>1224</v>
      </c>
      <c r="E83" s="410">
        <f>(E54*E78*E80)-E72</f>
        <v>773.11999999999989</v>
      </c>
      <c r="F83" s="410">
        <f t="shared" ref="F83:I83" si="30">(F54*F78*F80)-F72</f>
        <v>850.43199999999979</v>
      </c>
      <c r="G83" s="410">
        <f t="shared" si="30"/>
        <v>985.72799999999916</v>
      </c>
      <c r="H83" s="410">
        <f t="shared" si="30"/>
        <v>1100.7296000000006</v>
      </c>
      <c r="I83" s="411">
        <f t="shared" si="30"/>
        <v>1304.6399999999994</v>
      </c>
      <c r="J83" s="410"/>
      <c r="K83" s="410"/>
      <c r="L83" s="410"/>
      <c r="M83" s="410"/>
      <c r="N83" s="410"/>
      <c r="O83" s="1042"/>
      <c r="P83" s="1042"/>
      <c r="Q83" s="1042"/>
      <c r="R83" s="1042"/>
    </row>
    <row r="84" spans="1:18" s="390" customFormat="1" ht="15" customHeight="1" thickBot="1">
      <c r="A84" s="2040"/>
      <c r="B84" s="2029"/>
      <c r="C84" s="490"/>
      <c r="D84" s="490" t="s">
        <v>804</v>
      </c>
      <c r="E84" s="1079">
        <f>(E61*E78*E80)-E73</f>
        <v>318.97600000000011</v>
      </c>
      <c r="F84" s="1079">
        <f t="shared" ref="F84:I84" si="31">(F61*F78*F80)-F73</f>
        <v>350.8735999999999</v>
      </c>
      <c r="G84" s="1079">
        <f t="shared" si="31"/>
        <v>406.69439999999986</v>
      </c>
      <c r="H84" s="1079">
        <f t="shared" si="31"/>
        <v>454.14208000000008</v>
      </c>
      <c r="I84" s="1080">
        <f t="shared" si="31"/>
        <v>538.27199999999993</v>
      </c>
      <c r="J84" s="970">
        <f t="shared" si="27"/>
        <v>366.82240000000013</v>
      </c>
      <c r="K84" s="970">
        <f t="shared" si="27"/>
        <v>403.50463999999982</v>
      </c>
      <c r="L84" s="970">
        <f t="shared" si="28"/>
        <v>467.69855999999982</v>
      </c>
      <c r="M84" s="970">
        <f t="shared" si="28"/>
        <v>522.26339200000007</v>
      </c>
      <c r="N84" s="970">
        <f t="shared" si="28"/>
        <v>619.01279999999986</v>
      </c>
      <c r="O84" s="1042" t="s">
        <v>1226</v>
      </c>
      <c r="P84" s="1042"/>
      <c r="Q84" s="1042"/>
      <c r="R84" s="1042"/>
    </row>
    <row r="85" spans="1:18" s="390" customFormat="1" ht="15" customHeight="1">
      <c r="A85" s="2040"/>
      <c r="B85" s="2030" t="s">
        <v>945</v>
      </c>
      <c r="C85" s="2025" t="s">
        <v>819</v>
      </c>
      <c r="D85" s="2025"/>
      <c r="E85" s="397">
        <v>0.5</v>
      </c>
      <c r="F85" s="397">
        <v>0.5</v>
      </c>
      <c r="G85" s="397">
        <v>0.5</v>
      </c>
      <c r="H85" s="397">
        <v>0.5</v>
      </c>
      <c r="I85" s="843">
        <v>0.5</v>
      </c>
      <c r="J85" s="410"/>
      <c r="K85" s="410"/>
      <c r="L85" s="410"/>
      <c r="M85" s="410"/>
      <c r="N85" s="410"/>
      <c r="O85" s="1042"/>
      <c r="P85" s="1042"/>
      <c r="Q85" s="1042"/>
      <c r="R85" s="1042"/>
    </row>
    <row r="86" spans="1:18" s="390" customFormat="1" ht="15" customHeight="1">
      <c r="A86" s="2040"/>
      <c r="B86" s="2031"/>
      <c r="C86" s="2026"/>
      <c r="D86" s="2026"/>
      <c r="E86" s="412">
        <f>E53*E85</f>
        <v>8532</v>
      </c>
      <c r="F86" s="412">
        <f>F53*F85</f>
        <v>9385.2000000000007</v>
      </c>
      <c r="G86" s="412">
        <f>G53*G85</f>
        <v>10238.4</v>
      </c>
      <c r="H86" s="412">
        <f>H53*H85</f>
        <v>11432.880000000001</v>
      </c>
      <c r="I86" s="413">
        <f>I53*I85</f>
        <v>12798</v>
      </c>
      <c r="J86" s="410"/>
      <c r="K86" s="410"/>
      <c r="L86" s="410"/>
      <c r="M86" s="410"/>
      <c r="N86" s="410"/>
      <c r="O86" s="1042"/>
      <c r="P86" s="1042"/>
      <c r="Q86" s="1042"/>
      <c r="R86" s="1042"/>
    </row>
    <row r="87" spans="1:18" s="390" customFormat="1" ht="15" customHeight="1">
      <c r="A87" s="2040"/>
      <c r="B87" s="2031"/>
      <c r="C87" s="1023" t="s">
        <v>813</v>
      </c>
      <c r="D87" s="1023"/>
      <c r="E87" s="402">
        <v>0.7</v>
      </c>
      <c r="F87" s="402">
        <v>0.7</v>
      </c>
      <c r="G87" s="402">
        <v>0.75</v>
      </c>
      <c r="H87" s="402">
        <v>0.75</v>
      </c>
      <c r="I87" s="416">
        <v>0.8</v>
      </c>
      <c r="J87" s="410"/>
      <c r="K87" s="410"/>
      <c r="L87" s="410"/>
      <c r="M87" s="410"/>
      <c r="N87" s="410"/>
      <c r="O87" s="1042"/>
      <c r="P87" s="1042"/>
      <c r="Q87" s="1042"/>
      <c r="R87" s="1042"/>
    </row>
    <row r="88" spans="1:18" s="390" customFormat="1" ht="15" customHeight="1">
      <c r="A88" s="2040"/>
      <c r="B88" s="2047" t="s">
        <v>814</v>
      </c>
      <c r="C88" s="1023"/>
      <c r="D88" s="1073" t="s">
        <v>101</v>
      </c>
      <c r="E88" s="406">
        <f>E86*E87</f>
        <v>5972.4</v>
      </c>
      <c r="F88" s="406">
        <f t="shared" ref="F88:I88" si="32">F86*F87</f>
        <v>6569.64</v>
      </c>
      <c r="G88" s="406">
        <f t="shared" si="32"/>
        <v>7678.7999999999993</v>
      </c>
      <c r="H88" s="406">
        <f t="shared" si="32"/>
        <v>8574.66</v>
      </c>
      <c r="I88" s="407">
        <f t="shared" si="32"/>
        <v>10238.400000000001</v>
      </c>
      <c r="J88" s="410"/>
      <c r="K88" s="410"/>
      <c r="L88" s="410"/>
      <c r="M88" s="410"/>
      <c r="N88" s="410"/>
      <c r="O88" s="1042"/>
      <c r="P88" s="1042"/>
      <c r="Q88" s="1042"/>
      <c r="R88" s="1042"/>
    </row>
    <row r="89" spans="1:18" s="390" customFormat="1" ht="15" customHeight="1">
      <c r="A89" s="2040"/>
      <c r="B89" s="2047"/>
      <c r="C89" s="1023"/>
      <c r="D89" s="1026" t="s">
        <v>1224</v>
      </c>
      <c r="E89" s="410">
        <f>E54*E85*E87</f>
        <v>4228</v>
      </c>
      <c r="F89" s="410">
        <f t="shared" ref="F89:I89" si="33">F54*F85*F87</f>
        <v>4650.8</v>
      </c>
      <c r="G89" s="410">
        <f t="shared" si="33"/>
        <v>5436</v>
      </c>
      <c r="H89" s="410">
        <f t="shared" si="33"/>
        <v>6070.2000000000007</v>
      </c>
      <c r="I89" s="411">
        <f t="shared" si="33"/>
        <v>7248</v>
      </c>
      <c r="J89" s="410"/>
      <c r="K89" s="410"/>
      <c r="L89" s="410"/>
      <c r="M89" s="410"/>
      <c r="N89" s="410"/>
      <c r="O89" s="1042"/>
      <c r="P89" s="1042"/>
      <c r="Q89" s="1042"/>
      <c r="R89" s="1042"/>
    </row>
    <row r="90" spans="1:18" s="390" customFormat="1" ht="15" customHeight="1" thickBot="1">
      <c r="A90" s="2040"/>
      <c r="B90" s="2048"/>
      <c r="C90" s="1027"/>
      <c r="D90" s="490" t="s">
        <v>804</v>
      </c>
      <c r="E90" s="417">
        <f>E61*E85*E87</f>
        <v>1744.3999999999999</v>
      </c>
      <c r="F90" s="417">
        <f t="shared" ref="F90:I90" si="34">F61*F85*F87</f>
        <v>1918.8400000000001</v>
      </c>
      <c r="G90" s="417">
        <f t="shared" si="34"/>
        <v>2242.8000000000002</v>
      </c>
      <c r="H90" s="417">
        <f t="shared" si="34"/>
        <v>2504.46</v>
      </c>
      <c r="I90" s="418">
        <f t="shared" si="34"/>
        <v>2990.4</v>
      </c>
      <c r="J90" s="410">
        <f t="shared" si="27"/>
        <v>2006.0599999999997</v>
      </c>
      <c r="K90" s="410">
        <f t="shared" si="27"/>
        <v>2206.6660000000002</v>
      </c>
      <c r="L90" s="410">
        <f t="shared" si="28"/>
        <v>2579.2199999999998</v>
      </c>
      <c r="M90" s="410">
        <f t="shared" si="28"/>
        <v>2880.1289999999999</v>
      </c>
      <c r="N90" s="410">
        <f t="shared" si="28"/>
        <v>3438.96</v>
      </c>
      <c r="O90" s="1042"/>
      <c r="P90" s="1042"/>
      <c r="Q90" s="1042"/>
      <c r="R90" s="1042"/>
    </row>
    <row r="91" spans="1:18" s="390" customFormat="1" ht="15" customHeight="1">
      <c r="A91" s="2040"/>
      <c r="B91" s="2030" t="s">
        <v>946</v>
      </c>
      <c r="C91" s="2025" t="s">
        <v>819</v>
      </c>
      <c r="D91" s="2025"/>
      <c r="E91" s="397">
        <v>0.7</v>
      </c>
      <c r="F91" s="397">
        <v>0.7</v>
      </c>
      <c r="G91" s="397">
        <v>0.7</v>
      </c>
      <c r="H91" s="397">
        <v>0.7</v>
      </c>
      <c r="I91" s="843">
        <v>0.7</v>
      </c>
      <c r="J91" s="410"/>
      <c r="K91" s="410"/>
      <c r="L91" s="410"/>
      <c r="M91" s="410"/>
      <c r="N91" s="410"/>
      <c r="O91" s="1042"/>
      <c r="P91" s="1042"/>
      <c r="Q91" s="1042"/>
      <c r="R91" s="1042"/>
    </row>
    <row r="92" spans="1:18" s="390" customFormat="1" ht="15" customHeight="1">
      <c r="A92" s="2040"/>
      <c r="B92" s="2031"/>
      <c r="C92" s="2049"/>
      <c r="D92" s="2049"/>
      <c r="E92" s="403">
        <f>E53*E91</f>
        <v>11944.8</v>
      </c>
      <c r="F92" s="403">
        <f>F53*F91</f>
        <v>13139.28</v>
      </c>
      <c r="G92" s="403">
        <f>G53*G91</f>
        <v>14333.759999999998</v>
      </c>
      <c r="H92" s="403">
        <f>H53*H91</f>
        <v>16006.032000000001</v>
      </c>
      <c r="I92" s="1081">
        <f>I53*I91</f>
        <v>17917.199999999997</v>
      </c>
      <c r="J92" s="410"/>
      <c r="K92" s="410"/>
      <c r="L92" s="410"/>
      <c r="M92" s="410"/>
      <c r="N92" s="410"/>
      <c r="O92" s="1042"/>
      <c r="P92" s="1042"/>
      <c r="Q92" s="1042"/>
      <c r="R92" s="1042"/>
    </row>
    <row r="93" spans="1:18" s="390" customFormat="1" ht="15" customHeight="1">
      <c r="A93" s="2040"/>
      <c r="B93" s="2031"/>
      <c r="C93" s="1023" t="s">
        <v>815</v>
      </c>
      <c r="D93" s="1023"/>
      <c r="E93" s="402">
        <v>0.3</v>
      </c>
      <c r="F93" s="402">
        <v>0.3</v>
      </c>
      <c r="G93" s="402">
        <v>0.35</v>
      </c>
      <c r="H93" s="402">
        <v>0.35</v>
      </c>
      <c r="I93" s="416">
        <v>0.4</v>
      </c>
      <c r="J93" s="410"/>
      <c r="K93" s="410"/>
      <c r="L93" s="410"/>
      <c r="M93" s="410"/>
      <c r="N93" s="410"/>
      <c r="O93" s="1042"/>
      <c r="P93" s="1042"/>
      <c r="Q93" s="1042"/>
      <c r="R93" s="1042"/>
    </row>
    <row r="94" spans="1:18" s="390" customFormat="1" ht="15" customHeight="1">
      <c r="A94" s="2040"/>
      <c r="B94" s="2047" t="s">
        <v>816</v>
      </c>
      <c r="C94" s="1023"/>
      <c r="D94" s="1073" t="s">
        <v>101</v>
      </c>
      <c r="E94" s="406">
        <f>E92*E93</f>
        <v>3583.4399999999996</v>
      </c>
      <c r="F94" s="406">
        <f t="shared" ref="F94:I94" si="35">F92*F93</f>
        <v>3941.7840000000001</v>
      </c>
      <c r="G94" s="406">
        <f t="shared" si="35"/>
        <v>5016.8159999999989</v>
      </c>
      <c r="H94" s="406">
        <f t="shared" si="35"/>
        <v>5602.1112000000003</v>
      </c>
      <c r="I94" s="407">
        <f t="shared" si="35"/>
        <v>7166.8799999999992</v>
      </c>
      <c r="J94" s="410"/>
      <c r="K94" s="410"/>
      <c r="L94" s="410"/>
      <c r="M94" s="410"/>
      <c r="N94" s="410"/>
      <c r="O94" s="1042"/>
      <c r="P94" s="1042"/>
      <c r="Q94" s="1042"/>
      <c r="R94" s="1042"/>
    </row>
    <row r="95" spans="1:18" s="390" customFormat="1" ht="15" customHeight="1">
      <c r="A95" s="2040"/>
      <c r="B95" s="2047"/>
      <c r="C95" s="1023"/>
      <c r="D95" s="1026" t="s">
        <v>1224</v>
      </c>
      <c r="E95" s="410">
        <f>E54*E91*E93</f>
        <v>2536.7999999999997</v>
      </c>
      <c r="F95" s="410">
        <f t="shared" ref="F95:I95" si="36">F54*F91*F93</f>
        <v>2790.48</v>
      </c>
      <c r="G95" s="410">
        <f t="shared" si="36"/>
        <v>3551.5199999999995</v>
      </c>
      <c r="H95" s="410">
        <f t="shared" si="36"/>
        <v>3965.8639999999996</v>
      </c>
      <c r="I95" s="411">
        <f t="shared" si="36"/>
        <v>5073.6000000000004</v>
      </c>
      <c r="J95" s="410"/>
      <c r="K95" s="410"/>
      <c r="L95" s="410"/>
      <c r="M95" s="410"/>
      <c r="N95" s="410"/>
      <c r="O95" s="1042"/>
      <c r="P95" s="1042"/>
      <c r="Q95" s="1042"/>
      <c r="R95" s="1042"/>
    </row>
    <row r="96" spans="1:18" s="390" customFormat="1" ht="15" customHeight="1" thickBot="1">
      <c r="A96" s="2041"/>
      <c r="B96" s="2048"/>
      <c r="C96" s="1027"/>
      <c r="D96" s="490" t="s">
        <v>804</v>
      </c>
      <c r="E96" s="417">
        <f>E61*E91*E93</f>
        <v>1046.6399999999999</v>
      </c>
      <c r="F96" s="417">
        <f t="shared" ref="F96:I96" si="37">F61*F91*F93</f>
        <v>1151.3040000000001</v>
      </c>
      <c r="G96" s="417">
        <f t="shared" si="37"/>
        <v>1465.2959999999998</v>
      </c>
      <c r="H96" s="417">
        <f t="shared" si="37"/>
        <v>1636.2472</v>
      </c>
      <c r="I96" s="418">
        <f t="shared" si="37"/>
        <v>2093.2800000000002</v>
      </c>
      <c r="J96" s="410">
        <f t="shared" si="27"/>
        <v>1203.6359999999997</v>
      </c>
      <c r="K96" s="410">
        <f t="shared" si="27"/>
        <v>1323.9996000000001</v>
      </c>
      <c r="L96" s="410">
        <f t="shared" si="28"/>
        <v>1685.0903999999996</v>
      </c>
      <c r="M96" s="410">
        <f t="shared" si="28"/>
        <v>1881.6842799999999</v>
      </c>
      <c r="N96" s="410">
        <f t="shared" si="28"/>
        <v>2407.2719999999999</v>
      </c>
      <c r="O96" s="1042"/>
      <c r="P96" s="1042"/>
      <c r="Q96" s="1042"/>
      <c r="R96" s="1042"/>
    </row>
    <row r="97" spans="1:18" s="390" customFormat="1" ht="18.75" customHeight="1">
      <c r="A97" s="2035" t="s">
        <v>821</v>
      </c>
      <c r="B97" s="2036"/>
      <c r="C97" s="1043" t="s">
        <v>434</v>
      </c>
      <c r="D97" s="1044" t="s">
        <v>435</v>
      </c>
      <c r="E97" s="1044">
        <v>2021</v>
      </c>
      <c r="F97" s="1045">
        <v>2022</v>
      </c>
      <c r="G97" s="1044">
        <v>2023</v>
      </c>
      <c r="H97" s="1044">
        <v>2024</v>
      </c>
      <c r="I97" s="1046">
        <v>2025</v>
      </c>
      <c r="J97" s="1042"/>
      <c r="K97" s="1042"/>
      <c r="L97" s="1042"/>
      <c r="M97" s="389"/>
      <c r="N97" s="1042"/>
      <c r="O97" s="1042"/>
      <c r="P97" s="1042"/>
      <c r="Q97" s="1042"/>
      <c r="R97" s="1042"/>
    </row>
    <row r="98" spans="1:18" s="390" customFormat="1" ht="18" customHeight="1" thickBot="1">
      <c r="A98" s="2037"/>
      <c r="B98" s="2038"/>
      <c r="C98" s="1082">
        <v>21300</v>
      </c>
      <c r="D98" s="1088">
        <v>0.34399999999999997</v>
      </c>
      <c r="E98" s="1083">
        <v>0.4</v>
      </c>
      <c r="F98" s="1083">
        <v>0.45</v>
      </c>
      <c r="G98" s="1083">
        <v>0.5</v>
      </c>
      <c r="H98" s="1083">
        <v>0.6</v>
      </c>
      <c r="I98" s="1084">
        <v>0.7</v>
      </c>
      <c r="J98" s="1042"/>
      <c r="K98" s="1042"/>
      <c r="L98" s="1042"/>
      <c r="M98" s="389"/>
      <c r="N98" s="1042"/>
      <c r="O98" s="1042"/>
      <c r="P98" s="1042"/>
      <c r="Q98" s="1042"/>
      <c r="R98" s="1042"/>
    </row>
    <row r="99" spans="1:18" s="390" customFormat="1" ht="15" customHeight="1">
      <c r="A99" s="2039" t="s">
        <v>443</v>
      </c>
      <c r="B99" s="1050" t="s">
        <v>1215</v>
      </c>
      <c r="C99" s="1051" t="s">
        <v>1216</v>
      </c>
      <c r="D99" s="1051"/>
      <c r="E99" s="1052">
        <f>C98*E98</f>
        <v>8520</v>
      </c>
      <c r="F99" s="1052">
        <f>C98*F98</f>
        <v>9585</v>
      </c>
      <c r="G99" s="1052">
        <f>C98*G98</f>
        <v>10650</v>
      </c>
      <c r="H99" s="1052">
        <f>C98*H98</f>
        <v>12780</v>
      </c>
      <c r="I99" s="1085">
        <f>C98*I98</f>
        <v>14909.999999999998</v>
      </c>
      <c r="J99" s="1042"/>
      <c r="K99" s="1042"/>
      <c r="L99" s="1042"/>
      <c r="M99" s="389"/>
      <c r="N99" s="1042"/>
      <c r="O99" s="1042"/>
      <c r="P99" s="1042"/>
      <c r="Q99" s="1042"/>
      <c r="R99" s="1042"/>
    </row>
    <row r="100" spans="1:18" s="390" customFormat="1" ht="15" customHeight="1">
      <c r="A100" s="2040"/>
      <c r="B100" s="393" t="s">
        <v>803</v>
      </c>
      <c r="C100" s="394">
        <v>17800</v>
      </c>
      <c r="D100" s="394"/>
      <c r="E100" s="394">
        <f>C100*E98</f>
        <v>7120</v>
      </c>
      <c r="F100" s="649">
        <f>C100*F98</f>
        <v>8010</v>
      </c>
      <c r="G100" s="394">
        <f>C100*G98</f>
        <v>8900</v>
      </c>
      <c r="H100" s="394">
        <f>C100*H98</f>
        <v>10680</v>
      </c>
      <c r="I100" s="395">
        <f>C100*I98</f>
        <v>12460</v>
      </c>
      <c r="J100" s="1042"/>
      <c r="K100" s="1042"/>
      <c r="L100" s="1042"/>
      <c r="M100" s="389"/>
      <c r="N100" s="1042"/>
      <c r="O100" s="1042"/>
      <c r="P100" s="1042"/>
      <c r="Q100" s="1042"/>
      <c r="R100" s="1042"/>
    </row>
    <row r="101" spans="1:18" s="390" customFormat="1" ht="15" customHeight="1">
      <c r="A101" s="2040"/>
      <c r="B101" s="2042" t="s">
        <v>1217</v>
      </c>
      <c r="C101" s="1054">
        <v>1</v>
      </c>
      <c r="D101" s="1055"/>
      <c r="E101" s="1056">
        <v>0.75</v>
      </c>
      <c r="F101" s="1056">
        <v>0.7</v>
      </c>
      <c r="G101" s="1056">
        <v>0.65</v>
      </c>
      <c r="H101" s="1056">
        <v>0</v>
      </c>
      <c r="I101" s="1057">
        <v>0</v>
      </c>
      <c r="J101" s="1042"/>
      <c r="K101" s="1042"/>
      <c r="L101" s="1042"/>
      <c r="M101" s="389"/>
      <c r="N101" s="1042"/>
      <c r="O101" s="1042"/>
      <c r="P101" s="1042"/>
      <c r="Q101" s="1042"/>
      <c r="R101" s="1042"/>
    </row>
    <row r="102" spans="1:18" s="390" customFormat="1" ht="15" customHeight="1">
      <c r="A102" s="2040"/>
      <c r="B102" s="2042"/>
      <c r="C102" s="1054"/>
      <c r="D102" s="1055"/>
      <c r="E102" s="1065">
        <f>E100*E101</f>
        <v>5340</v>
      </c>
      <c r="F102" s="1065">
        <f>F100*F101</f>
        <v>5607</v>
      </c>
      <c r="G102" s="1065">
        <f>G100*G101</f>
        <v>5785</v>
      </c>
      <c r="H102" s="1065">
        <f>H100*H101</f>
        <v>0</v>
      </c>
      <c r="I102" s="1066">
        <f>I100*I101</f>
        <v>0</v>
      </c>
      <c r="J102" s="1042"/>
      <c r="K102" s="1042"/>
      <c r="L102" s="1042"/>
      <c r="M102" s="389"/>
      <c r="N102" s="1042"/>
      <c r="O102" s="1042"/>
      <c r="P102" s="1042"/>
      <c r="Q102" s="1042"/>
      <c r="R102" s="1042"/>
    </row>
    <row r="103" spans="1:18" s="390" customFormat="1" ht="15" customHeight="1">
      <c r="A103" s="2040"/>
      <c r="B103" s="2042" t="s">
        <v>441</v>
      </c>
      <c r="C103" s="1055"/>
      <c r="D103" s="1055"/>
      <c r="E103" s="1056">
        <f>C101-E101</f>
        <v>0.25</v>
      </c>
      <c r="F103" s="1056">
        <f>C101-F101</f>
        <v>0.30000000000000004</v>
      </c>
      <c r="G103" s="1056">
        <f>C101-G101</f>
        <v>0.35</v>
      </c>
      <c r="H103" s="1056">
        <v>0.4</v>
      </c>
      <c r="I103" s="1057">
        <v>0.45</v>
      </c>
      <c r="J103" s="1042"/>
      <c r="K103" s="1042"/>
      <c r="L103" s="1042"/>
      <c r="M103" s="389"/>
      <c r="N103" s="1042"/>
      <c r="O103" s="1042"/>
      <c r="P103" s="1042"/>
      <c r="Q103" s="1042"/>
      <c r="R103" s="1042"/>
    </row>
    <row r="104" spans="1:18" s="390" customFormat="1" ht="15" customHeight="1">
      <c r="A104" s="2040"/>
      <c r="B104" s="2042"/>
      <c r="C104" s="1055"/>
      <c r="D104" s="1055"/>
      <c r="E104" s="1065">
        <f>E100*E103</f>
        <v>1780</v>
      </c>
      <c r="F104" s="1065">
        <f>F100*F103</f>
        <v>2403.0000000000005</v>
      </c>
      <c r="G104" s="1065">
        <f>G100*G103</f>
        <v>3115</v>
      </c>
      <c r="H104" s="1065">
        <f>H100*H103</f>
        <v>4272</v>
      </c>
      <c r="I104" s="1066">
        <f>I100*I103</f>
        <v>5607</v>
      </c>
      <c r="J104" s="1042"/>
      <c r="K104" s="1042"/>
      <c r="L104" s="1042"/>
      <c r="M104" s="389"/>
      <c r="N104" s="1042"/>
      <c r="O104" s="1042"/>
      <c r="P104" s="1042"/>
      <c r="Q104" s="1042"/>
      <c r="R104" s="1042"/>
    </row>
    <row r="105" spans="1:18" s="390" customFormat="1" ht="15" customHeight="1">
      <c r="A105" s="2040"/>
      <c r="B105" s="2042" t="s">
        <v>1218</v>
      </c>
      <c r="C105" s="1055"/>
      <c r="D105" s="1055"/>
      <c r="E105" s="1056">
        <f>C101-E101-E103</f>
        <v>0</v>
      </c>
      <c r="F105" s="1056">
        <f>C101-F101-F103</f>
        <v>0</v>
      </c>
      <c r="G105" s="1056">
        <f>C101-G101-G103</f>
        <v>0</v>
      </c>
      <c r="H105" s="1056">
        <f>C101-H101-H103</f>
        <v>0.6</v>
      </c>
      <c r="I105" s="1057">
        <f>C101-I101-I103</f>
        <v>0.55000000000000004</v>
      </c>
      <c r="J105" s="1042"/>
      <c r="K105" s="1042"/>
      <c r="L105" s="1042"/>
      <c r="M105" s="389"/>
      <c r="N105" s="1042"/>
      <c r="O105" s="1042"/>
      <c r="P105" s="1042"/>
      <c r="Q105" s="1042"/>
      <c r="R105" s="1042"/>
    </row>
    <row r="106" spans="1:18" s="390" customFormat="1" ht="15" customHeight="1" thickBot="1">
      <c r="A106" s="2040"/>
      <c r="B106" s="2043"/>
      <c r="C106" s="1060"/>
      <c r="D106" s="1060"/>
      <c r="E106" s="1061">
        <f>E105*E100</f>
        <v>0</v>
      </c>
      <c r="F106" s="1061">
        <f t="shared" ref="F106:I106" si="38">F105*F100</f>
        <v>0</v>
      </c>
      <c r="G106" s="1061">
        <f t="shared" si="38"/>
        <v>0</v>
      </c>
      <c r="H106" s="1061">
        <f t="shared" si="38"/>
        <v>6408</v>
      </c>
      <c r="I106" s="1062">
        <f t="shared" si="38"/>
        <v>6853.0000000000009</v>
      </c>
      <c r="J106" s="1042"/>
      <c r="K106" s="1042"/>
      <c r="L106" s="1042"/>
      <c r="M106" s="389"/>
      <c r="N106" s="1042"/>
      <c r="O106" s="1042"/>
      <c r="P106" s="1042"/>
      <c r="Q106" s="1042"/>
      <c r="R106" s="1042"/>
    </row>
    <row r="107" spans="1:18" s="390" customFormat="1" ht="15" customHeight="1">
      <c r="A107" s="2040"/>
      <c r="B107" s="1050" t="s">
        <v>804</v>
      </c>
      <c r="C107" s="1063">
        <v>3500</v>
      </c>
      <c r="D107" s="1063"/>
      <c r="E107" s="1086">
        <f>E98*C107</f>
        <v>1400</v>
      </c>
      <c r="F107" s="1086">
        <f>F98*C107</f>
        <v>1575</v>
      </c>
      <c r="G107" s="1086">
        <f>G98*C107</f>
        <v>1750</v>
      </c>
      <c r="H107" s="1086">
        <f>H98*C107</f>
        <v>2100</v>
      </c>
      <c r="I107" s="1087">
        <f>I98*C107</f>
        <v>2450</v>
      </c>
      <c r="J107" s="1042"/>
      <c r="K107" s="1042"/>
      <c r="L107" s="1042"/>
      <c r="M107" s="389"/>
      <c r="N107" s="1042"/>
      <c r="O107" s="1042"/>
      <c r="P107" s="1042"/>
      <c r="Q107" s="1042"/>
      <c r="R107" s="1042"/>
    </row>
    <row r="108" spans="1:18" s="390" customFormat="1" ht="15" customHeight="1">
      <c r="A108" s="2040"/>
      <c r="B108" s="2042" t="s">
        <v>1219</v>
      </c>
      <c r="C108" s="1054">
        <v>1</v>
      </c>
      <c r="D108" s="1055"/>
      <c r="E108" s="1056">
        <v>1</v>
      </c>
      <c r="F108" s="1056">
        <v>1</v>
      </c>
      <c r="G108" s="1056">
        <v>1</v>
      </c>
      <c r="H108" s="1056">
        <v>0</v>
      </c>
      <c r="I108" s="1057">
        <v>0</v>
      </c>
      <c r="J108" s="1042"/>
      <c r="K108" s="1042"/>
      <c r="L108" s="1042"/>
      <c r="M108" s="389"/>
      <c r="N108" s="1042"/>
      <c r="O108" s="1042"/>
      <c r="P108" s="1042"/>
      <c r="Q108" s="1042"/>
      <c r="R108" s="1042"/>
    </row>
    <row r="109" spans="1:18" s="390" customFormat="1" ht="15" customHeight="1">
      <c r="A109" s="2040"/>
      <c r="B109" s="2042"/>
      <c r="C109" s="1054"/>
      <c r="D109" s="1055"/>
      <c r="E109" s="1065">
        <f>E107*E108</f>
        <v>1400</v>
      </c>
      <c r="F109" s="1065">
        <f t="shared" ref="F109:G109" si="39">F107*F108</f>
        <v>1575</v>
      </c>
      <c r="G109" s="1065">
        <f t="shared" si="39"/>
        <v>1750</v>
      </c>
      <c r="H109" s="1065">
        <f t="shared" ref="H109:I109" si="40">H105*H108</f>
        <v>0</v>
      </c>
      <c r="I109" s="1066">
        <f t="shared" si="40"/>
        <v>0</v>
      </c>
      <c r="J109" s="1042"/>
      <c r="K109" s="1042"/>
      <c r="L109" s="1042"/>
      <c r="M109" s="389"/>
      <c r="N109" s="1042"/>
      <c r="O109" s="1042"/>
      <c r="P109" s="1042"/>
      <c r="Q109" s="1042"/>
      <c r="R109" s="1042"/>
    </row>
    <row r="110" spans="1:18" s="390" customFormat="1" ht="15" customHeight="1">
      <c r="A110" s="2040"/>
      <c r="B110" s="2042" t="s">
        <v>1220</v>
      </c>
      <c r="C110" s="1055"/>
      <c r="D110" s="1055"/>
      <c r="E110" s="1056">
        <v>0</v>
      </c>
      <c r="F110" s="1056">
        <v>0</v>
      </c>
      <c r="G110" s="1056">
        <v>0</v>
      </c>
      <c r="H110" s="1056">
        <v>0</v>
      </c>
      <c r="I110" s="1057">
        <v>0</v>
      </c>
      <c r="J110" s="1042"/>
      <c r="K110" s="1042"/>
      <c r="L110" s="1042"/>
      <c r="M110" s="389"/>
      <c r="N110" s="1042"/>
      <c r="O110" s="1042"/>
      <c r="P110" s="1042"/>
      <c r="Q110" s="1042"/>
      <c r="R110" s="1042"/>
    </row>
    <row r="111" spans="1:18" s="390" customFormat="1" ht="15" customHeight="1">
      <c r="A111" s="2040"/>
      <c r="B111" s="2042"/>
      <c r="C111" s="1055"/>
      <c r="D111" s="1055"/>
      <c r="E111" s="1058">
        <f>E110*E105</f>
        <v>0</v>
      </c>
      <c r="F111" s="1058">
        <f t="shared" ref="F111:G111" si="41">F110*F105</f>
        <v>0</v>
      </c>
      <c r="G111" s="1058">
        <f t="shared" si="41"/>
        <v>0</v>
      </c>
      <c r="H111" s="1065">
        <f>H110*H107</f>
        <v>0</v>
      </c>
      <c r="I111" s="1066">
        <f>I110*I107</f>
        <v>0</v>
      </c>
      <c r="J111" s="1042"/>
      <c r="K111" s="1042"/>
      <c r="L111" s="1042"/>
      <c r="M111" s="389"/>
      <c r="N111" s="1042"/>
      <c r="O111" s="1042"/>
      <c r="P111" s="1042"/>
      <c r="Q111" s="1042"/>
      <c r="R111" s="1042"/>
    </row>
    <row r="112" spans="1:18" s="390" customFormat="1" ht="15" customHeight="1">
      <c r="A112" s="2040"/>
      <c r="B112" s="2042" t="s">
        <v>1218</v>
      </c>
      <c r="C112" s="1055"/>
      <c r="D112" s="1055"/>
      <c r="E112" s="1056">
        <v>0</v>
      </c>
      <c r="F112" s="1056">
        <v>0</v>
      </c>
      <c r="G112" s="1056">
        <v>0</v>
      </c>
      <c r="H112" s="1056">
        <f>C108-H108-H110</f>
        <v>1</v>
      </c>
      <c r="I112" s="1057">
        <f>C108-I108-I110</f>
        <v>1</v>
      </c>
      <c r="J112" s="1042"/>
      <c r="K112" s="1042"/>
      <c r="L112" s="1042"/>
      <c r="M112" s="389"/>
      <c r="N112" s="1042"/>
      <c r="O112" s="1042"/>
      <c r="P112" s="1042"/>
      <c r="Q112" s="1042"/>
      <c r="R112" s="1042"/>
    </row>
    <row r="113" spans="1:18" s="390" customFormat="1" ht="15" customHeight="1" thickBot="1">
      <c r="A113" s="2040"/>
      <c r="B113" s="2043"/>
      <c r="C113" s="1060"/>
      <c r="D113" s="1060"/>
      <c r="E113" s="1061">
        <f>E112*E107</f>
        <v>0</v>
      </c>
      <c r="F113" s="1061">
        <f t="shared" ref="F113:G113" si="42">F112*F107</f>
        <v>0</v>
      </c>
      <c r="G113" s="1061">
        <f t="shared" si="42"/>
        <v>0</v>
      </c>
      <c r="H113" s="1067">
        <f>H112*H107</f>
        <v>2100</v>
      </c>
      <c r="I113" s="1068">
        <f t="shared" ref="I113" si="43">I112*I107</f>
        <v>2450</v>
      </c>
      <c r="J113" s="1042"/>
      <c r="K113" s="1042"/>
      <c r="L113" s="1042"/>
      <c r="M113" s="389"/>
      <c r="N113" s="1042"/>
      <c r="O113" s="1042"/>
      <c r="P113" s="1042"/>
      <c r="Q113" s="1042"/>
      <c r="R113" s="1042"/>
    </row>
    <row r="114" spans="1:18" s="390" customFormat="1" ht="15" customHeight="1">
      <c r="A114" s="2040"/>
      <c r="B114" s="1069" t="s">
        <v>822</v>
      </c>
      <c r="C114" s="552"/>
      <c r="D114" s="552"/>
      <c r="E114" s="397">
        <v>0.8</v>
      </c>
      <c r="F114" s="397">
        <v>0.8</v>
      </c>
      <c r="G114" s="397">
        <v>0.8</v>
      </c>
      <c r="H114" s="397">
        <v>0.8</v>
      </c>
      <c r="I114" s="843">
        <v>0.8</v>
      </c>
      <c r="J114" s="1042"/>
      <c r="K114" s="1042"/>
      <c r="L114" s="1042"/>
      <c r="M114" s="389"/>
      <c r="N114" s="1042"/>
      <c r="O114" s="1042"/>
      <c r="P114" s="1042"/>
      <c r="Q114" s="1042"/>
      <c r="R114" s="1042"/>
    </row>
    <row r="115" spans="1:18" s="390" customFormat="1" ht="15" customHeight="1">
      <c r="A115" s="2040"/>
      <c r="B115" s="1070" t="s">
        <v>807</v>
      </c>
      <c r="C115" s="1026"/>
      <c r="D115" s="1071"/>
      <c r="E115" s="402">
        <v>0.8</v>
      </c>
      <c r="F115" s="402">
        <v>0.8</v>
      </c>
      <c r="G115" s="402">
        <v>0.85</v>
      </c>
      <c r="H115" s="402">
        <v>0.85</v>
      </c>
      <c r="I115" s="416">
        <v>0.9</v>
      </c>
      <c r="J115" s="1042"/>
      <c r="K115" s="1042"/>
      <c r="L115" s="1042"/>
      <c r="M115" s="389"/>
      <c r="N115" s="1042"/>
      <c r="O115" s="1042"/>
      <c r="P115" s="1042"/>
      <c r="Q115" s="1042"/>
      <c r="R115" s="1042"/>
    </row>
    <row r="116" spans="1:18" s="390" customFormat="1" ht="15" customHeight="1">
      <c r="A116" s="2040"/>
      <c r="B116" s="2045" t="s">
        <v>808</v>
      </c>
      <c r="C116" s="1072"/>
      <c r="D116" s="1026"/>
      <c r="E116" s="405">
        <v>0.4</v>
      </c>
      <c r="F116" s="405">
        <v>0.4</v>
      </c>
      <c r="G116" s="405">
        <v>0.4</v>
      </c>
      <c r="H116" s="405">
        <v>0.4</v>
      </c>
      <c r="I116" s="409">
        <v>0.4</v>
      </c>
      <c r="J116" s="1042"/>
      <c r="K116" s="1042"/>
      <c r="L116" s="1042"/>
      <c r="M116" s="389"/>
      <c r="N116" s="1042"/>
      <c r="O116" s="1042"/>
      <c r="P116" s="1042"/>
      <c r="Q116" s="1042"/>
      <c r="R116" s="1042"/>
    </row>
    <row r="117" spans="1:18" s="390" customFormat="1" ht="15" customHeight="1">
      <c r="A117" s="2040"/>
      <c r="B117" s="2045"/>
      <c r="C117" s="1072"/>
      <c r="D117" s="1073" t="s">
        <v>101</v>
      </c>
      <c r="E117" s="406">
        <f>E99*E114*E115*E116</f>
        <v>2181.1200000000003</v>
      </c>
      <c r="F117" s="406">
        <f t="shared" ref="F117:I117" si="44">F99*F114*F115*F116</f>
        <v>2453.7600000000002</v>
      </c>
      <c r="G117" s="406">
        <f t="shared" si="44"/>
        <v>2896.8</v>
      </c>
      <c r="H117" s="406">
        <f t="shared" si="44"/>
        <v>3476.16</v>
      </c>
      <c r="I117" s="407">
        <f t="shared" si="44"/>
        <v>4294.0800000000008</v>
      </c>
      <c r="J117" s="410"/>
      <c r="K117" s="410"/>
      <c r="L117" s="410"/>
      <c r="M117" s="410"/>
      <c r="N117" s="410"/>
      <c r="O117" s="1042"/>
      <c r="P117" s="1042"/>
      <c r="Q117" s="1042"/>
      <c r="R117" s="1042"/>
    </row>
    <row r="118" spans="1:18" s="390" customFormat="1" ht="15" customHeight="1">
      <c r="A118" s="2040"/>
      <c r="B118" s="2045"/>
      <c r="C118" s="1072" t="s">
        <v>1222</v>
      </c>
      <c r="D118" s="1026" t="s">
        <v>803</v>
      </c>
      <c r="E118" s="410">
        <f>E100*E114*E115*E116</f>
        <v>1822.7200000000003</v>
      </c>
      <c r="F118" s="410">
        <f t="shared" ref="F118:I118" si="45">F100*F114*F115*F116</f>
        <v>2050.5600000000004</v>
      </c>
      <c r="G118" s="410">
        <f t="shared" si="45"/>
        <v>2420.8000000000002</v>
      </c>
      <c r="H118" s="410">
        <f t="shared" si="45"/>
        <v>2904.96</v>
      </c>
      <c r="I118" s="411">
        <f t="shared" si="45"/>
        <v>3588.4800000000005</v>
      </c>
      <c r="J118" s="410"/>
      <c r="K118" s="410"/>
      <c r="L118" s="410"/>
      <c r="M118" s="410"/>
      <c r="N118" s="410"/>
      <c r="O118" s="1042"/>
      <c r="P118" s="1042"/>
      <c r="Q118" s="1042"/>
      <c r="R118" s="1042"/>
    </row>
    <row r="119" spans="1:18" s="390" customFormat="1" ht="15" customHeight="1">
      <c r="A119" s="2040"/>
      <c r="B119" s="2046"/>
      <c r="C119" s="1074" t="s">
        <v>1223</v>
      </c>
      <c r="D119" s="1025" t="s">
        <v>804</v>
      </c>
      <c r="E119" s="406">
        <f>E107*E114*E115*E116</f>
        <v>358.40000000000003</v>
      </c>
      <c r="F119" s="406">
        <f t="shared" ref="F119:I119" si="46">F107*F114*F115*F116</f>
        <v>403.20000000000005</v>
      </c>
      <c r="G119" s="406">
        <f t="shared" si="46"/>
        <v>476</v>
      </c>
      <c r="H119" s="406">
        <f t="shared" si="46"/>
        <v>571.20000000000005</v>
      </c>
      <c r="I119" s="407">
        <f t="shared" si="46"/>
        <v>705.6</v>
      </c>
      <c r="J119" s="410">
        <f t="shared" ref="J119:N142" si="47">E119*1.15</f>
        <v>412.16</v>
      </c>
      <c r="K119" s="410">
        <f t="shared" si="47"/>
        <v>463.68</v>
      </c>
      <c r="L119" s="410">
        <f t="shared" si="47"/>
        <v>547.4</v>
      </c>
      <c r="M119" s="410">
        <f t="shared" si="47"/>
        <v>656.88</v>
      </c>
      <c r="N119" s="410">
        <f t="shared" si="47"/>
        <v>811.43999999999994</v>
      </c>
      <c r="O119" s="1042"/>
      <c r="P119" s="1042"/>
      <c r="Q119" s="1042"/>
      <c r="R119" s="1042"/>
    </row>
    <row r="120" spans="1:18" s="390" customFormat="1" ht="15" customHeight="1">
      <c r="A120" s="2040"/>
      <c r="B120" s="2020" t="s">
        <v>809</v>
      </c>
      <c r="C120" s="1072"/>
      <c r="D120" s="1026"/>
      <c r="E120" s="402">
        <f>1-E116</f>
        <v>0.6</v>
      </c>
      <c r="F120" s="402">
        <f t="shared" ref="F120:I120" si="48">1-F116</f>
        <v>0.6</v>
      </c>
      <c r="G120" s="402">
        <f t="shared" si="48"/>
        <v>0.6</v>
      </c>
      <c r="H120" s="402">
        <f t="shared" si="48"/>
        <v>0.6</v>
      </c>
      <c r="I120" s="416">
        <f t="shared" si="48"/>
        <v>0.6</v>
      </c>
      <c r="J120" s="410"/>
      <c r="K120" s="410"/>
      <c r="L120" s="410"/>
      <c r="M120" s="410"/>
      <c r="N120" s="410"/>
      <c r="O120" s="1042"/>
      <c r="P120" s="1042"/>
      <c r="Q120" s="1042"/>
      <c r="R120" s="1042"/>
    </row>
    <row r="121" spans="1:18" s="390" customFormat="1" ht="15" customHeight="1">
      <c r="A121" s="2040"/>
      <c r="B121" s="2020"/>
      <c r="C121" s="1072"/>
      <c r="D121" s="1073" t="s">
        <v>101</v>
      </c>
      <c r="E121" s="406">
        <f>E99*E114*E115*E120</f>
        <v>3271.68</v>
      </c>
      <c r="F121" s="406">
        <f>F99*F114*F115*F120</f>
        <v>3680.6400000000003</v>
      </c>
      <c r="G121" s="406">
        <f>G99*G114*G115*G120</f>
        <v>4345.2</v>
      </c>
      <c r="H121" s="406">
        <f>H99*H114*H115*H120</f>
        <v>5214.24</v>
      </c>
      <c r="I121" s="407">
        <f>I99*I114*I115*I120</f>
        <v>6441.12</v>
      </c>
      <c r="J121" s="410"/>
      <c r="K121" s="410"/>
      <c r="L121" s="410"/>
      <c r="M121" s="410"/>
      <c r="N121" s="410"/>
      <c r="O121" s="1042"/>
      <c r="P121" s="1042"/>
      <c r="Q121" s="1042"/>
      <c r="R121" s="1042"/>
    </row>
    <row r="122" spans="1:18" s="390" customFormat="1" ht="15" customHeight="1">
      <c r="A122" s="2040"/>
      <c r="B122" s="2020"/>
      <c r="C122" s="1072" t="s">
        <v>1222</v>
      </c>
      <c r="D122" s="1026" t="s">
        <v>1224</v>
      </c>
      <c r="E122" s="410">
        <f>E100*E114*E115*E120</f>
        <v>2734.08</v>
      </c>
      <c r="F122" s="410">
        <f>F100*F114*F115*F120</f>
        <v>3075.84</v>
      </c>
      <c r="G122" s="410">
        <f>G100*G114*G115*G120</f>
        <v>3631.2</v>
      </c>
      <c r="H122" s="410">
        <f>H100*H114*H115*H120</f>
        <v>4357.4399999999996</v>
      </c>
      <c r="I122" s="411">
        <f>I100*I114*I115*I120</f>
        <v>5382.72</v>
      </c>
      <c r="J122" s="410"/>
      <c r="K122" s="410"/>
      <c r="L122" s="410"/>
      <c r="M122" s="410"/>
      <c r="N122" s="410"/>
      <c r="O122" s="1042"/>
      <c r="P122" s="1042"/>
      <c r="Q122" s="1042"/>
      <c r="R122" s="1042"/>
    </row>
    <row r="123" spans="1:18" s="390" customFormat="1" ht="15" customHeight="1" thickBot="1">
      <c r="A123" s="2040"/>
      <c r="B123" s="2021"/>
      <c r="C123" s="1075" t="s">
        <v>1223</v>
      </c>
      <c r="D123" s="490" t="s">
        <v>804</v>
      </c>
      <c r="E123" s="1079">
        <f>E107*E114*E115*E120</f>
        <v>537.6</v>
      </c>
      <c r="F123" s="1079">
        <f>F107*F114*F115*F120</f>
        <v>604.79999999999995</v>
      </c>
      <c r="G123" s="1079">
        <f>G107*G114*G115*G120</f>
        <v>714</v>
      </c>
      <c r="H123" s="1079">
        <f>H107*H114*H115*H120</f>
        <v>856.8</v>
      </c>
      <c r="I123" s="1080">
        <f>I107*I114*I115*I120</f>
        <v>1058.3999999999999</v>
      </c>
      <c r="J123" s="410">
        <f t="shared" si="47"/>
        <v>618.24</v>
      </c>
      <c r="K123" s="410">
        <f t="shared" si="47"/>
        <v>695.51999999999987</v>
      </c>
      <c r="L123" s="410">
        <f t="shared" si="47"/>
        <v>821.09999999999991</v>
      </c>
      <c r="M123" s="410">
        <f t="shared" si="47"/>
        <v>985.31999999999982</v>
      </c>
      <c r="N123" s="410">
        <f t="shared" si="47"/>
        <v>1217.1599999999999</v>
      </c>
      <c r="O123" s="1042" t="s">
        <v>1225</v>
      </c>
      <c r="P123" s="1042"/>
      <c r="Q123" s="1042"/>
      <c r="R123" s="1042"/>
    </row>
    <row r="124" spans="1:18" s="390" customFormat="1" ht="15" customHeight="1">
      <c r="A124" s="2040"/>
      <c r="B124" s="2050" t="s">
        <v>822</v>
      </c>
      <c r="C124" s="552"/>
      <c r="D124" s="1021"/>
      <c r="E124" s="397">
        <v>0.8</v>
      </c>
      <c r="F124" s="397">
        <v>0.8</v>
      </c>
      <c r="G124" s="397">
        <v>0.8</v>
      </c>
      <c r="H124" s="397">
        <v>0.8</v>
      </c>
      <c r="I124" s="843">
        <v>0.8</v>
      </c>
      <c r="J124" s="410"/>
      <c r="K124" s="410"/>
      <c r="L124" s="410"/>
      <c r="M124" s="410"/>
      <c r="N124" s="410"/>
      <c r="O124" s="1042"/>
      <c r="P124" s="1042"/>
      <c r="Q124" s="1042"/>
      <c r="R124" s="1042"/>
    </row>
    <row r="125" spans="1:18" s="390" customFormat="1" ht="15" customHeight="1">
      <c r="A125" s="2040"/>
      <c r="B125" s="2051"/>
      <c r="C125" s="1025"/>
      <c r="D125" s="1022"/>
      <c r="E125" s="412">
        <f>E99*E124</f>
        <v>6816</v>
      </c>
      <c r="F125" s="412">
        <f>F99*F124</f>
        <v>7668</v>
      </c>
      <c r="G125" s="412">
        <f>G99*G124</f>
        <v>8520</v>
      </c>
      <c r="H125" s="412">
        <f>H99*H124</f>
        <v>10224</v>
      </c>
      <c r="I125" s="413">
        <f>I99*I124</f>
        <v>11928</v>
      </c>
      <c r="J125" s="410"/>
      <c r="K125" s="410"/>
      <c r="L125" s="410"/>
      <c r="M125" s="410"/>
      <c r="N125" s="410"/>
      <c r="O125" s="1042"/>
      <c r="P125" s="1042"/>
      <c r="Q125" s="1042"/>
      <c r="R125" s="1042"/>
    </row>
    <row r="126" spans="1:18" s="390" customFormat="1" ht="15" customHeight="1">
      <c r="A126" s="2040"/>
      <c r="B126" s="2052" t="s">
        <v>810</v>
      </c>
      <c r="C126" s="1026"/>
      <c r="D126" s="1023"/>
      <c r="E126" s="402">
        <v>0.5</v>
      </c>
      <c r="F126" s="402">
        <v>0.5</v>
      </c>
      <c r="G126" s="402">
        <v>0.55000000000000004</v>
      </c>
      <c r="H126" s="402">
        <v>0.55000000000000004</v>
      </c>
      <c r="I126" s="416">
        <v>0.6</v>
      </c>
      <c r="J126" s="410"/>
      <c r="K126" s="410"/>
      <c r="L126" s="410"/>
      <c r="M126" s="410"/>
      <c r="N126" s="410"/>
      <c r="O126" s="1042"/>
      <c r="P126" s="1042"/>
      <c r="Q126" s="1042"/>
      <c r="R126" s="1042"/>
    </row>
    <row r="127" spans="1:18" s="390" customFormat="1" ht="15" customHeight="1">
      <c r="A127" s="2040"/>
      <c r="B127" s="2051"/>
      <c r="C127" s="1022"/>
      <c r="D127" s="1022"/>
      <c r="E127" s="399">
        <f>E126*E125</f>
        <v>3408</v>
      </c>
      <c r="F127" s="399">
        <f>F126*F125</f>
        <v>3834</v>
      </c>
      <c r="G127" s="399">
        <f>G126*G125</f>
        <v>4686</v>
      </c>
      <c r="H127" s="399">
        <f>H126*H125</f>
        <v>5623.2000000000007</v>
      </c>
      <c r="I127" s="400">
        <f>I126*I125</f>
        <v>7156.8</v>
      </c>
      <c r="J127" s="410"/>
      <c r="K127" s="410"/>
      <c r="L127" s="410"/>
      <c r="M127" s="410"/>
      <c r="N127" s="410"/>
      <c r="O127" s="1042"/>
      <c r="P127" s="1042"/>
      <c r="Q127" s="1042"/>
      <c r="R127" s="1042"/>
    </row>
    <row r="128" spans="1:18" s="390" customFormat="1" ht="15" customHeight="1">
      <c r="A128" s="2040"/>
      <c r="B128" s="2027" t="s">
        <v>811</v>
      </c>
      <c r="C128" s="1026"/>
      <c r="D128" s="1076" t="s">
        <v>101</v>
      </c>
      <c r="E128" s="1077">
        <f>E127-E117</f>
        <v>1226.8799999999997</v>
      </c>
      <c r="F128" s="1077">
        <f t="shared" ref="F128:I128" si="49">F127-F117</f>
        <v>1380.2399999999998</v>
      </c>
      <c r="G128" s="1077">
        <f t="shared" si="49"/>
        <v>1789.1999999999998</v>
      </c>
      <c r="H128" s="1077">
        <f t="shared" si="49"/>
        <v>2147.0400000000009</v>
      </c>
      <c r="I128" s="1078">
        <f t="shared" si="49"/>
        <v>2862.7199999999993</v>
      </c>
      <c r="J128" s="410"/>
      <c r="K128" s="410"/>
      <c r="L128" s="410"/>
      <c r="M128" s="410"/>
      <c r="N128" s="410"/>
      <c r="O128" s="1042"/>
      <c r="P128" s="1042"/>
      <c r="Q128" s="1042"/>
      <c r="R128" s="1042"/>
    </row>
    <row r="129" spans="1:18" s="390" customFormat="1" ht="15" customHeight="1">
      <c r="A129" s="2040"/>
      <c r="B129" s="2028"/>
      <c r="C129" s="1026"/>
      <c r="D129" s="1026" t="s">
        <v>1224</v>
      </c>
      <c r="E129" s="410">
        <f>(E100*E124*E126)-E118</f>
        <v>1025.2799999999997</v>
      </c>
      <c r="F129" s="410">
        <f t="shared" ref="F129:I129" si="50">(F100*F124*F126)-F118</f>
        <v>1153.4399999999996</v>
      </c>
      <c r="G129" s="410">
        <f t="shared" si="50"/>
        <v>1495.2000000000003</v>
      </c>
      <c r="H129" s="410">
        <f t="shared" si="50"/>
        <v>1794.2400000000007</v>
      </c>
      <c r="I129" s="411">
        <f t="shared" si="50"/>
        <v>2392.3199999999997</v>
      </c>
      <c r="J129" s="410"/>
      <c r="K129" s="410"/>
      <c r="L129" s="410"/>
      <c r="M129" s="410"/>
      <c r="N129" s="410"/>
      <c r="O129" s="1042"/>
      <c r="P129" s="1042"/>
      <c r="Q129" s="1042"/>
      <c r="R129" s="1042"/>
    </row>
    <row r="130" spans="1:18" s="390" customFormat="1" ht="15" customHeight="1" thickBot="1">
      <c r="A130" s="2040"/>
      <c r="B130" s="2029"/>
      <c r="C130" s="490"/>
      <c r="D130" s="490" t="s">
        <v>804</v>
      </c>
      <c r="E130" s="1079">
        <f>(E107*E124*E126)-E119</f>
        <v>201.59999999999997</v>
      </c>
      <c r="F130" s="1079">
        <f t="shared" ref="F130:I130" si="51">(F107*F124*F126)-F119</f>
        <v>226.79999999999995</v>
      </c>
      <c r="G130" s="1079">
        <f t="shared" si="51"/>
        <v>294.00000000000011</v>
      </c>
      <c r="H130" s="1079">
        <f t="shared" si="51"/>
        <v>352.80000000000007</v>
      </c>
      <c r="I130" s="1080">
        <f t="shared" si="51"/>
        <v>470.4</v>
      </c>
      <c r="J130" s="410">
        <f t="shared" si="47"/>
        <v>231.83999999999995</v>
      </c>
      <c r="K130" s="410">
        <f t="shared" si="47"/>
        <v>260.81999999999994</v>
      </c>
      <c r="L130" s="410">
        <f t="shared" si="47"/>
        <v>338.10000000000008</v>
      </c>
      <c r="M130" s="410">
        <f t="shared" si="47"/>
        <v>405.72</v>
      </c>
      <c r="N130" s="410">
        <f t="shared" si="47"/>
        <v>540.95999999999992</v>
      </c>
      <c r="O130" s="1042" t="s">
        <v>1227</v>
      </c>
      <c r="P130" s="1042"/>
      <c r="Q130" s="1042"/>
      <c r="R130" s="1042"/>
    </row>
    <row r="131" spans="1:18" s="390" customFormat="1" ht="15" customHeight="1">
      <c r="A131" s="2040"/>
      <c r="B131" s="2030" t="s">
        <v>945</v>
      </c>
      <c r="C131" s="2025" t="s">
        <v>819</v>
      </c>
      <c r="D131" s="2025"/>
      <c r="E131" s="396">
        <v>0.75</v>
      </c>
      <c r="F131" s="396">
        <v>0.75</v>
      </c>
      <c r="G131" s="396">
        <v>0.75</v>
      </c>
      <c r="H131" s="396">
        <v>0.75</v>
      </c>
      <c r="I131" s="398">
        <v>0.75</v>
      </c>
      <c r="J131" s="410"/>
      <c r="K131" s="410"/>
      <c r="L131" s="410"/>
      <c r="M131" s="410"/>
      <c r="N131" s="410"/>
      <c r="O131" s="1042"/>
      <c r="P131" s="1042"/>
      <c r="Q131" s="1042"/>
      <c r="R131" s="1042"/>
    </row>
    <row r="132" spans="1:18" s="390" customFormat="1" ht="15" customHeight="1">
      <c r="A132" s="2040"/>
      <c r="B132" s="2031"/>
      <c r="C132" s="2026"/>
      <c r="D132" s="2026"/>
      <c r="E132" s="412">
        <f>E99*E131</f>
        <v>6390</v>
      </c>
      <c r="F132" s="412">
        <f>F99*F131</f>
        <v>7188.75</v>
      </c>
      <c r="G132" s="412">
        <f>G99*G131</f>
        <v>7987.5</v>
      </c>
      <c r="H132" s="412">
        <f>H99*H131</f>
        <v>9585</v>
      </c>
      <c r="I132" s="413">
        <f>I99*I131</f>
        <v>11182.499999999998</v>
      </c>
      <c r="J132" s="410"/>
      <c r="K132" s="410"/>
      <c r="L132" s="410"/>
      <c r="M132" s="410"/>
      <c r="N132" s="410"/>
      <c r="O132" s="1042"/>
      <c r="P132" s="1042"/>
      <c r="Q132" s="1042"/>
      <c r="R132" s="1042"/>
    </row>
    <row r="133" spans="1:18" s="390" customFormat="1" ht="15" customHeight="1">
      <c r="A133" s="2040"/>
      <c r="B133" s="2047" t="s">
        <v>814</v>
      </c>
      <c r="C133" s="1023" t="s">
        <v>813</v>
      </c>
      <c r="D133" s="1023"/>
      <c r="E133" s="402">
        <v>0.1</v>
      </c>
      <c r="F133" s="402">
        <v>0.1</v>
      </c>
      <c r="G133" s="402">
        <v>0.15</v>
      </c>
      <c r="H133" s="402">
        <v>0.15</v>
      </c>
      <c r="I133" s="416">
        <v>0.2</v>
      </c>
      <c r="J133" s="410"/>
      <c r="K133" s="410"/>
      <c r="L133" s="410"/>
      <c r="M133" s="410"/>
      <c r="N133" s="410"/>
      <c r="O133" s="1042"/>
      <c r="P133" s="1042"/>
      <c r="Q133" s="1042"/>
      <c r="R133" s="1042"/>
    </row>
    <row r="134" spans="1:18" s="390" customFormat="1" ht="15" customHeight="1">
      <c r="A134" s="2040"/>
      <c r="B134" s="2047"/>
      <c r="C134" s="1023"/>
      <c r="D134" s="1073" t="s">
        <v>101</v>
      </c>
      <c r="E134" s="406">
        <f>E132*E133</f>
        <v>639</v>
      </c>
      <c r="F134" s="406">
        <f t="shared" ref="F134:I134" si="52">F132*F133</f>
        <v>718.875</v>
      </c>
      <c r="G134" s="406">
        <f t="shared" si="52"/>
        <v>1198.125</v>
      </c>
      <c r="H134" s="406">
        <f t="shared" si="52"/>
        <v>1437.75</v>
      </c>
      <c r="I134" s="407">
        <f t="shared" si="52"/>
        <v>2236.4999999999995</v>
      </c>
      <c r="J134" s="410"/>
      <c r="K134" s="410"/>
      <c r="L134" s="410"/>
      <c r="M134" s="410"/>
      <c r="N134" s="410"/>
      <c r="O134" s="1042"/>
      <c r="P134" s="1042"/>
      <c r="Q134" s="1042"/>
      <c r="R134" s="1042"/>
    </row>
    <row r="135" spans="1:18" s="390" customFormat="1" ht="15" customHeight="1">
      <c r="A135" s="2040"/>
      <c r="B135" s="2047"/>
      <c r="C135" s="1023"/>
      <c r="D135" s="1026" t="s">
        <v>1224</v>
      </c>
      <c r="E135" s="410">
        <f>E100*E131*E133</f>
        <v>534</v>
      </c>
      <c r="F135" s="410">
        <f t="shared" ref="F135:I135" si="53">F100*F131*F133</f>
        <v>600.75</v>
      </c>
      <c r="G135" s="410">
        <f t="shared" si="53"/>
        <v>1001.25</v>
      </c>
      <c r="H135" s="410">
        <f t="shared" si="53"/>
        <v>1201.5</v>
      </c>
      <c r="I135" s="411">
        <f t="shared" si="53"/>
        <v>1869</v>
      </c>
      <c r="J135" s="410"/>
      <c r="K135" s="410"/>
      <c r="L135" s="410"/>
      <c r="M135" s="410"/>
      <c r="N135" s="410"/>
      <c r="O135" s="1042"/>
      <c r="P135" s="1042"/>
      <c r="Q135" s="1042"/>
      <c r="R135" s="1042"/>
    </row>
    <row r="136" spans="1:18" s="390" customFormat="1" ht="15" customHeight="1" thickBot="1">
      <c r="A136" s="2040"/>
      <c r="B136" s="2048"/>
      <c r="C136" s="1027"/>
      <c r="D136" s="490" t="s">
        <v>804</v>
      </c>
      <c r="E136" s="417">
        <f>E107*E131*E133</f>
        <v>105</v>
      </c>
      <c r="F136" s="417">
        <f t="shared" ref="F136:I136" si="54">F107*F131*F133</f>
        <v>118.125</v>
      </c>
      <c r="G136" s="417">
        <f t="shared" si="54"/>
        <v>196.875</v>
      </c>
      <c r="H136" s="417">
        <f t="shared" si="54"/>
        <v>236.25</v>
      </c>
      <c r="I136" s="418">
        <f t="shared" si="54"/>
        <v>367.5</v>
      </c>
      <c r="J136" s="410">
        <f t="shared" si="47"/>
        <v>120.74999999999999</v>
      </c>
      <c r="K136" s="410">
        <f t="shared" si="47"/>
        <v>135.84375</v>
      </c>
      <c r="L136" s="410">
        <f t="shared" si="47"/>
        <v>226.40624999999997</v>
      </c>
      <c r="M136" s="410">
        <f t="shared" si="47"/>
        <v>271.6875</v>
      </c>
      <c r="N136" s="410">
        <f t="shared" si="47"/>
        <v>422.62499999999994</v>
      </c>
      <c r="O136" s="1042"/>
      <c r="P136" s="1042"/>
      <c r="Q136" s="1042"/>
      <c r="R136" s="1042"/>
    </row>
    <row r="137" spans="1:18" s="390" customFormat="1" ht="15" customHeight="1">
      <c r="A137" s="2040"/>
      <c r="B137" s="2030" t="s">
        <v>946</v>
      </c>
      <c r="C137" s="2025" t="s">
        <v>819</v>
      </c>
      <c r="D137" s="2025"/>
      <c r="E137" s="396">
        <v>0.9</v>
      </c>
      <c r="F137" s="396">
        <v>0.9</v>
      </c>
      <c r="G137" s="396">
        <v>0.9</v>
      </c>
      <c r="H137" s="396">
        <v>0.9</v>
      </c>
      <c r="I137" s="398">
        <v>0.9</v>
      </c>
      <c r="J137" s="410"/>
      <c r="K137" s="410"/>
      <c r="L137" s="410"/>
      <c r="M137" s="410"/>
      <c r="N137" s="410"/>
      <c r="O137" s="1042"/>
      <c r="P137" s="1042"/>
      <c r="Q137" s="1042"/>
      <c r="R137" s="1042"/>
    </row>
    <row r="138" spans="1:18" s="390" customFormat="1" ht="15" customHeight="1">
      <c r="A138" s="2040"/>
      <c r="B138" s="2031"/>
      <c r="C138" s="2049"/>
      <c r="D138" s="2049"/>
      <c r="E138" s="403">
        <f>E99*E137</f>
        <v>7668</v>
      </c>
      <c r="F138" s="403">
        <f>F99*F137</f>
        <v>8626.5</v>
      </c>
      <c r="G138" s="403">
        <f>G99*G137</f>
        <v>9585</v>
      </c>
      <c r="H138" s="403">
        <f>H99*H137</f>
        <v>11502</v>
      </c>
      <c r="I138" s="1081">
        <f>I99*I137</f>
        <v>13418.999999999998</v>
      </c>
      <c r="J138" s="410"/>
      <c r="K138" s="410"/>
      <c r="L138" s="410"/>
      <c r="M138" s="410"/>
      <c r="N138" s="410"/>
      <c r="O138" s="1042"/>
      <c r="P138" s="1042"/>
      <c r="Q138" s="1042"/>
      <c r="R138" s="1042"/>
    </row>
    <row r="139" spans="1:18" s="390" customFormat="1" ht="15" customHeight="1">
      <c r="A139" s="2040"/>
      <c r="B139" s="2031"/>
      <c r="C139" s="1023" t="s">
        <v>815</v>
      </c>
      <c r="D139" s="1023"/>
      <c r="E139" s="402">
        <v>0.2</v>
      </c>
      <c r="F139" s="402">
        <v>0.2</v>
      </c>
      <c r="G139" s="402">
        <v>0.25</v>
      </c>
      <c r="H139" s="402">
        <v>0.25</v>
      </c>
      <c r="I139" s="416">
        <v>0.3</v>
      </c>
      <c r="J139" s="410"/>
      <c r="K139" s="410"/>
      <c r="L139" s="410"/>
      <c r="M139" s="410"/>
      <c r="N139" s="410"/>
      <c r="O139" s="1042"/>
      <c r="P139" s="1042"/>
      <c r="Q139" s="1042"/>
      <c r="R139" s="1042"/>
    </row>
    <row r="140" spans="1:18" s="390" customFormat="1" ht="15" customHeight="1">
      <c r="A140" s="2040"/>
      <c r="B140" s="2047" t="s">
        <v>816</v>
      </c>
      <c r="C140" s="1023"/>
      <c r="D140" s="1073" t="s">
        <v>101</v>
      </c>
      <c r="E140" s="406">
        <f>E138*E139</f>
        <v>1533.6000000000001</v>
      </c>
      <c r="F140" s="406">
        <f t="shared" ref="F140:I140" si="55">F138*F139</f>
        <v>1725.3000000000002</v>
      </c>
      <c r="G140" s="406">
        <f t="shared" si="55"/>
        <v>2396.25</v>
      </c>
      <c r="H140" s="406">
        <f t="shared" si="55"/>
        <v>2875.5</v>
      </c>
      <c r="I140" s="407">
        <f t="shared" si="55"/>
        <v>4025.6999999999994</v>
      </c>
      <c r="J140" s="410"/>
      <c r="K140" s="410"/>
      <c r="L140" s="410"/>
      <c r="M140" s="410"/>
      <c r="N140" s="410"/>
      <c r="O140" s="1042"/>
      <c r="P140" s="1042"/>
      <c r="Q140" s="1042"/>
      <c r="R140" s="1042"/>
    </row>
    <row r="141" spans="1:18" s="390" customFormat="1" ht="15" customHeight="1">
      <c r="A141" s="2040"/>
      <c r="B141" s="2047"/>
      <c r="C141" s="1023"/>
      <c r="D141" s="1026" t="s">
        <v>1224</v>
      </c>
      <c r="E141" s="410">
        <f>E100*E137*E139</f>
        <v>1281.6000000000001</v>
      </c>
      <c r="F141" s="410">
        <f t="shared" ref="F141:I141" si="56">F100*F137*F139</f>
        <v>1441.8000000000002</v>
      </c>
      <c r="G141" s="410">
        <f t="shared" si="56"/>
        <v>2002.5</v>
      </c>
      <c r="H141" s="410">
        <f t="shared" si="56"/>
        <v>2403</v>
      </c>
      <c r="I141" s="411">
        <f t="shared" si="56"/>
        <v>3364.2</v>
      </c>
      <c r="J141" s="410"/>
      <c r="K141" s="410"/>
      <c r="L141" s="410"/>
      <c r="M141" s="410"/>
      <c r="N141" s="410"/>
      <c r="O141" s="1042"/>
      <c r="P141" s="1042"/>
      <c r="Q141" s="1042"/>
      <c r="R141" s="1042"/>
    </row>
    <row r="142" spans="1:18" s="390" customFormat="1" ht="15" customHeight="1" thickBot="1">
      <c r="A142" s="2041"/>
      <c r="B142" s="2048"/>
      <c r="C142" s="1027"/>
      <c r="D142" s="490" t="s">
        <v>804</v>
      </c>
      <c r="E142" s="417">
        <f>E107*E137*E139</f>
        <v>252</v>
      </c>
      <c r="F142" s="417">
        <f t="shared" ref="F142:I142" si="57">F107*F137*F139</f>
        <v>283.5</v>
      </c>
      <c r="G142" s="417">
        <f t="shared" si="57"/>
        <v>393.75</v>
      </c>
      <c r="H142" s="417">
        <f t="shared" si="57"/>
        <v>472.5</v>
      </c>
      <c r="I142" s="418">
        <f t="shared" si="57"/>
        <v>661.5</v>
      </c>
      <c r="J142" s="410">
        <f t="shared" si="47"/>
        <v>289.79999999999995</v>
      </c>
      <c r="K142" s="410">
        <f t="shared" si="47"/>
        <v>326.02499999999998</v>
      </c>
      <c r="L142" s="410">
        <f t="shared" si="47"/>
        <v>452.81249999999994</v>
      </c>
      <c r="M142" s="410">
        <f t="shared" si="47"/>
        <v>543.375</v>
      </c>
      <c r="N142" s="410">
        <f t="shared" si="47"/>
        <v>760.72499999999991</v>
      </c>
      <c r="O142" s="1042"/>
      <c r="P142" s="1042"/>
      <c r="Q142" s="1042"/>
      <c r="R142" s="1042"/>
    </row>
    <row r="143" spans="1:18" s="390" customFormat="1" ht="15" customHeight="1" thickBot="1">
      <c r="A143" s="2035" t="s">
        <v>1228</v>
      </c>
      <c r="B143" s="2036"/>
      <c r="C143" s="1044" t="s">
        <v>434</v>
      </c>
      <c r="D143" s="1044" t="s">
        <v>435</v>
      </c>
      <c r="E143" s="1044">
        <v>2021</v>
      </c>
      <c r="F143" s="1045">
        <v>2022</v>
      </c>
      <c r="G143" s="1044">
        <v>2023</v>
      </c>
      <c r="H143" s="1044">
        <v>2024</v>
      </c>
      <c r="I143" s="1046">
        <v>2025</v>
      </c>
      <c r="J143" s="1042"/>
      <c r="K143" s="393"/>
      <c r="L143" s="1042"/>
      <c r="M143" s="389"/>
      <c r="N143" s="1042"/>
      <c r="O143" s="1042"/>
      <c r="P143" s="1042"/>
      <c r="Q143" s="1042"/>
      <c r="R143" s="1042"/>
    </row>
    <row r="144" spans="1:18" s="390" customFormat="1" ht="15" customHeight="1" thickBot="1">
      <c r="A144" s="2037"/>
      <c r="B144" s="2053"/>
      <c r="C144" s="1089">
        <v>10143</v>
      </c>
      <c r="D144" s="1048"/>
      <c r="E144" s="1090">
        <v>0.3</v>
      </c>
      <c r="F144" s="1090">
        <v>0.35</v>
      </c>
      <c r="G144" s="1090">
        <v>0.4</v>
      </c>
      <c r="H144" s="1090">
        <v>0.45</v>
      </c>
      <c r="I144" s="1090">
        <v>0.5</v>
      </c>
      <c r="J144" s="1042"/>
      <c r="L144" s="1042"/>
      <c r="M144" s="389"/>
      <c r="N144" s="1042"/>
      <c r="O144" s="1042"/>
      <c r="P144" s="1042"/>
      <c r="Q144" s="1042"/>
      <c r="R144" s="1042"/>
    </row>
    <row r="145" spans="1:18" s="390" customFormat="1" ht="15" customHeight="1">
      <c r="A145" s="2054" t="s">
        <v>1229</v>
      </c>
      <c r="B145" s="1050" t="s">
        <v>1215</v>
      </c>
      <c r="C145" s="1051" t="s">
        <v>1216</v>
      </c>
      <c r="D145" s="1051"/>
      <c r="E145" s="1052">
        <f>$E144*C144</f>
        <v>3042.9</v>
      </c>
      <c r="F145" s="1052">
        <f>$F144*C144</f>
        <v>3550.0499999999997</v>
      </c>
      <c r="G145" s="1052">
        <f>C144*G144</f>
        <v>4057.2000000000003</v>
      </c>
      <c r="H145" s="1052">
        <f>C144*H144</f>
        <v>4564.3500000000004</v>
      </c>
      <c r="I145" s="1052">
        <f>C144*I144</f>
        <v>5071.5</v>
      </c>
      <c r="J145" s="1042"/>
      <c r="K145" s="1042"/>
      <c r="L145" s="1042"/>
      <c r="M145" s="389"/>
      <c r="N145" s="1042"/>
      <c r="O145" s="1042"/>
      <c r="P145" s="1042"/>
      <c r="Q145" s="1042"/>
      <c r="R145" s="1042"/>
    </row>
    <row r="146" spans="1:18" s="390" customFormat="1" ht="15" customHeight="1">
      <c r="A146" s="2054"/>
      <c r="B146" s="393" t="s">
        <v>1230</v>
      </c>
      <c r="C146" s="394">
        <v>1940</v>
      </c>
      <c r="D146" s="394"/>
      <c r="E146" s="394">
        <v>1940</v>
      </c>
      <c r="F146" s="649">
        <v>1940</v>
      </c>
      <c r="G146" s="394">
        <v>1940</v>
      </c>
      <c r="H146" s="394">
        <v>1940</v>
      </c>
      <c r="I146" s="395">
        <v>1940</v>
      </c>
      <c r="J146" s="1042"/>
      <c r="K146" s="1042"/>
      <c r="L146" s="1042"/>
      <c r="M146" s="389"/>
      <c r="N146" s="1042"/>
      <c r="O146" s="1042"/>
      <c r="P146" s="1042"/>
      <c r="Q146" s="1042"/>
      <c r="R146" s="1042"/>
    </row>
    <row r="147" spans="1:18" s="390" customFormat="1" ht="15" customHeight="1">
      <c r="A147" s="2054"/>
      <c r="B147" s="2042" t="s">
        <v>1217</v>
      </c>
      <c r="C147" s="1054">
        <v>1</v>
      </c>
      <c r="D147" s="1055"/>
      <c r="E147" s="1056">
        <v>1</v>
      </c>
      <c r="F147" s="1056">
        <v>0.7</v>
      </c>
      <c r="G147" s="1056">
        <v>0.6</v>
      </c>
      <c r="H147" s="1056">
        <v>0</v>
      </c>
      <c r="I147" s="1057">
        <v>0</v>
      </c>
      <c r="J147" s="1042"/>
      <c r="K147" s="1042"/>
      <c r="L147" s="1042"/>
      <c r="M147" s="389"/>
      <c r="N147" s="1042"/>
      <c r="O147" s="1042"/>
      <c r="P147" s="1042"/>
      <c r="Q147" s="1042"/>
      <c r="R147" s="1042"/>
    </row>
    <row r="148" spans="1:18" s="390" customFormat="1" ht="15" customHeight="1" thickBot="1">
      <c r="A148" s="2054"/>
      <c r="B148" s="2055"/>
      <c r="C148" s="1091"/>
      <c r="D148" s="1092"/>
      <c r="E148" s="1093">
        <f>E146*E147</f>
        <v>1940</v>
      </c>
      <c r="F148" s="1093">
        <f>F146*F147</f>
        <v>1358</v>
      </c>
      <c r="G148" s="1093">
        <f>G146*G147</f>
        <v>1164</v>
      </c>
      <c r="H148" s="1093">
        <f>H146*H147</f>
        <v>0</v>
      </c>
      <c r="I148" s="1094">
        <f>I146*I147</f>
        <v>0</v>
      </c>
      <c r="J148" s="1042"/>
      <c r="K148" s="1042"/>
      <c r="L148" s="1042"/>
      <c r="M148" s="389"/>
      <c r="N148" s="1042"/>
      <c r="O148" s="1042"/>
      <c r="P148" s="1042"/>
      <c r="Q148" s="1042"/>
      <c r="R148" s="1042"/>
    </row>
    <row r="149" spans="1:18" s="390" customFormat="1" ht="15" customHeight="1">
      <c r="A149" s="2054"/>
      <c r="B149" s="2056" t="s">
        <v>1231</v>
      </c>
      <c r="C149" s="1095" t="s">
        <v>1232</v>
      </c>
      <c r="D149" s="1096"/>
      <c r="E149" s="1097">
        <v>189.62999999999988</v>
      </c>
      <c r="F149" s="1097">
        <f>F145-F146-F150-F151</f>
        <v>544.63499999999976</v>
      </c>
      <c r="G149" s="1097">
        <f t="shared" ref="G149:I149" si="58">G145-G146-G150-G151</f>
        <v>899.64000000000033</v>
      </c>
      <c r="H149" s="1097">
        <f t="shared" si="58"/>
        <v>1792.3500000000004</v>
      </c>
      <c r="I149" s="1097">
        <f t="shared" si="58"/>
        <v>2299.5</v>
      </c>
      <c r="J149" s="1042"/>
      <c r="K149" s="1042"/>
      <c r="L149" s="1042"/>
      <c r="M149" s="389"/>
      <c r="N149" s="1042"/>
      <c r="O149" s="1042"/>
      <c r="P149" s="1042"/>
      <c r="Q149" s="1042"/>
      <c r="R149" s="1042"/>
    </row>
    <row r="150" spans="1:18" s="390" customFormat="1" ht="15" customHeight="1" thickBot="1">
      <c r="A150" s="2054"/>
      <c r="B150" s="2043"/>
      <c r="C150" s="1060" t="s">
        <v>1233</v>
      </c>
      <c r="D150" s="1060"/>
      <c r="E150" s="1067">
        <v>81.269999999999982</v>
      </c>
      <c r="F150" s="1067">
        <v>233.41499999999985</v>
      </c>
      <c r="G150" s="1067">
        <v>385.56000000000006</v>
      </c>
      <c r="H150" s="1098">
        <v>0</v>
      </c>
      <c r="I150" s="1098">
        <v>0</v>
      </c>
      <c r="J150" s="1042"/>
      <c r="K150" s="1042"/>
      <c r="L150" s="1042"/>
      <c r="M150" s="389"/>
      <c r="N150" s="1042"/>
      <c r="O150" s="1042"/>
      <c r="P150" s="1042"/>
      <c r="Q150" s="1042"/>
      <c r="R150" s="1042"/>
    </row>
    <row r="151" spans="1:18" s="390" customFormat="1" ht="15" customHeight="1">
      <c r="A151" s="2054"/>
      <c r="B151" s="1050" t="s">
        <v>1234</v>
      </c>
      <c r="C151" s="1063">
        <v>832</v>
      </c>
      <c r="D151" s="1063"/>
      <c r="E151" s="1086">
        <v>832</v>
      </c>
      <c r="F151" s="1086">
        <v>832</v>
      </c>
      <c r="G151" s="1086">
        <v>832</v>
      </c>
      <c r="H151" s="1086">
        <v>832</v>
      </c>
      <c r="I151" s="1087">
        <v>832</v>
      </c>
      <c r="J151" s="1042"/>
      <c r="K151" s="1042"/>
      <c r="L151" s="1042"/>
      <c r="M151" s="389"/>
      <c r="N151" s="1042"/>
      <c r="O151" s="1042"/>
      <c r="P151" s="1042"/>
      <c r="Q151" s="1042"/>
      <c r="R151" s="1042"/>
    </row>
    <row r="152" spans="1:18" s="390" customFormat="1" ht="15" customHeight="1">
      <c r="A152" s="2054"/>
      <c r="B152" s="2042" t="s">
        <v>1219</v>
      </c>
      <c r="C152" s="1054">
        <v>1</v>
      </c>
      <c r="D152" s="1055"/>
      <c r="E152" s="1056">
        <v>1</v>
      </c>
      <c r="F152" s="1056">
        <v>1</v>
      </c>
      <c r="G152" s="1056">
        <v>1</v>
      </c>
      <c r="H152" s="1056">
        <v>0</v>
      </c>
      <c r="I152" s="1057">
        <v>0</v>
      </c>
      <c r="J152" s="1042"/>
      <c r="K152" s="1042"/>
      <c r="L152" s="1042"/>
      <c r="M152" s="389"/>
      <c r="N152" s="1042"/>
      <c r="O152" s="1042"/>
      <c r="P152" s="1042"/>
      <c r="Q152" s="1042"/>
      <c r="R152" s="1042"/>
    </row>
    <row r="153" spans="1:18" s="390" customFormat="1" ht="15" customHeight="1" thickBot="1">
      <c r="A153" s="2054"/>
      <c r="B153" s="2042"/>
      <c r="C153" s="1054"/>
      <c r="D153" s="1055"/>
      <c r="E153" s="1065">
        <f>E151*E152</f>
        <v>832</v>
      </c>
      <c r="F153" s="1065">
        <f t="shared" ref="F153" si="59">F151*F152</f>
        <v>832</v>
      </c>
      <c r="G153" s="1065">
        <f>G151*G152</f>
        <v>832</v>
      </c>
      <c r="H153" s="1065">
        <f t="shared" ref="H153:I153" si="60">H151*H152</f>
        <v>0</v>
      </c>
      <c r="I153" s="1065">
        <f t="shared" si="60"/>
        <v>0</v>
      </c>
      <c r="J153" s="1042"/>
      <c r="K153" s="1042"/>
      <c r="L153" s="1042"/>
      <c r="M153" s="389"/>
      <c r="N153" s="1042"/>
      <c r="O153" s="1042"/>
      <c r="P153" s="1042"/>
      <c r="Q153" s="1042"/>
      <c r="R153" s="1042"/>
    </row>
    <row r="154" spans="1:18" s="390" customFormat="1" ht="15" customHeight="1">
      <c r="A154" s="2054"/>
      <c r="B154" s="1069" t="s">
        <v>819</v>
      </c>
      <c r="C154" s="552"/>
      <c r="D154" s="552"/>
      <c r="E154" s="397">
        <v>0.8</v>
      </c>
      <c r="F154" s="397">
        <v>0.8</v>
      </c>
      <c r="G154" s="397">
        <v>0.8</v>
      </c>
      <c r="H154" s="397">
        <v>0.8</v>
      </c>
      <c r="I154" s="843">
        <v>0.8</v>
      </c>
      <c r="J154" s="1042"/>
      <c r="K154" s="1042"/>
      <c r="L154" s="1042"/>
      <c r="M154" s="389"/>
      <c r="N154" s="1042"/>
      <c r="O154" s="1042"/>
      <c r="P154" s="1042"/>
      <c r="Q154" s="1042"/>
      <c r="R154" s="1042"/>
    </row>
    <row r="155" spans="1:18" s="390" customFormat="1" ht="15" customHeight="1">
      <c r="A155" s="2054"/>
      <c r="B155" s="1099" t="s">
        <v>807</v>
      </c>
      <c r="C155" s="1025"/>
      <c r="D155" s="1100"/>
      <c r="E155" s="1101">
        <v>0.8</v>
      </c>
      <c r="F155" s="1101">
        <v>0.8</v>
      </c>
      <c r="G155" s="1101">
        <v>0.85</v>
      </c>
      <c r="H155" s="1101">
        <v>0.85</v>
      </c>
      <c r="I155" s="1102">
        <v>0.9</v>
      </c>
      <c r="J155" s="1042"/>
      <c r="K155" s="1042"/>
      <c r="L155" s="1042"/>
      <c r="M155" s="389"/>
      <c r="N155" s="1042"/>
      <c r="O155" s="1042"/>
      <c r="P155" s="1042"/>
      <c r="Q155" s="1042"/>
      <c r="R155" s="1042"/>
    </row>
    <row r="156" spans="1:18" s="390" customFormat="1" ht="15" customHeight="1">
      <c r="A156" s="2054"/>
      <c r="B156" s="2045" t="s">
        <v>808</v>
      </c>
      <c r="C156" s="1072"/>
      <c r="D156" s="1026"/>
      <c r="E156" s="405">
        <v>0.9</v>
      </c>
      <c r="F156" s="402">
        <v>0.9</v>
      </c>
      <c r="G156" s="405">
        <v>0.9</v>
      </c>
      <c r="H156" s="405">
        <v>0.9</v>
      </c>
      <c r="I156" s="409">
        <v>0.9</v>
      </c>
      <c r="J156" s="1042"/>
      <c r="K156" s="1042"/>
      <c r="L156" s="1042"/>
      <c r="M156" s="389"/>
      <c r="N156" s="1042"/>
      <c r="O156" s="1042"/>
      <c r="P156" s="1042"/>
      <c r="Q156" s="1042"/>
      <c r="R156" s="1042"/>
    </row>
    <row r="157" spans="1:18" s="390" customFormat="1" ht="15" customHeight="1">
      <c r="A157" s="2054"/>
      <c r="B157" s="2045"/>
      <c r="C157" s="1072"/>
      <c r="D157" s="1073" t="s">
        <v>101</v>
      </c>
      <c r="E157" s="406">
        <f>((C146+C151)*E154*E155*E156)+(E150+E149)*E156</f>
        <v>1840.482</v>
      </c>
      <c r="F157" s="406">
        <f>((C146+C151)*F154*F155*F156)+(+F150+F149)*F156</f>
        <v>2296.9169999999995</v>
      </c>
      <c r="G157" s="406">
        <f>((C146+C151)*G154*G155*G156)+(G150+G149)*G156</f>
        <v>2853.1440000000002</v>
      </c>
      <c r="H157" s="406">
        <f>((C146+C151)*H154*H155*H156)+(H150+H149)*H156</f>
        <v>3309.5790000000006</v>
      </c>
      <c r="I157" s="407">
        <f>((C146+C151)*I154*I155*I156)+(I150+I149)*I156</f>
        <v>3865.806</v>
      </c>
      <c r="J157" s="1103"/>
      <c r="K157" s="1103"/>
      <c r="L157" s="1103"/>
      <c r="M157" s="1103"/>
      <c r="N157" s="1103"/>
      <c r="O157" s="1042"/>
      <c r="P157" s="1042"/>
      <c r="Q157" s="1042"/>
      <c r="R157" s="1042"/>
    </row>
    <row r="158" spans="1:18" s="390" customFormat="1" ht="15" customHeight="1">
      <c r="A158" s="2054"/>
      <c r="B158" s="2045"/>
      <c r="C158" s="1072" t="s">
        <v>1222</v>
      </c>
      <c r="D158" s="1026" t="s">
        <v>803</v>
      </c>
      <c r="E158" s="410">
        <f>(C146*E154*E155*E156)+E149*E156</f>
        <v>1288.107</v>
      </c>
      <c r="F158" s="410">
        <f>(C146*F154*F155*F156)+(F149*F156)</f>
        <v>1607.6115</v>
      </c>
      <c r="G158" s="410">
        <f>(C146*G154*G155*G156)+(G149*G156)</f>
        <v>1996.9560000000001</v>
      </c>
      <c r="H158" s="410">
        <f>(C146*H154*H155*H156)+(H149*H156)</f>
        <v>2800.3950000000004</v>
      </c>
      <c r="I158" s="411">
        <f>(C146*I154*I155*I156)+(I149*I156)</f>
        <v>3326.67</v>
      </c>
      <c r="J158" s="1103"/>
      <c r="K158" s="1103"/>
      <c r="L158" s="1103"/>
      <c r="M158" s="1103"/>
      <c r="N158" s="1103"/>
      <c r="O158" s="1042"/>
      <c r="P158" s="1042"/>
      <c r="Q158" s="1042"/>
      <c r="R158" s="1042"/>
    </row>
    <row r="159" spans="1:18" s="390" customFormat="1" ht="15" customHeight="1">
      <c r="A159" s="2054"/>
      <c r="B159" s="2046"/>
      <c r="C159" s="1074" t="s">
        <v>1223</v>
      </c>
      <c r="D159" s="1025" t="s">
        <v>804</v>
      </c>
      <c r="E159" s="1104">
        <f>(C151*E154*E155*E156)+(E150*E156)</f>
        <v>552.375</v>
      </c>
      <c r="F159" s="1104">
        <f>(C151*F154*F155*F156)+(F150*F156)</f>
        <v>689.30549999999994</v>
      </c>
      <c r="G159" s="1104">
        <f>(C151*G154*G155*G156)+(G150*G156)</f>
        <v>856.1880000000001</v>
      </c>
      <c r="H159" s="1104">
        <f>$C151*H154*H155*H156</f>
        <v>509.18400000000003</v>
      </c>
      <c r="I159" s="1105">
        <f>$C151*I154*I155*I156</f>
        <v>539.13600000000008</v>
      </c>
      <c r="J159" s="410">
        <f>E159*1.15</f>
        <v>635.23124999999993</v>
      </c>
      <c r="K159" s="410">
        <f>F159*1.15</f>
        <v>792.70132499999988</v>
      </c>
      <c r="L159" s="410">
        <f t="shared" ref="L159:N159" si="61">G159*1.15</f>
        <v>984.61620000000005</v>
      </c>
      <c r="M159" s="410">
        <f t="shared" si="61"/>
        <v>585.5616</v>
      </c>
      <c r="N159" s="410">
        <f t="shared" si="61"/>
        <v>620.0064000000001</v>
      </c>
      <c r="O159" s="1042" t="s">
        <v>1235</v>
      </c>
      <c r="P159" s="1042"/>
      <c r="Q159" s="1042"/>
      <c r="R159" s="1042"/>
    </row>
    <row r="160" spans="1:18" s="390" customFormat="1" ht="15" customHeight="1">
      <c r="A160" s="2054"/>
      <c r="B160" s="2020" t="s">
        <v>809</v>
      </c>
      <c r="C160" s="1072"/>
      <c r="D160" s="1026"/>
      <c r="E160" s="402">
        <v>0.1</v>
      </c>
      <c r="F160" s="402">
        <v>0.1</v>
      </c>
      <c r="G160" s="402">
        <v>0.1</v>
      </c>
      <c r="H160" s="402">
        <v>0.1</v>
      </c>
      <c r="I160" s="416">
        <v>0.1</v>
      </c>
      <c r="J160" s="1103"/>
      <c r="K160" s="1103"/>
      <c r="L160" s="1103"/>
      <c r="M160" s="1103"/>
      <c r="N160" s="1103"/>
      <c r="O160" s="1042"/>
      <c r="P160" s="1042"/>
      <c r="Q160" s="1042"/>
      <c r="R160" s="1042"/>
    </row>
    <row r="161" spans="1:18" s="390" customFormat="1" ht="15" customHeight="1">
      <c r="A161" s="2054"/>
      <c r="B161" s="2020"/>
      <c r="C161" s="1072"/>
      <c r="D161" s="1073" t="s">
        <v>101</v>
      </c>
      <c r="E161" s="406">
        <f>(C146+C151)*E154*E155*E160</f>
        <v>177.40800000000002</v>
      </c>
      <c r="F161" s="406">
        <f>(C146+C151)*F154*F155*F160</f>
        <v>177.40800000000002</v>
      </c>
      <c r="G161" s="406">
        <f>(C146+C151)*G154*G155*G160</f>
        <v>188.49599999999998</v>
      </c>
      <c r="H161" s="406">
        <f>(C146+C151)*H154*H155*H160</f>
        <v>188.49599999999998</v>
      </c>
      <c r="I161" s="407">
        <f>(C146+C151)*I154*I155*I160</f>
        <v>199.584</v>
      </c>
      <c r="J161" s="1103"/>
      <c r="K161" s="1103"/>
      <c r="L161" s="1103"/>
      <c r="M161" s="1103"/>
      <c r="N161" s="1103"/>
      <c r="O161" s="1042"/>
      <c r="P161" s="1042"/>
      <c r="Q161" s="1042"/>
      <c r="R161" s="1042"/>
    </row>
    <row r="162" spans="1:18" s="390" customFormat="1" ht="15" customHeight="1">
      <c r="A162" s="2054"/>
      <c r="B162" s="2020"/>
      <c r="C162" s="1072" t="s">
        <v>1222</v>
      </c>
      <c r="D162" s="1026" t="s">
        <v>1224</v>
      </c>
      <c r="E162" s="410">
        <f>C146*E154*E155*E160</f>
        <v>124.16000000000003</v>
      </c>
      <c r="F162" s="410">
        <f>C146*F154*F155*F160</f>
        <v>124.16000000000003</v>
      </c>
      <c r="G162" s="410">
        <f>C146*G154*G155*G160</f>
        <v>131.92000000000002</v>
      </c>
      <c r="H162" s="410">
        <f>C146*H154*H155*H160</f>
        <v>131.92000000000002</v>
      </c>
      <c r="I162" s="411">
        <f>C146*I154*I155*I160</f>
        <v>139.68</v>
      </c>
      <c r="J162" s="1103"/>
      <c r="K162" s="1103"/>
      <c r="L162" s="1103"/>
      <c r="M162" s="1103"/>
      <c r="N162" s="1103"/>
      <c r="O162" s="1042"/>
      <c r="P162" s="1042"/>
      <c r="Q162" s="1042"/>
      <c r="R162" s="1042"/>
    </row>
    <row r="163" spans="1:18" s="390" customFormat="1" ht="15" customHeight="1" thickBot="1">
      <c r="A163" s="2054"/>
      <c r="B163" s="2021"/>
      <c r="C163" s="1075" t="s">
        <v>1223</v>
      </c>
      <c r="D163" s="490" t="s">
        <v>804</v>
      </c>
      <c r="E163" s="417">
        <f>C151*E154*E155*E160</f>
        <v>53.248000000000005</v>
      </c>
      <c r="F163" s="417">
        <f>C151*F154*F155*F160</f>
        <v>53.248000000000005</v>
      </c>
      <c r="G163" s="417">
        <f>C151*G154*G155*G160</f>
        <v>56.576000000000001</v>
      </c>
      <c r="H163" s="417">
        <f>C151*H154*H155*H160</f>
        <v>56.576000000000001</v>
      </c>
      <c r="I163" s="418">
        <f>C151*I154*I155*I160</f>
        <v>59.904000000000011</v>
      </c>
      <c r="J163" s="1106">
        <f t="shared" ref="J163:N170" si="62">E163*1.15</f>
        <v>61.235199999999999</v>
      </c>
      <c r="K163" s="1106">
        <f t="shared" si="62"/>
        <v>61.235199999999999</v>
      </c>
      <c r="L163" s="1106">
        <f t="shared" si="62"/>
        <v>65.062399999999997</v>
      </c>
      <c r="M163" s="1106">
        <f t="shared" si="62"/>
        <v>65.062399999999997</v>
      </c>
      <c r="N163" s="1106">
        <f t="shared" si="62"/>
        <v>68.889600000000002</v>
      </c>
      <c r="O163" s="1042"/>
      <c r="P163" s="1042"/>
      <c r="Q163" s="1042"/>
      <c r="R163" s="1042"/>
    </row>
    <row r="164" spans="1:18" s="390" customFormat="1" ht="15" customHeight="1">
      <c r="A164" s="2054"/>
      <c r="B164" s="2022" t="s">
        <v>944</v>
      </c>
      <c r="C164" s="1021" t="s">
        <v>819</v>
      </c>
      <c r="D164" s="1021"/>
      <c r="E164" s="397">
        <v>0.8</v>
      </c>
      <c r="F164" s="397">
        <v>0.8</v>
      </c>
      <c r="G164" s="397">
        <v>0.8</v>
      </c>
      <c r="H164" s="397">
        <v>0.8</v>
      </c>
      <c r="I164" s="843">
        <v>0.8</v>
      </c>
      <c r="J164" s="1103"/>
      <c r="K164" s="1103"/>
      <c r="L164" s="1103"/>
      <c r="M164" s="1103"/>
      <c r="N164" s="1103"/>
      <c r="O164" s="1042"/>
      <c r="P164" s="1042"/>
      <c r="Q164" s="1042"/>
      <c r="R164" s="1042"/>
    </row>
    <row r="165" spans="1:18" s="390" customFormat="1" ht="15" customHeight="1">
      <c r="A165" s="2054"/>
      <c r="B165" s="2023"/>
      <c r="C165" s="1022"/>
      <c r="D165" s="1022"/>
      <c r="E165" s="412">
        <f>(C146+C151)*E164</f>
        <v>2217.6</v>
      </c>
      <c r="F165" s="412">
        <f>(C146+C151)*F164</f>
        <v>2217.6</v>
      </c>
      <c r="G165" s="412">
        <f>(C146+C151)*G164</f>
        <v>2217.6</v>
      </c>
      <c r="H165" s="412">
        <f>(C146+C151)*H164</f>
        <v>2217.6</v>
      </c>
      <c r="I165" s="413">
        <f>(C146+C151)*I164</f>
        <v>2217.6</v>
      </c>
      <c r="J165" s="1103"/>
      <c r="K165" s="1103"/>
      <c r="L165" s="1103"/>
      <c r="M165" s="1103"/>
      <c r="N165" s="1103"/>
      <c r="O165" s="1042"/>
      <c r="P165" s="1042"/>
      <c r="Q165" s="1042"/>
      <c r="R165" s="1042"/>
    </row>
    <row r="166" spans="1:18" s="390" customFormat="1" ht="15" customHeight="1">
      <c r="A166" s="2054"/>
      <c r="B166" s="2023"/>
      <c r="C166" s="1028" t="s">
        <v>810</v>
      </c>
      <c r="D166" s="1028"/>
      <c r="E166" s="402">
        <v>0.8</v>
      </c>
      <c r="F166" s="402">
        <v>0.8</v>
      </c>
      <c r="G166" s="402">
        <v>0.85</v>
      </c>
      <c r="H166" s="402">
        <v>0.85</v>
      </c>
      <c r="I166" s="416">
        <v>0.9</v>
      </c>
      <c r="J166" s="1103"/>
      <c r="K166" s="1103"/>
      <c r="L166" s="1103"/>
      <c r="M166" s="1103"/>
      <c r="N166" s="1103"/>
      <c r="O166" s="1042"/>
      <c r="P166" s="1042"/>
      <c r="Q166" s="1042"/>
      <c r="R166" s="1042"/>
    </row>
    <row r="167" spans="1:18" s="390" customFormat="1" ht="15" customHeight="1">
      <c r="A167" s="2054"/>
      <c r="B167" s="2024"/>
      <c r="C167" s="1022"/>
      <c r="D167" s="1022"/>
      <c r="E167" s="399">
        <f>E166*E165</f>
        <v>1774.08</v>
      </c>
      <c r="F167" s="399">
        <f>F166*F165</f>
        <v>1774.08</v>
      </c>
      <c r="G167" s="399">
        <f>G166*G165</f>
        <v>1884.9599999999998</v>
      </c>
      <c r="H167" s="399">
        <f>H166*H165</f>
        <v>1884.9599999999998</v>
      </c>
      <c r="I167" s="400">
        <f>I166*I165</f>
        <v>1995.84</v>
      </c>
      <c r="J167" s="1103"/>
      <c r="K167" s="1103"/>
      <c r="L167" s="1103"/>
      <c r="M167" s="1103"/>
      <c r="N167" s="1103"/>
      <c r="O167" s="1042"/>
      <c r="P167" s="1042"/>
      <c r="Q167" s="1042"/>
      <c r="R167" s="1042"/>
    </row>
    <row r="168" spans="1:18" s="390" customFormat="1" ht="15" customHeight="1">
      <c r="A168" s="2054"/>
      <c r="B168" s="2027" t="s">
        <v>811</v>
      </c>
      <c r="C168" s="1026"/>
      <c r="D168" s="1076" t="s">
        <v>101</v>
      </c>
      <c r="E168" s="1077">
        <v>0</v>
      </c>
      <c r="F168" s="1077">
        <v>0</v>
      </c>
      <c r="G168" s="1077">
        <v>0</v>
      </c>
      <c r="H168" s="1077">
        <v>0</v>
      </c>
      <c r="I168" s="1078">
        <v>0</v>
      </c>
      <c r="J168" s="1103"/>
      <c r="K168" s="1103"/>
      <c r="L168" s="1103"/>
      <c r="M168" s="1103"/>
      <c r="N168" s="1103"/>
      <c r="O168" s="1042"/>
      <c r="P168" s="1042"/>
      <c r="Q168" s="1042"/>
      <c r="R168" s="1042"/>
    </row>
    <row r="169" spans="1:18" s="390" customFormat="1" ht="15" customHeight="1">
      <c r="A169" s="2054"/>
      <c r="B169" s="2028"/>
      <c r="C169" s="1026"/>
      <c r="D169" s="1026" t="s">
        <v>1224</v>
      </c>
      <c r="E169" s="410">
        <v>0</v>
      </c>
      <c r="F169" s="410">
        <v>0</v>
      </c>
      <c r="G169" s="410">
        <v>0</v>
      </c>
      <c r="H169" s="410">
        <v>0</v>
      </c>
      <c r="I169" s="411">
        <v>0</v>
      </c>
      <c r="J169" s="1103"/>
      <c r="K169" s="1103"/>
      <c r="L169" s="1103"/>
      <c r="M169" s="1103"/>
      <c r="N169" s="1103"/>
      <c r="O169" s="1042"/>
      <c r="P169" s="1042"/>
      <c r="Q169" s="1042"/>
      <c r="R169" s="1042"/>
    </row>
    <row r="170" spans="1:18" s="390" customFormat="1" ht="15" customHeight="1" thickBot="1">
      <c r="A170" s="2054"/>
      <c r="B170" s="2029"/>
      <c r="C170" s="490"/>
      <c r="D170" s="490" t="s">
        <v>804</v>
      </c>
      <c r="E170" s="1079">
        <v>0</v>
      </c>
      <c r="F170" s="1079">
        <v>0</v>
      </c>
      <c r="G170" s="1079">
        <v>0</v>
      </c>
      <c r="H170" s="1079">
        <v>0</v>
      </c>
      <c r="I170" s="1080">
        <v>0</v>
      </c>
      <c r="J170" s="970">
        <f>E170*1.15</f>
        <v>0</v>
      </c>
      <c r="K170" s="970">
        <f>F170*1.15</f>
        <v>0</v>
      </c>
      <c r="L170" s="970">
        <f t="shared" si="62"/>
        <v>0</v>
      </c>
      <c r="M170" s="970">
        <f t="shared" si="62"/>
        <v>0</v>
      </c>
      <c r="N170" s="970">
        <f t="shared" si="62"/>
        <v>0</v>
      </c>
      <c r="O170" s="1042" t="s">
        <v>1236</v>
      </c>
      <c r="P170" s="1042"/>
      <c r="Q170" s="1042"/>
      <c r="R170" s="1042"/>
    </row>
    <row r="171" spans="1:18" s="390" customFormat="1" ht="15" customHeight="1">
      <c r="A171" s="2054"/>
      <c r="B171" s="2030" t="s">
        <v>945</v>
      </c>
      <c r="C171" s="2025" t="s">
        <v>819</v>
      </c>
      <c r="D171" s="2025"/>
      <c r="E171" s="397">
        <v>0.5</v>
      </c>
      <c r="F171" s="397">
        <v>0.5</v>
      </c>
      <c r="G171" s="397">
        <v>0.5</v>
      </c>
      <c r="H171" s="397">
        <v>0.5</v>
      </c>
      <c r="I171" s="843">
        <v>0.5</v>
      </c>
      <c r="J171" s="1103"/>
      <c r="K171" s="1103"/>
      <c r="L171" s="1103"/>
      <c r="M171" s="1103"/>
      <c r="N171" s="1103"/>
      <c r="O171" s="1042"/>
      <c r="P171" s="1042"/>
      <c r="Q171" s="1042"/>
      <c r="R171" s="1042"/>
    </row>
    <row r="172" spans="1:18" s="390" customFormat="1" ht="15" customHeight="1">
      <c r="A172" s="2054"/>
      <c r="B172" s="2031"/>
      <c r="C172" s="2026"/>
      <c r="D172" s="2026"/>
      <c r="E172" s="412">
        <f>(C146+C151)*E171</f>
        <v>1386</v>
      </c>
      <c r="F172" s="412">
        <f>(C146+C151)*F171</f>
        <v>1386</v>
      </c>
      <c r="G172" s="412">
        <f>(C146+C151)*G171</f>
        <v>1386</v>
      </c>
      <c r="H172" s="412">
        <f>(C146+C151)*H171</f>
        <v>1386</v>
      </c>
      <c r="I172" s="413">
        <f>(C146+C151)*I171</f>
        <v>1386</v>
      </c>
      <c r="J172" s="1103"/>
      <c r="K172" s="1103"/>
      <c r="L172" s="1103"/>
      <c r="M172" s="1103"/>
      <c r="N172" s="1103"/>
      <c r="O172" s="1042"/>
      <c r="P172" s="1042"/>
      <c r="Q172" s="1042"/>
      <c r="R172" s="1042"/>
    </row>
    <row r="173" spans="1:18" s="390" customFormat="1" ht="15" customHeight="1">
      <c r="A173" s="2054"/>
      <c r="B173" s="2031"/>
      <c r="C173" s="1023" t="s">
        <v>813</v>
      </c>
      <c r="D173" s="1023"/>
      <c r="E173" s="402">
        <v>0.7</v>
      </c>
      <c r="F173" s="402">
        <v>0.7</v>
      </c>
      <c r="G173" s="402">
        <v>0.75</v>
      </c>
      <c r="H173" s="402">
        <v>0.75</v>
      </c>
      <c r="I173" s="416">
        <v>0.8</v>
      </c>
      <c r="J173" s="1103"/>
      <c r="K173" s="1103"/>
      <c r="L173" s="1103"/>
      <c r="M173" s="1103"/>
      <c r="N173" s="1103"/>
      <c r="O173" s="1042"/>
      <c r="P173" s="1042"/>
      <c r="Q173" s="1042"/>
      <c r="R173" s="1042"/>
    </row>
    <row r="174" spans="1:18" s="390" customFormat="1" ht="15" customHeight="1">
      <c r="A174" s="2054"/>
      <c r="B174" s="2047" t="s">
        <v>814</v>
      </c>
      <c r="C174" s="1023"/>
      <c r="D174" s="1073" t="s">
        <v>101</v>
      </c>
      <c r="E174" s="406">
        <f>E172*E173</f>
        <v>970.19999999999993</v>
      </c>
      <c r="F174" s="406">
        <f t="shared" ref="F174:I174" si="63">F172*F173</f>
        <v>970.19999999999993</v>
      </c>
      <c r="G174" s="406">
        <f t="shared" si="63"/>
        <v>1039.5</v>
      </c>
      <c r="H174" s="406">
        <f t="shared" si="63"/>
        <v>1039.5</v>
      </c>
      <c r="I174" s="407">
        <f t="shared" si="63"/>
        <v>1108.8</v>
      </c>
      <c r="J174" s="1103"/>
      <c r="K174" s="1103"/>
      <c r="L174" s="1103"/>
      <c r="M174" s="1103"/>
      <c r="N174" s="1103"/>
      <c r="O174" s="1042"/>
      <c r="P174" s="1042"/>
      <c r="Q174" s="1042"/>
      <c r="R174" s="1042"/>
    </row>
    <row r="175" spans="1:18" s="390" customFormat="1" ht="15" customHeight="1">
      <c r="A175" s="2054"/>
      <c r="B175" s="2047"/>
      <c r="C175" s="1023"/>
      <c r="D175" s="1026" t="s">
        <v>1224</v>
      </c>
      <c r="E175" s="410">
        <f>C146*E171*E173</f>
        <v>679</v>
      </c>
      <c r="F175" s="410">
        <f>C146*F171*F173</f>
        <v>679</v>
      </c>
      <c r="G175" s="410">
        <f>C146*G171*G173</f>
        <v>727.5</v>
      </c>
      <c r="H175" s="410">
        <f>C146*H171*H173</f>
        <v>727.5</v>
      </c>
      <c r="I175" s="411">
        <f>C146*I171*I173</f>
        <v>776</v>
      </c>
      <c r="J175" s="1103"/>
      <c r="K175" s="1103"/>
      <c r="L175" s="1103"/>
      <c r="M175" s="1103"/>
      <c r="N175" s="1103"/>
      <c r="O175" s="1042"/>
      <c r="P175" s="1042"/>
      <c r="Q175" s="1042"/>
      <c r="R175" s="1042"/>
    </row>
    <row r="176" spans="1:18" s="390" customFormat="1" ht="15" customHeight="1" thickBot="1">
      <c r="A176" s="2054"/>
      <c r="B176" s="2048"/>
      <c r="C176" s="1027"/>
      <c r="D176" s="490" t="s">
        <v>804</v>
      </c>
      <c r="E176" s="417">
        <f>C151*E171*E173</f>
        <v>291.2</v>
      </c>
      <c r="F176" s="417">
        <f>C151*F171*F173</f>
        <v>291.2</v>
      </c>
      <c r="G176" s="417">
        <f>C151*G171*G173</f>
        <v>312</v>
      </c>
      <c r="H176" s="417">
        <f>C151*H171*H173</f>
        <v>312</v>
      </c>
      <c r="I176" s="418">
        <f>C151*I171*I173</f>
        <v>332.8</v>
      </c>
      <c r="J176" s="410">
        <f>E176*1.15</f>
        <v>334.87999999999994</v>
      </c>
      <c r="K176" s="410">
        <f>F176*1.15</f>
        <v>334.87999999999994</v>
      </c>
      <c r="L176" s="410">
        <f t="shared" ref="L176:N176" si="64">G176*1.15</f>
        <v>358.79999999999995</v>
      </c>
      <c r="M176" s="410">
        <f t="shared" si="64"/>
        <v>358.79999999999995</v>
      </c>
      <c r="N176" s="410">
        <f t="shared" si="64"/>
        <v>382.71999999999997</v>
      </c>
      <c r="O176" s="1042"/>
      <c r="P176" s="1042"/>
      <c r="Q176" s="1042"/>
      <c r="R176" s="1042"/>
    </row>
    <row r="177" spans="1:43" s="390" customFormat="1" ht="15" customHeight="1">
      <c r="A177" s="2054"/>
      <c r="B177" s="2030" t="s">
        <v>946</v>
      </c>
      <c r="C177" s="2025" t="s">
        <v>819</v>
      </c>
      <c r="D177" s="2025"/>
      <c r="E177" s="397">
        <v>0.7</v>
      </c>
      <c r="F177" s="397">
        <v>0.7</v>
      </c>
      <c r="G177" s="397">
        <v>0.7</v>
      </c>
      <c r="H177" s="397">
        <v>0.7</v>
      </c>
      <c r="I177" s="843">
        <v>0.7</v>
      </c>
      <c r="J177" s="1103"/>
      <c r="K177" s="1103"/>
      <c r="L177" s="1103"/>
      <c r="M177" s="1103"/>
      <c r="N177" s="1103"/>
      <c r="O177" s="1042"/>
      <c r="P177" s="1042"/>
      <c r="Q177" s="1042"/>
      <c r="R177" s="1042"/>
    </row>
    <row r="178" spans="1:43" s="390" customFormat="1" ht="15" customHeight="1">
      <c r="A178" s="2054"/>
      <c r="B178" s="2031"/>
      <c r="C178" s="2049"/>
      <c r="D178" s="2049"/>
      <c r="E178" s="403">
        <f>(C146+C151)*E177</f>
        <v>1940.3999999999999</v>
      </c>
      <c r="F178" s="403">
        <f>(C146+C151)*F177</f>
        <v>1940.3999999999999</v>
      </c>
      <c r="G178" s="403">
        <f>(C146+C151)*G177</f>
        <v>1940.3999999999999</v>
      </c>
      <c r="H178" s="403">
        <f>(C146+C151)*H177</f>
        <v>1940.3999999999999</v>
      </c>
      <c r="I178" s="1081">
        <f>(C146+C151)*I177</f>
        <v>1940.3999999999999</v>
      </c>
      <c r="J178" s="1103"/>
      <c r="K178" s="1103"/>
      <c r="L178" s="1103"/>
      <c r="M178" s="1103"/>
      <c r="N178" s="1103"/>
      <c r="O178" s="1042"/>
      <c r="P178" s="1042"/>
      <c r="Q178" s="1042"/>
      <c r="R178" s="1042"/>
    </row>
    <row r="179" spans="1:43" s="390" customFormat="1" ht="15" customHeight="1">
      <c r="A179" s="2054"/>
      <c r="B179" s="2031"/>
      <c r="C179" s="1023" t="s">
        <v>815</v>
      </c>
      <c r="D179" s="1023"/>
      <c r="E179" s="402">
        <v>0.3</v>
      </c>
      <c r="F179" s="402">
        <v>0.3</v>
      </c>
      <c r="G179" s="402">
        <v>0.35</v>
      </c>
      <c r="H179" s="402">
        <v>0.35</v>
      </c>
      <c r="I179" s="416">
        <v>0.4</v>
      </c>
      <c r="J179" s="1103"/>
      <c r="K179" s="1103"/>
      <c r="L179" s="1103"/>
      <c r="M179" s="1103"/>
      <c r="N179" s="1103"/>
      <c r="O179" s="1042"/>
      <c r="P179" s="1042"/>
      <c r="Q179" s="1042"/>
      <c r="R179" s="1042"/>
    </row>
    <row r="180" spans="1:43" s="390" customFormat="1" ht="15" customHeight="1">
      <c r="A180" s="2054"/>
      <c r="B180" s="2047" t="s">
        <v>816</v>
      </c>
      <c r="C180" s="1023"/>
      <c r="D180" s="1073" t="s">
        <v>101</v>
      </c>
      <c r="E180" s="406">
        <f>E178*E179</f>
        <v>582.11999999999989</v>
      </c>
      <c r="F180" s="406">
        <f t="shared" ref="F180:I180" si="65">F178*F179</f>
        <v>582.11999999999989</v>
      </c>
      <c r="G180" s="406">
        <f t="shared" si="65"/>
        <v>679.13999999999987</v>
      </c>
      <c r="H180" s="406">
        <f t="shared" si="65"/>
        <v>679.13999999999987</v>
      </c>
      <c r="I180" s="407">
        <f t="shared" si="65"/>
        <v>776.16</v>
      </c>
      <c r="J180" s="1103"/>
      <c r="K180" s="1103"/>
      <c r="L180" s="1103"/>
      <c r="M180" s="1103"/>
      <c r="N180" s="1103"/>
      <c r="O180" s="1042"/>
      <c r="P180" s="1042"/>
      <c r="Q180" s="1042"/>
      <c r="R180" s="1042"/>
    </row>
    <row r="181" spans="1:43" s="390" customFormat="1" ht="15" customHeight="1">
      <c r="A181" s="2054"/>
      <c r="B181" s="2047"/>
      <c r="C181" s="1023"/>
      <c r="D181" s="1026" t="s">
        <v>1224</v>
      </c>
      <c r="E181" s="410">
        <f>C146*E177*E179</f>
        <v>407.4</v>
      </c>
      <c r="F181" s="410">
        <f>C146*F177*F179</f>
        <v>407.4</v>
      </c>
      <c r="G181" s="410">
        <f>C146*G177*G179</f>
        <v>475.29999999999995</v>
      </c>
      <c r="H181" s="410">
        <f>C146*H177*H179</f>
        <v>475.29999999999995</v>
      </c>
      <c r="I181" s="411">
        <f>C146*I177*I179</f>
        <v>543.20000000000005</v>
      </c>
      <c r="J181" s="1103"/>
      <c r="K181" s="1103"/>
      <c r="L181" s="1103"/>
      <c r="M181" s="1103"/>
      <c r="N181" s="1103"/>
      <c r="O181" s="1042"/>
      <c r="P181" s="1042"/>
      <c r="Q181" s="1042"/>
      <c r="R181" s="1042"/>
    </row>
    <row r="182" spans="1:43" s="390" customFormat="1" ht="15" customHeight="1" thickBot="1">
      <c r="A182" s="2054"/>
      <c r="B182" s="2048"/>
      <c r="C182" s="1027"/>
      <c r="D182" s="490" t="s">
        <v>804</v>
      </c>
      <c r="E182" s="417">
        <f>C151*E177*E179</f>
        <v>174.72</v>
      </c>
      <c r="F182" s="417">
        <f>C151*F177*F179</f>
        <v>174.72</v>
      </c>
      <c r="G182" s="417">
        <f>C151*G177*G179</f>
        <v>203.83999999999997</v>
      </c>
      <c r="H182" s="417">
        <f>C151*H177*H179</f>
        <v>203.83999999999997</v>
      </c>
      <c r="I182" s="418">
        <f>C151*I177*I179</f>
        <v>232.96</v>
      </c>
      <c r="J182" s="410">
        <f>E182*1.15</f>
        <v>200.928</v>
      </c>
      <c r="K182" s="410">
        <f>F182*1.15</f>
        <v>200.928</v>
      </c>
      <c r="L182" s="410">
        <f t="shared" ref="L182:N182" si="66">G182*1.15</f>
        <v>234.41599999999994</v>
      </c>
      <c r="M182" s="410">
        <f t="shared" si="66"/>
        <v>234.41599999999994</v>
      </c>
      <c r="N182" s="410">
        <f t="shared" si="66"/>
        <v>267.904</v>
      </c>
      <c r="O182" s="1042" t="s">
        <v>1236</v>
      </c>
      <c r="P182" s="1042"/>
      <c r="Q182" s="1042"/>
      <c r="R182" s="1042"/>
    </row>
    <row r="183" spans="1:43" s="390" customFormat="1" ht="18.75" customHeight="1" thickBot="1">
      <c r="A183" s="421"/>
      <c r="B183" s="422"/>
      <c r="C183" s="422"/>
      <c r="D183" s="423"/>
      <c r="E183" s="2057" t="s">
        <v>959</v>
      </c>
      <c r="F183" s="2058"/>
      <c r="G183" s="2058"/>
      <c r="H183" s="2058"/>
      <c r="I183" s="2058"/>
      <c r="J183" s="2059"/>
      <c r="K183" s="2060" t="s">
        <v>947</v>
      </c>
      <c r="L183" s="2061"/>
      <c r="M183" s="2061"/>
      <c r="N183" s="2061"/>
      <c r="O183" s="2061"/>
      <c r="P183" s="2061"/>
      <c r="Q183" s="2058"/>
      <c r="R183" s="2058"/>
      <c r="S183" s="2059"/>
      <c r="AL183" s="1030"/>
      <c r="AM183" s="1030"/>
      <c r="AN183" s="1030"/>
      <c r="AO183" s="1030"/>
      <c r="AP183" s="1030"/>
      <c r="AQ183" s="1031"/>
    </row>
    <row r="184" spans="1:43" s="390" customFormat="1" ht="29.25" customHeight="1" thickBot="1">
      <c r="A184" s="2062" t="s">
        <v>1237</v>
      </c>
      <c r="B184" s="424" t="s">
        <v>825</v>
      </c>
      <c r="C184" s="425"/>
      <c r="D184" s="426"/>
      <c r="E184" s="1107">
        <v>2021</v>
      </c>
      <c r="F184" s="1108">
        <v>2022</v>
      </c>
      <c r="G184" s="1109">
        <v>2023</v>
      </c>
      <c r="H184" s="1109">
        <v>2024</v>
      </c>
      <c r="I184" s="1110">
        <v>2025</v>
      </c>
      <c r="J184" s="1111" t="s">
        <v>101</v>
      </c>
      <c r="K184" s="652">
        <v>2021</v>
      </c>
      <c r="L184" s="653">
        <v>2022</v>
      </c>
      <c r="M184" s="653">
        <v>2023</v>
      </c>
      <c r="N184" s="653">
        <v>2024</v>
      </c>
      <c r="O184" s="677">
        <v>2025</v>
      </c>
      <c r="P184" s="1111"/>
      <c r="Q184" s="511" t="s">
        <v>826</v>
      </c>
      <c r="R184" s="512" t="s">
        <v>828</v>
      </c>
      <c r="S184" s="513" t="s">
        <v>829</v>
      </c>
    </row>
    <row r="185" spans="1:43" s="390" customFormat="1" ht="18.75" customHeight="1">
      <c r="A185" s="2063"/>
      <c r="B185" s="427" t="s">
        <v>808</v>
      </c>
      <c r="C185" s="394"/>
      <c r="D185" s="428"/>
      <c r="E185" s="1112">
        <f>E25+E71+E117+E157</f>
        <v>16805.346000000005</v>
      </c>
      <c r="F185" s="1086">
        <f t="shared" ref="F185:I185" si="67">F25+F71+F117+F157</f>
        <v>19009.787400000001</v>
      </c>
      <c r="G185" s="1086">
        <f t="shared" si="67"/>
        <v>22467.8256</v>
      </c>
      <c r="H185" s="1086">
        <f t="shared" si="67"/>
        <v>26535.444120000004</v>
      </c>
      <c r="I185" s="1113">
        <f t="shared" si="67"/>
        <v>32502.654000000006</v>
      </c>
      <c r="J185" s="1114">
        <f>SUM(E185:I185)</f>
        <v>117321.05712000001</v>
      </c>
      <c r="K185" s="518">
        <f>E185*1.15</f>
        <v>19326.147900000004</v>
      </c>
      <c r="L185" s="519">
        <f t="shared" ref="L185:O185" si="68">F185*1.15</f>
        <v>21861.255509999999</v>
      </c>
      <c r="M185" s="519">
        <f t="shared" si="68"/>
        <v>25837.99944</v>
      </c>
      <c r="N185" s="519">
        <f t="shared" si="68"/>
        <v>30515.760738000001</v>
      </c>
      <c r="O185" s="1115">
        <f t="shared" si="68"/>
        <v>37378.052100000001</v>
      </c>
      <c r="P185" s="1114">
        <f t="shared" ref="P185:P190" si="69">SUM(K185:O185)</f>
        <v>134919.215688</v>
      </c>
      <c r="Q185" s="1116">
        <v>36</v>
      </c>
      <c r="R185" s="429">
        <v>34</v>
      </c>
      <c r="S185" s="430">
        <f t="shared" ref="S185:S190" si="70">SUM(Q185:R185)</f>
        <v>70</v>
      </c>
    </row>
    <row r="186" spans="1:43" s="390" customFormat="1" ht="18.75" customHeight="1">
      <c r="A186" s="2063"/>
      <c r="B186" s="427" t="s">
        <v>820</v>
      </c>
      <c r="C186" s="394"/>
      <c r="D186" s="428"/>
      <c r="E186" s="1117">
        <v>0</v>
      </c>
      <c r="F186" s="649">
        <v>0</v>
      </c>
      <c r="G186" s="649">
        <v>0</v>
      </c>
      <c r="H186" s="649">
        <v>0</v>
      </c>
      <c r="I186" s="1118">
        <v>0</v>
      </c>
      <c r="J186" s="1114">
        <v>0</v>
      </c>
      <c r="K186" s="518">
        <f t="shared" ref="K186:O186" si="71">ROUNDUP(E186*1.15,-1)</f>
        <v>0</v>
      </c>
      <c r="L186" s="519">
        <f t="shared" si="71"/>
        <v>0</v>
      </c>
      <c r="M186" s="519">
        <f t="shared" si="71"/>
        <v>0</v>
      </c>
      <c r="N186" s="519">
        <f t="shared" si="71"/>
        <v>0</v>
      </c>
      <c r="O186" s="1115">
        <f t="shared" si="71"/>
        <v>0</v>
      </c>
      <c r="P186" s="1114">
        <f t="shared" si="69"/>
        <v>0</v>
      </c>
      <c r="Q186" s="1116">
        <v>13</v>
      </c>
      <c r="R186" s="429">
        <v>34</v>
      </c>
      <c r="S186" s="430">
        <f t="shared" si="70"/>
        <v>47</v>
      </c>
    </row>
    <row r="187" spans="1:43" s="390" customFormat="1" ht="18.75" customHeight="1">
      <c r="A187" s="2063"/>
      <c r="B187" s="431" t="s">
        <v>809</v>
      </c>
      <c r="C187" s="432"/>
      <c r="D187" s="433"/>
      <c r="E187" s="1119">
        <f>E29+E75+E121+E161</f>
        <v>5279.9040000000005</v>
      </c>
      <c r="F187" s="1120">
        <f t="shared" ref="F187:I187" si="72">F29+F75+F121+F161</f>
        <v>5921.1936000000014</v>
      </c>
      <c r="G187" s="1120">
        <f t="shared" si="72"/>
        <v>6972.6383999999998</v>
      </c>
      <c r="H187" s="1120">
        <f t="shared" si="72"/>
        <v>8396.5726799999993</v>
      </c>
      <c r="I187" s="1121">
        <f t="shared" si="72"/>
        <v>10422.756000000001</v>
      </c>
      <c r="J187" s="1114">
        <f t="shared" ref="J187:J189" si="73">SUM(E187:I187)</f>
        <v>36993.064680000003</v>
      </c>
      <c r="K187" s="518">
        <f>E187</f>
        <v>5279.9040000000005</v>
      </c>
      <c r="L187" s="519">
        <f>F187</f>
        <v>5921.1936000000014</v>
      </c>
      <c r="M187" s="519">
        <f>G187</f>
        <v>6972.6383999999998</v>
      </c>
      <c r="N187" s="519">
        <f>H187</f>
        <v>8396.5726799999993</v>
      </c>
      <c r="O187" s="1115">
        <f>I187</f>
        <v>10422.756000000001</v>
      </c>
      <c r="P187" s="1122">
        <f t="shared" si="69"/>
        <v>36993.064680000003</v>
      </c>
      <c r="Q187" s="1123">
        <v>54</v>
      </c>
      <c r="R187" s="434">
        <v>34</v>
      </c>
      <c r="S187" s="435">
        <f t="shared" si="70"/>
        <v>88</v>
      </c>
    </row>
    <row r="188" spans="1:43" s="390" customFormat="1" ht="18.75" customHeight="1">
      <c r="A188" s="2063"/>
      <c r="B188" s="436" t="s">
        <v>811</v>
      </c>
      <c r="C188" s="394"/>
      <c r="D188" s="428"/>
      <c r="E188" s="1117">
        <f>E36+E82+E128+E168</f>
        <v>3057.695999999999</v>
      </c>
      <c r="F188" s="649">
        <f t="shared" ref="F188:I188" si="74">F36+F82+F128+F168</f>
        <v>3443.3855999999992</v>
      </c>
      <c r="G188" s="649">
        <f t="shared" si="74"/>
        <v>4228.1423999999988</v>
      </c>
      <c r="H188" s="649">
        <f t="shared" si="74"/>
        <v>5140.8766800000003</v>
      </c>
      <c r="I188" s="1118">
        <f t="shared" si="74"/>
        <v>6644.771999999999</v>
      </c>
      <c r="J188" s="1114">
        <f t="shared" si="73"/>
        <v>22514.872679999993</v>
      </c>
      <c r="K188" s="518">
        <f>E188*1.15</f>
        <v>3516.3503999999984</v>
      </c>
      <c r="L188" s="519">
        <f t="shared" ref="L188:O190" si="75">F188*1.15</f>
        <v>3959.8934399999989</v>
      </c>
      <c r="M188" s="519">
        <f t="shared" si="75"/>
        <v>4862.3637599999984</v>
      </c>
      <c r="N188" s="519">
        <f t="shared" si="75"/>
        <v>5912.0081819999996</v>
      </c>
      <c r="O188" s="1115">
        <f t="shared" si="75"/>
        <v>7641.4877999999981</v>
      </c>
      <c r="P188" s="1114">
        <f t="shared" si="69"/>
        <v>25892.103581999992</v>
      </c>
      <c r="Q188" s="1116">
        <v>11</v>
      </c>
      <c r="R188" s="429">
        <v>34</v>
      </c>
      <c r="S188" s="430">
        <f t="shared" si="70"/>
        <v>45</v>
      </c>
    </row>
    <row r="189" spans="1:43" s="390" customFormat="1" ht="18.75" customHeight="1">
      <c r="A189" s="2063"/>
      <c r="B189" s="437" t="s">
        <v>814</v>
      </c>
      <c r="C189" s="394"/>
      <c r="D189" s="428"/>
      <c r="E189" s="1117">
        <f>E42+E88+E134+E174</f>
        <v>8556.2999999999993</v>
      </c>
      <c r="F189" s="649">
        <f t="shared" ref="F189:I189" si="76">F42+F88+F134+F174</f>
        <v>9395.8650000000016</v>
      </c>
      <c r="G189" s="649">
        <f t="shared" si="76"/>
        <v>11540.924999999999</v>
      </c>
      <c r="H189" s="649">
        <f t="shared" si="76"/>
        <v>13285.5975</v>
      </c>
      <c r="I189" s="1118">
        <f t="shared" si="76"/>
        <v>16995.150000000001</v>
      </c>
      <c r="J189" s="1114">
        <f t="shared" si="73"/>
        <v>59773.837500000001</v>
      </c>
      <c r="K189" s="518">
        <f t="shared" ref="K189:K190" si="77">E189*1.15</f>
        <v>9839.744999999999</v>
      </c>
      <c r="L189" s="519">
        <f t="shared" si="75"/>
        <v>10805.244750000002</v>
      </c>
      <c r="M189" s="519">
        <f t="shared" si="75"/>
        <v>13272.063749999998</v>
      </c>
      <c r="N189" s="519">
        <f t="shared" si="75"/>
        <v>15278.437124999999</v>
      </c>
      <c r="O189" s="1115">
        <f t="shared" si="75"/>
        <v>19544.422500000001</v>
      </c>
      <c r="P189" s="1114">
        <f t="shared" si="69"/>
        <v>68739.913124999992</v>
      </c>
      <c r="Q189" s="1116">
        <v>18</v>
      </c>
      <c r="R189" s="429">
        <v>34</v>
      </c>
      <c r="S189" s="430">
        <f t="shared" si="70"/>
        <v>52</v>
      </c>
    </row>
    <row r="190" spans="1:43" s="390" customFormat="1" ht="18.75" customHeight="1" thickBot="1">
      <c r="A190" s="2063"/>
      <c r="B190" s="438" t="s">
        <v>816</v>
      </c>
      <c r="C190" s="439"/>
      <c r="D190" s="440"/>
      <c r="E190" s="1124">
        <f>E48+E94+E140+E180</f>
        <v>6673.86</v>
      </c>
      <c r="F190" s="1125">
        <f t="shared" ref="F190:I190" si="78">F48+F94+F140+F180</f>
        <v>7386.3540000000003</v>
      </c>
      <c r="G190" s="1125">
        <f t="shared" si="78"/>
        <v>9716.7059999999983</v>
      </c>
      <c r="H190" s="1125">
        <f t="shared" si="78"/>
        <v>11390.438699999999</v>
      </c>
      <c r="I190" s="1126">
        <f t="shared" si="78"/>
        <v>15380.189999999997</v>
      </c>
      <c r="J190" s="1127">
        <f>SUM(E190:I190)</f>
        <v>50547.548699999992</v>
      </c>
      <c r="K190" s="525">
        <f t="shared" si="77"/>
        <v>7674.9389999999994</v>
      </c>
      <c r="L190" s="526">
        <f t="shared" si="75"/>
        <v>8494.3071</v>
      </c>
      <c r="M190" s="526">
        <f t="shared" si="75"/>
        <v>11174.211899999997</v>
      </c>
      <c r="N190" s="526">
        <f t="shared" si="75"/>
        <v>13099.004504999997</v>
      </c>
      <c r="O190" s="1128">
        <f t="shared" si="75"/>
        <v>17687.218499999995</v>
      </c>
      <c r="P190" s="1129">
        <f t="shared" si="69"/>
        <v>58129.681004999991</v>
      </c>
      <c r="Q190" s="1116">
        <v>15</v>
      </c>
      <c r="R190" s="429">
        <v>34</v>
      </c>
      <c r="S190" s="441">
        <f t="shared" si="70"/>
        <v>49</v>
      </c>
    </row>
    <row r="191" spans="1:43" s="451" customFormat="1" ht="26.25" customHeight="1" thickBot="1">
      <c r="A191" s="2063"/>
      <c r="B191" s="442" t="s">
        <v>830</v>
      </c>
      <c r="C191" s="443"/>
      <c r="D191" s="444"/>
      <c r="E191" s="1130">
        <f>SUM(E185:E190)</f>
        <v>40373.106000000007</v>
      </c>
      <c r="F191" s="1131">
        <f t="shared" ref="F191:J191" si="79">SUM(F185:F190)</f>
        <v>45156.585599999999</v>
      </c>
      <c r="G191" s="1132">
        <f t="shared" si="79"/>
        <v>54926.237399999991</v>
      </c>
      <c r="H191" s="1132">
        <f t="shared" si="79"/>
        <v>64748.929680000001</v>
      </c>
      <c r="I191" s="1132">
        <f t="shared" si="79"/>
        <v>81945.521999999997</v>
      </c>
      <c r="J191" s="1133">
        <f t="shared" si="79"/>
        <v>287150.38068</v>
      </c>
      <c r="K191" s="538">
        <f>SUM(K185:K190)</f>
        <v>45637.086300000003</v>
      </c>
      <c r="L191" s="539">
        <f>SUM(L185:L190)</f>
        <v>51041.894399999997</v>
      </c>
      <c r="M191" s="539">
        <f t="shared" ref="M191:N191" si="80">SUM(M185:M190)</f>
        <v>62119.277249999985</v>
      </c>
      <c r="N191" s="539">
        <f t="shared" si="80"/>
        <v>73201.783230000001</v>
      </c>
      <c r="O191" s="1134">
        <f>SUM(O185:O190)</f>
        <v>92673.936900000001</v>
      </c>
      <c r="P191" s="1135">
        <f>SUM(P185:P190)</f>
        <v>324673.97808000003</v>
      </c>
      <c r="Q191" s="1136"/>
      <c r="R191" s="449">
        <f>AVERAGE(R185:R190)</f>
        <v>34</v>
      </c>
      <c r="S191" s="450"/>
      <c r="T191" s="390"/>
      <c r="U191" s="390"/>
      <c r="V191" s="390"/>
      <c r="W191" s="390"/>
      <c r="X191" s="390"/>
      <c r="Y191" s="390"/>
      <c r="Z191" s="390"/>
      <c r="AA191" s="390"/>
      <c r="AB191" s="390"/>
      <c r="AC191" s="390"/>
      <c r="AD191" s="390"/>
      <c r="AE191" s="390"/>
      <c r="AF191" s="390"/>
      <c r="AG191" s="390"/>
      <c r="AH191" s="390"/>
      <c r="AI191" s="390"/>
      <c r="AJ191" s="390"/>
      <c r="AK191" s="390"/>
    </row>
    <row r="192" spans="1:43" ht="16.5" thickBot="1">
      <c r="A192" s="2064"/>
      <c r="B192" s="442" t="s">
        <v>831</v>
      </c>
      <c r="C192" s="443"/>
      <c r="D192" s="444"/>
      <c r="E192" s="654" t="s">
        <v>1238</v>
      </c>
      <c r="F192" s="654" t="s">
        <v>1238</v>
      </c>
      <c r="G192" s="654" t="s">
        <v>1238</v>
      </c>
      <c r="H192" s="654" t="s">
        <v>1238</v>
      </c>
      <c r="I192" s="1137" t="s">
        <v>1238</v>
      </c>
      <c r="J192" s="1138"/>
      <c r="K192" s="1139" t="s">
        <v>832</v>
      </c>
      <c r="L192" s="1140" t="s">
        <v>832</v>
      </c>
      <c r="M192" s="1141" t="s">
        <v>832</v>
      </c>
      <c r="N192" s="1140"/>
      <c r="O192" s="1142"/>
      <c r="P192" s="1143"/>
      <c r="Q192" s="448" t="s">
        <v>832</v>
      </c>
      <c r="R192" s="449" t="s">
        <v>832</v>
      </c>
      <c r="S192" s="450"/>
      <c r="T192" s="390"/>
      <c r="U192" s="390"/>
      <c r="V192" s="390"/>
      <c r="W192" s="390"/>
      <c r="X192" s="390"/>
      <c r="Y192" s="390"/>
      <c r="Z192" s="390"/>
      <c r="AA192" s="390"/>
      <c r="AB192" s="390"/>
      <c r="AC192" s="390"/>
      <c r="AD192" s="390"/>
      <c r="AE192" s="390"/>
      <c r="AF192" s="390"/>
      <c r="AG192" s="390"/>
      <c r="AH192" s="390"/>
      <c r="AI192" s="390"/>
      <c r="AJ192" s="390"/>
      <c r="AK192" s="390"/>
    </row>
    <row r="193" spans="1:37" ht="15.75" thickBot="1">
      <c r="T193" s="390"/>
      <c r="U193" s="390"/>
      <c r="V193" s="390"/>
      <c r="W193" s="390"/>
      <c r="X193" s="390"/>
      <c r="Y193" s="390"/>
      <c r="Z193" s="390"/>
      <c r="AA193" s="390"/>
      <c r="AB193" s="390"/>
      <c r="AC193" s="390"/>
      <c r="AD193" s="390"/>
      <c r="AE193" s="390"/>
      <c r="AF193" s="390"/>
      <c r="AG193" s="390"/>
      <c r="AH193" s="390"/>
      <c r="AI193" s="390"/>
      <c r="AJ193" s="390"/>
      <c r="AK193" s="390"/>
    </row>
    <row r="194" spans="1:37" s="390" customFormat="1" ht="29.25" customHeight="1" thickBot="1">
      <c r="A194" s="2062" t="s">
        <v>1239</v>
      </c>
      <c r="B194" s="424" t="s">
        <v>825</v>
      </c>
      <c r="C194" s="425"/>
      <c r="D194" s="426"/>
      <c r="E194" s="1107">
        <v>2021</v>
      </c>
      <c r="F194" s="1108">
        <v>2022</v>
      </c>
      <c r="G194" s="1109">
        <v>2023</v>
      </c>
      <c r="H194" s="1109">
        <v>2024</v>
      </c>
      <c r="I194" s="1110">
        <v>2025</v>
      </c>
      <c r="J194" s="1111" t="s">
        <v>101</v>
      </c>
      <c r="K194" s="652">
        <v>2021</v>
      </c>
      <c r="L194" s="653">
        <v>2022</v>
      </c>
      <c r="M194" s="653">
        <v>2023</v>
      </c>
      <c r="N194" s="653">
        <v>2024</v>
      </c>
      <c r="O194" s="677">
        <v>2025</v>
      </c>
      <c r="P194" s="1111"/>
      <c r="Q194" s="511" t="s">
        <v>826</v>
      </c>
      <c r="R194" s="512" t="s">
        <v>828</v>
      </c>
      <c r="S194" s="513" t="s">
        <v>829</v>
      </c>
    </row>
    <row r="195" spans="1:37" s="390" customFormat="1" ht="18.75" customHeight="1">
      <c r="A195" s="2063"/>
      <c r="B195" s="427" t="s">
        <v>808</v>
      </c>
      <c r="C195" s="394"/>
      <c r="D195" s="428"/>
      <c r="E195" s="1112">
        <f>E27+E73+E119+E159</f>
        <v>4490.0390000000007</v>
      </c>
      <c r="F195" s="1086">
        <f t="shared" ref="F195:I195" si="81">F27+F73+F119+F159</f>
        <v>5076.9279000000006</v>
      </c>
      <c r="G195" s="1086">
        <f t="shared" si="81"/>
        <v>5996.1176000000005</v>
      </c>
      <c r="H195" s="1086">
        <f t="shared" si="81"/>
        <v>6547.7227200000007</v>
      </c>
      <c r="I195" s="1113">
        <f t="shared" si="81"/>
        <v>7948.9440000000013</v>
      </c>
      <c r="J195" s="1114">
        <f>SUM(E195:I195)</f>
        <v>30059.751220000006</v>
      </c>
      <c r="K195" s="518">
        <f>E195*1.15</f>
        <v>5163.5448500000002</v>
      </c>
      <c r="L195" s="519">
        <f t="shared" ref="L195:O200" si="82">F195*1.15</f>
        <v>5838.4670850000002</v>
      </c>
      <c r="M195" s="519">
        <f t="shared" si="82"/>
        <v>6895.5352400000002</v>
      </c>
      <c r="N195" s="519">
        <f t="shared" si="82"/>
        <v>7529.881128</v>
      </c>
      <c r="O195" s="1115">
        <f t="shared" si="82"/>
        <v>9141.2856000000011</v>
      </c>
      <c r="P195" s="1114">
        <f t="shared" ref="P195:P200" si="83">SUM(K195:O195)</f>
        <v>34568.713903000003</v>
      </c>
      <c r="Q195" s="1116">
        <v>36</v>
      </c>
      <c r="R195" s="429">
        <v>34</v>
      </c>
      <c r="S195" s="430">
        <f t="shared" ref="S195:S200" si="84">SUM(Q195:R195)</f>
        <v>70</v>
      </c>
    </row>
    <row r="196" spans="1:37" s="390" customFormat="1" ht="18.75" customHeight="1">
      <c r="A196" s="2063"/>
      <c r="B196" s="427" t="s">
        <v>820</v>
      </c>
      <c r="C196" s="394"/>
      <c r="D196" s="428"/>
      <c r="E196" s="1117">
        <v>0</v>
      </c>
      <c r="F196" s="649">
        <v>0</v>
      </c>
      <c r="G196" s="649">
        <v>0</v>
      </c>
      <c r="H196" s="649">
        <v>0</v>
      </c>
      <c r="I196" s="1118">
        <v>0</v>
      </c>
      <c r="J196" s="1114">
        <f t="shared" ref="J196:J199" si="85">SUM(E196:I196)</f>
        <v>0</v>
      </c>
      <c r="K196" s="518">
        <f t="shared" ref="K196:K200" si="86">E196*1.15</f>
        <v>0</v>
      </c>
      <c r="L196" s="519">
        <f t="shared" si="82"/>
        <v>0</v>
      </c>
      <c r="M196" s="519">
        <f t="shared" si="82"/>
        <v>0</v>
      </c>
      <c r="N196" s="519">
        <f t="shared" si="82"/>
        <v>0</v>
      </c>
      <c r="O196" s="1115">
        <f t="shared" si="82"/>
        <v>0</v>
      </c>
      <c r="P196" s="1114">
        <f t="shared" si="83"/>
        <v>0</v>
      </c>
      <c r="Q196" s="1116">
        <v>13</v>
      </c>
      <c r="R196" s="429">
        <v>34</v>
      </c>
      <c r="S196" s="430">
        <f t="shared" si="84"/>
        <v>47</v>
      </c>
    </row>
    <row r="197" spans="1:37" s="390" customFormat="1" ht="18.75" customHeight="1">
      <c r="A197" s="2063"/>
      <c r="B197" s="431" t="s">
        <v>809</v>
      </c>
      <c r="C197" s="432"/>
      <c r="D197" s="433"/>
      <c r="E197" s="1120">
        <f>E31+E77+E123+E163</f>
        <v>1086.9440000000002</v>
      </c>
      <c r="F197" s="1120">
        <f t="shared" ref="F197:I197" si="87">F31+F77+F123+F163</f>
        <v>1215.5616</v>
      </c>
      <c r="G197" s="1120">
        <f t="shared" si="87"/>
        <v>1428.1904</v>
      </c>
      <c r="H197" s="1120">
        <f t="shared" si="87"/>
        <v>1712.5330800000002</v>
      </c>
      <c r="I197" s="1120">
        <f t="shared" si="87"/>
        <v>2121.5160000000001</v>
      </c>
      <c r="J197" s="678">
        <f t="shared" si="85"/>
        <v>7564.7450800000006</v>
      </c>
      <c r="K197" s="518">
        <f>E197</f>
        <v>1086.9440000000002</v>
      </c>
      <c r="L197" s="519">
        <f>F197</f>
        <v>1215.5616</v>
      </c>
      <c r="M197" s="519">
        <f>G197</f>
        <v>1428.1904</v>
      </c>
      <c r="N197" s="519">
        <f>H197</f>
        <v>1712.5330800000002</v>
      </c>
      <c r="O197" s="1115">
        <f>I197</f>
        <v>2121.5160000000001</v>
      </c>
      <c r="P197" s="1122">
        <f t="shared" si="83"/>
        <v>7564.7450800000006</v>
      </c>
      <c r="Q197" s="1123">
        <v>54</v>
      </c>
      <c r="R197" s="434">
        <v>34</v>
      </c>
      <c r="S197" s="435">
        <f t="shared" si="84"/>
        <v>88</v>
      </c>
    </row>
    <row r="198" spans="1:37" s="390" customFormat="1" ht="18.75" customHeight="1">
      <c r="A198" s="2063"/>
      <c r="B198" s="436" t="s">
        <v>811</v>
      </c>
      <c r="C198" s="394"/>
      <c r="D198" s="428"/>
      <c r="E198" s="1117">
        <f>E38+E84+E130+E170</f>
        <v>697.69600000000014</v>
      </c>
      <c r="F198" s="649">
        <f>F38+F84+F130+F170</f>
        <v>784.31359999999984</v>
      </c>
      <c r="G198" s="649">
        <f t="shared" ref="G198:H198" si="88">G38+G84+G130+G170</f>
        <v>951.61439999999993</v>
      </c>
      <c r="H198" s="649">
        <f t="shared" si="88"/>
        <v>1151.9570800000001</v>
      </c>
      <c r="I198" s="1118">
        <f>I38+I84+I130+I170</f>
        <v>1473.6120000000001</v>
      </c>
      <c r="J198" s="1114">
        <f t="shared" si="85"/>
        <v>5059.19308</v>
      </c>
      <c r="K198" s="518">
        <f t="shared" si="86"/>
        <v>802.35040000000015</v>
      </c>
      <c r="L198" s="519">
        <f t="shared" si="82"/>
        <v>901.96063999999978</v>
      </c>
      <c r="M198" s="519">
        <f t="shared" si="82"/>
        <v>1094.3565599999999</v>
      </c>
      <c r="N198" s="519">
        <f t="shared" si="82"/>
        <v>1324.750642</v>
      </c>
      <c r="O198" s="1115">
        <f t="shared" si="82"/>
        <v>1694.6538</v>
      </c>
      <c r="P198" s="1114">
        <f t="shared" si="83"/>
        <v>5818.0720419999998</v>
      </c>
      <c r="Q198" s="1116">
        <v>11</v>
      </c>
      <c r="R198" s="429">
        <v>34</v>
      </c>
      <c r="S198" s="430">
        <f t="shared" si="84"/>
        <v>45</v>
      </c>
    </row>
    <row r="199" spans="1:37" s="390" customFormat="1" ht="18.75" customHeight="1">
      <c r="A199" s="2063"/>
      <c r="B199" s="437" t="s">
        <v>814</v>
      </c>
      <c r="C199" s="394"/>
      <c r="D199" s="428"/>
      <c r="E199" s="1117">
        <f>E44+E90+E136+E176</f>
        <v>2374.2999999999997</v>
      </c>
      <c r="F199" s="649">
        <f t="shared" ref="F199:I199" si="89">F44+F90+F136+F176</f>
        <v>2600.8150000000001</v>
      </c>
      <c r="G199" s="649">
        <f t="shared" si="89"/>
        <v>3141.1750000000002</v>
      </c>
      <c r="H199" s="649">
        <f t="shared" si="89"/>
        <v>3588.2725</v>
      </c>
      <c r="I199" s="1118">
        <f t="shared" si="89"/>
        <v>4508.6500000000005</v>
      </c>
      <c r="J199" s="1114">
        <f t="shared" si="85"/>
        <v>16213.212500000001</v>
      </c>
      <c r="K199" s="518">
        <f t="shared" si="86"/>
        <v>2730.4449999999993</v>
      </c>
      <c r="L199" s="519">
        <f t="shared" si="82"/>
        <v>2990.9372499999999</v>
      </c>
      <c r="M199" s="519">
        <f t="shared" si="82"/>
        <v>3612.3512499999997</v>
      </c>
      <c r="N199" s="519">
        <f t="shared" si="82"/>
        <v>4126.5133749999995</v>
      </c>
      <c r="O199" s="1115">
        <f t="shared" si="82"/>
        <v>5184.9475000000002</v>
      </c>
      <c r="P199" s="1114">
        <f t="shared" si="83"/>
        <v>18645.194374999999</v>
      </c>
      <c r="Q199" s="1116">
        <v>18</v>
      </c>
      <c r="R199" s="429">
        <v>34</v>
      </c>
      <c r="S199" s="430">
        <f t="shared" si="84"/>
        <v>52</v>
      </c>
    </row>
    <row r="200" spans="1:37" s="390" customFormat="1" ht="18.75" customHeight="1" thickBot="1">
      <c r="A200" s="2063"/>
      <c r="B200" s="438" t="s">
        <v>816</v>
      </c>
      <c r="C200" s="439"/>
      <c r="D200" s="440"/>
      <c r="E200" s="1124">
        <f>E50+E96+E142+E182</f>
        <v>1707.06</v>
      </c>
      <c r="F200" s="1125">
        <f t="shared" ref="F200:I200" si="90">F50+F96+F142+F182</f>
        <v>1882.1740000000002</v>
      </c>
      <c r="G200" s="1125">
        <f t="shared" si="90"/>
        <v>2452.386</v>
      </c>
      <c r="H200" s="1125">
        <f t="shared" si="90"/>
        <v>2848.1496999999999</v>
      </c>
      <c r="I200" s="1126">
        <f t="shared" si="90"/>
        <v>3805.69</v>
      </c>
      <c r="J200" s="1127">
        <f>SUM(E200:I200)</f>
        <v>12695.459700000001</v>
      </c>
      <c r="K200" s="525">
        <f t="shared" si="86"/>
        <v>1963.1189999999997</v>
      </c>
      <c r="L200" s="526">
        <f t="shared" si="82"/>
        <v>2164.5001000000002</v>
      </c>
      <c r="M200" s="526">
        <f t="shared" si="82"/>
        <v>2820.2438999999999</v>
      </c>
      <c r="N200" s="526">
        <f t="shared" si="82"/>
        <v>3275.3721549999996</v>
      </c>
      <c r="O200" s="1128">
        <f t="shared" si="82"/>
        <v>4376.5434999999998</v>
      </c>
      <c r="P200" s="1129">
        <f t="shared" si="83"/>
        <v>14599.778654999998</v>
      </c>
      <c r="Q200" s="1116">
        <v>15</v>
      </c>
      <c r="R200" s="429">
        <v>34</v>
      </c>
      <c r="S200" s="441">
        <f t="shared" si="84"/>
        <v>49</v>
      </c>
    </row>
    <row r="201" spans="1:37" s="451" customFormat="1" ht="26.25" customHeight="1" thickBot="1">
      <c r="A201" s="2063"/>
      <c r="B201" s="442" t="s">
        <v>830</v>
      </c>
      <c r="C201" s="443"/>
      <c r="D201" s="444"/>
      <c r="E201" s="1130">
        <f>SUM(E195:E200)</f>
        <v>10356.039000000001</v>
      </c>
      <c r="F201" s="1131">
        <f t="shared" ref="F201:J201" si="91">SUM(F195:F200)</f>
        <v>11559.792100000001</v>
      </c>
      <c r="G201" s="1132">
        <f t="shared" si="91"/>
        <v>13969.483400000003</v>
      </c>
      <c r="H201" s="1132">
        <f t="shared" si="91"/>
        <v>15848.635080000002</v>
      </c>
      <c r="I201" s="1132">
        <f t="shared" si="91"/>
        <v>19858.412</v>
      </c>
      <c r="J201" s="1133">
        <f t="shared" si="91"/>
        <v>71592.361580000012</v>
      </c>
      <c r="K201" s="446">
        <f>SUM(K195:K200)</f>
        <v>11746.403249999999</v>
      </c>
      <c r="L201" s="447">
        <f>SUM(L195:L200)</f>
        <v>13111.426675000002</v>
      </c>
      <c r="M201" s="447">
        <f t="shared" ref="M201:N201" si="92">SUM(M195:M200)</f>
        <v>15850.67735</v>
      </c>
      <c r="N201" s="447">
        <f t="shared" si="92"/>
        <v>17969.050380000001</v>
      </c>
      <c r="O201" s="447">
        <f>SUM(O195:O200)</f>
        <v>22518.946400000001</v>
      </c>
      <c r="P201" s="1135">
        <f>SUM(P195:P200)</f>
        <v>81196.504054999998</v>
      </c>
      <c r="Q201" s="448"/>
      <c r="R201" s="449">
        <f>AVERAGE(R195:R200)</f>
        <v>34</v>
      </c>
      <c r="S201" s="450"/>
      <c r="T201" s="390"/>
      <c r="U201" s="390"/>
      <c r="V201" s="390"/>
      <c r="W201" s="390"/>
      <c r="X201" s="390"/>
      <c r="Y201" s="390"/>
      <c r="Z201" s="390"/>
      <c r="AA201" s="390"/>
      <c r="AB201" s="390"/>
      <c r="AC201" s="390"/>
      <c r="AD201" s="390"/>
      <c r="AE201" s="390"/>
      <c r="AF201" s="390"/>
      <c r="AG201" s="390"/>
      <c r="AH201" s="390"/>
      <c r="AI201" s="390"/>
      <c r="AJ201" s="390"/>
      <c r="AK201" s="390"/>
    </row>
    <row r="202" spans="1:37" ht="16.5" thickBot="1">
      <c r="A202" s="2064"/>
      <c r="B202" s="442" t="s">
        <v>831</v>
      </c>
      <c r="C202" s="443"/>
      <c r="D202" s="444"/>
      <c r="E202" s="654" t="s">
        <v>832</v>
      </c>
      <c r="F202" s="655" t="s">
        <v>832</v>
      </c>
      <c r="G202" s="656" t="s">
        <v>832</v>
      </c>
      <c r="H202" s="656"/>
      <c r="I202" s="1144"/>
      <c r="J202" s="1138"/>
      <c r="K202" s="452" t="s">
        <v>832</v>
      </c>
      <c r="L202" s="453" t="s">
        <v>832</v>
      </c>
      <c r="M202" s="455" t="s">
        <v>832</v>
      </c>
      <c r="N202" s="453"/>
      <c r="O202" s="1145"/>
      <c r="P202" s="1143"/>
      <c r="Q202" s="448" t="s">
        <v>832</v>
      </c>
      <c r="R202" s="449" t="s">
        <v>832</v>
      </c>
      <c r="S202" s="450"/>
      <c r="T202" s="390"/>
      <c r="U202" s="390"/>
      <c r="V202" s="390"/>
      <c r="W202" s="390"/>
      <c r="X202" s="390"/>
      <c r="Y202" s="390"/>
      <c r="Z202" s="390"/>
      <c r="AA202" s="390"/>
      <c r="AB202" s="390"/>
      <c r="AC202" s="390"/>
      <c r="AD202" s="390"/>
      <c r="AE202" s="390"/>
      <c r="AF202" s="390"/>
      <c r="AG202" s="390"/>
      <c r="AH202" s="390"/>
      <c r="AI202" s="390"/>
      <c r="AJ202" s="390"/>
      <c r="AK202" s="390"/>
    </row>
    <row r="203" spans="1:37" ht="16.5" thickBot="1">
      <c r="A203" s="1032"/>
      <c r="B203" s="1146"/>
      <c r="C203" s="1147"/>
      <c r="D203" s="1148"/>
      <c r="E203" s="1149"/>
      <c r="F203" s="1150"/>
      <c r="G203" s="1151"/>
      <c r="H203" s="1151"/>
      <c r="I203" s="1152"/>
      <c r="J203" s="1153"/>
      <c r="K203" s="1154"/>
      <c r="L203" s="1155"/>
      <c r="M203" s="1156"/>
      <c r="N203" s="1155"/>
      <c r="O203" s="1157"/>
      <c r="P203" s="1143"/>
      <c r="Q203" s="1158"/>
      <c r="R203" s="1159"/>
      <c r="S203" s="1160"/>
      <c r="T203" s="390"/>
      <c r="U203" s="390"/>
      <c r="V203" s="390"/>
      <c r="W203" s="390"/>
      <c r="X203" s="390"/>
      <c r="Y203" s="390"/>
      <c r="Z203" s="390"/>
      <c r="AA203" s="390"/>
      <c r="AB203" s="390"/>
      <c r="AC203" s="390"/>
      <c r="AD203" s="390"/>
      <c r="AE203" s="390"/>
      <c r="AF203" s="390"/>
      <c r="AG203" s="390"/>
      <c r="AH203" s="390"/>
      <c r="AI203" s="390"/>
      <c r="AJ203" s="390"/>
      <c r="AK203" s="390"/>
    </row>
    <row r="204" spans="1:37" s="390" customFormat="1" ht="29.25" customHeight="1" thickBot="1">
      <c r="A204" s="2062" t="s">
        <v>1240</v>
      </c>
      <c r="B204" s="424" t="s">
        <v>825</v>
      </c>
      <c r="C204" s="425"/>
      <c r="D204" s="426"/>
      <c r="E204" s="1107">
        <v>2021</v>
      </c>
      <c r="F204" s="1108">
        <v>2022</v>
      </c>
      <c r="G204" s="1109">
        <v>2023</v>
      </c>
      <c r="H204" s="1109">
        <v>2024</v>
      </c>
      <c r="I204" s="1109">
        <v>2025</v>
      </c>
      <c r="J204" s="677" t="s">
        <v>101</v>
      </c>
      <c r="K204" s="652">
        <v>2021</v>
      </c>
      <c r="L204" s="653">
        <v>2022</v>
      </c>
      <c r="M204" s="653">
        <v>2023</v>
      </c>
      <c r="N204" s="653">
        <v>2024</v>
      </c>
      <c r="O204" s="677">
        <v>2025</v>
      </c>
      <c r="P204" s="1111"/>
      <c r="Q204" s="511" t="s">
        <v>826</v>
      </c>
      <c r="R204" s="512" t="s">
        <v>828</v>
      </c>
      <c r="S204" s="513" t="s">
        <v>829</v>
      </c>
    </row>
    <row r="205" spans="1:37" s="390" customFormat="1" ht="18.75" customHeight="1">
      <c r="A205" s="2063"/>
      <c r="B205" s="427" t="s">
        <v>808</v>
      </c>
      <c r="C205" s="394"/>
      <c r="D205" s="428"/>
      <c r="E205" s="1112">
        <f>E26+E72+E118+E158</f>
        <v>12315.307000000001</v>
      </c>
      <c r="F205" s="1086">
        <f t="shared" ref="F205:I205" si="93">F26+F72+F118+F158</f>
        <v>13932.859500000002</v>
      </c>
      <c r="G205" s="1086">
        <f t="shared" si="93"/>
        <v>16471.707999999999</v>
      </c>
      <c r="H205" s="1086">
        <f t="shared" si="93"/>
        <v>19987.721400000002</v>
      </c>
      <c r="I205" s="1087">
        <f t="shared" si="93"/>
        <v>24553.71</v>
      </c>
      <c r="J205" s="1161">
        <f>SUM(E205:I205)</f>
        <v>87261.305900000007</v>
      </c>
      <c r="K205" s="518">
        <f>E205*1.15</f>
        <v>14162.60305</v>
      </c>
      <c r="L205" s="519">
        <f t="shared" ref="L205:O210" si="94">F205*1.15</f>
        <v>16022.788425000001</v>
      </c>
      <c r="M205" s="519">
        <f t="shared" si="94"/>
        <v>18942.464199999999</v>
      </c>
      <c r="N205" s="519">
        <f t="shared" si="94"/>
        <v>22985.87961</v>
      </c>
      <c r="O205" s="1115">
        <f t="shared" si="94"/>
        <v>28236.766499999998</v>
      </c>
      <c r="P205" s="1114">
        <f t="shared" ref="P205:P210" si="95">SUM(K205:O205)</f>
        <v>100350.501785</v>
      </c>
      <c r="Q205" s="1116">
        <v>36</v>
      </c>
      <c r="R205" s="429">
        <v>34</v>
      </c>
      <c r="S205" s="430">
        <f t="shared" ref="S205:S210" si="96">SUM(Q205:R205)</f>
        <v>70</v>
      </c>
    </row>
    <row r="206" spans="1:37" s="390" customFormat="1" ht="18.75" customHeight="1">
      <c r="A206" s="2063"/>
      <c r="B206" s="427" t="s">
        <v>820</v>
      </c>
      <c r="C206" s="394"/>
      <c r="D206" s="428"/>
      <c r="E206" s="1117">
        <v>0</v>
      </c>
      <c r="F206" s="649">
        <v>0</v>
      </c>
      <c r="G206" s="649">
        <v>0</v>
      </c>
      <c r="H206" s="649">
        <v>0</v>
      </c>
      <c r="I206" s="956">
        <v>0</v>
      </c>
      <c r="J206" s="1161">
        <f t="shared" ref="J206:J209" si="97">SUM(E206:I206)</f>
        <v>0</v>
      </c>
      <c r="K206" s="518">
        <f t="shared" ref="K206:K210" si="98">E206*1.15</f>
        <v>0</v>
      </c>
      <c r="L206" s="519">
        <f t="shared" si="94"/>
        <v>0</v>
      </c>
      <c r="M206" s="519">
        <f t="shared" si="94"/>
        <v>0</v>
      </c>
      <c r="N206" s="519">
        <f t="shared" si="94"/>
        <v>0</v>
      </c>
      <c r="O206" s="1115">
        <f t="shared" si="94"/>
        <v>0</v>
      </c>
      <c r="P206" s="1114">
        <f t="shared" si="95"/>
        <v>0</v>
      </c>
      <c r="Q206" s="1116">
        <v>13</v>
      </c>
      <c r="R206" s="429">
        <v>34</v>
      </c>
      <c r="S206" s="430">
        <f t="shared" si="96"/>
        <v>47</v>
      </c>
    </row>
    <row r="207" spans="1:37" s="390" customFormat="1" ht="18.75" customHeight="1">
      <c r="A207" s="2063"/>
      <c r="B207" s="431" t="s">
        <v>809</v>
      </c>
      <c r="C207" s="432"/>
      <c r="D207" s="433"/>
      <c r="E207" s="1120">
        <f>E30+E76+E122+E162</f>
        <v>4192.96</v>
      </c>
      <c r="F207" s="1120">
        <f t="shared" ref="F207:I207" si="99">F30+F76+F122+F162</f>
        <v>4705.6320000000005</v>
      </c>
      <c r="G207" s="1120">
        <f t="shared" si="99"/>
        <v>5544.4480000000003</v>
      </c>
      <c r="H207" s="1120">
        <f t="shared" si="99"/>
        <v>6684.0396000000001</v>
      </c>
      <c r="I207" s="1120">
        <f t="shared" si="99"/>
        <v>8301.24</v>
      </c>
      <c r="J207" s="1161">
        <f t="shared" si="97"/>
        <v>29428.319600000003</v>
      </c>
      <c r="K207" s="518">
        <f>E207</f>
        <v>4192.96</v>
      </c>
      <c r="L207" s="519">
        <f>F207</f>
        <v>4705.6320000000005</v>
      </c>
      <c r="M207" s="519">
        <f>G207</f>
        <v>5544.4480000000003</v>
      </c>
      <c r="N207" s="519">
        <f>H207</f>
        <v>6684.0396000000001</v>
      </c>
      <c r="O207" s="1115">
        <f>I207</f>
        <v>8301.24</v>
      </c>
      <c r="P207" s="1122">
        <f t="shared" si="95"/>
        <v>29428.319600000003</v>
      </c>
      <c r="Q207" s="1123">
        <v>54</v>
      </c>
      <c r="R207" s="434">
        <v>34</v>
      </c>
      <c r="S207" s="435">
        <f t="shared" si="96"/>
        <v>88</v>
      </c>
    </row>
    <row r="208" spans="1:37" s="390" customFormat="1" ht="18.75" customHeight="1">
      <c r="A208" s="2063"/>
      <c r="B208" s="436" t="s">
        <v>811</v>
      </c>
      <c r="C208" s="394"/>
      <c r="D208" s="428"/>
      <c r="E208" s="1117">
        <f>E37+E83+E129+E169</f>
        <v>2359.9999999999995</v>
      </c>
      <c r="F208" s="649">
        <f t="shared" ref="F208:I208" si="100">F37+F83+F129+F169</f>
        <v>2659.0719999999992</v>
      </c>
      <c r="G208" s="649">
        <f t="shared" si="100"/>
        <v>3276.5279999999993</v>
      </c>
      <c r="H208" s="649">
        <f t="shared" si="100"/>
        <v>3988.9196000000011</v>
      </c>
      <c r="I208" s="956">
        <f t="shared" si="100"/>
        <v>5171.1599999999989</v>
      </c>
      <c r="J208" s="1161">
        <f t="shared" si="97"/>
        <v>17455.679599999999</v>
      </c>
      <c r="K208" s="518">
        <f t="shared" si="98"/>
        <v>2713.9999999999991</v>
      </c>
      <c r="L208" s="519">
        <f t="shared" si="94"/>
        <v>3057.9327999999987</v>
      </c>
      <c r="M208" s="519">
        <f t="shared" si="94"/>
        <v>3768.0071999999991</v>
      </c>
      <c r="N208" s="519">
        <f t="shared" si="94"/>
        <v>4587.2575400000005</v>
      </c>
      <c r="O208" s="1115">
        <f t="shared" si="94"/>
        <v>5946.833999999998</v>
      </c>
      <c r="P208" s="1114">
        <f t="shared" si="95"/>
        <v>20074.031539999996</v>
      </c>
      <c r="Q208" s="1116">
        <v>11</v>
      </c>
      <c r="R208" s="429">
        <v>34</v>
      </c>
      <c r="S208" s="430">
        <f t="shared" si="96"/>
        <v>45</v>
      </c>
    </row>
    <row r="209" spans="1:39" s="390" customFormat="1" ht="18.75" customHeight="1">
      <c r="A209" s="2063"/>
      <c r="B209" s="437" t="s">
        <v>814</v>
      </c>
      <c r="C209" s="394"/>
      <c r="D209" s="428"/>
      <c r="E209" s="1117">
        <f>E43+E89+E135+E175</f>
        <v>6182</v>
      </c>
      <c r="F209" s="649">
        <f t="shared" ref="F209:I209" si="101">F43+F89+F135+F175</f>
        <v>6795.05</v>
      </c>
      <c r="G209" s="649">
        <f t="shared" si="101"/>
        <v>8399.75</v>
      </c>
      <c r="H209" s="649">
        <f t="shared" si="101"/>
        <v>9697.3250000000007</v>
      </c>
      <c r="I209" s="956">
        <f t="shared" si="101"/>
        <v>12486.5</v>
      </c>
      <c r="J209" s="1161">
        <f t="shared" si="97"/>
        <v>43560.625</v>
      </c>
      <c r="K209" s="518">
        <f t="shared" si="98"/>
        <v>7109.2999999999993</v>
      </c>
      <c r="L209" s="519">
        <f t="shared" si="94"/>
        <v>7814.3074999999999</v>
      </c>
      <c r="M209" s="519">
        <f t="shared" si="94"/>
        <v>9659.7124999999996</v>
      </c>
      <c r="N209" s="519">
        <f t="shared" si="94"/>
        <v>11151.92375</v>
      </c>
      <c r="O209" s="1115">
        <f t="shared" si="94"/>
        <v>14359.474999999999</v>
      </c>
      <c r="P209" s="1114">
        <f t="shared" si="95"/>
        <v>50094.71875</v>
      </c>
      <c r="Q209" s="1116">
        <v>18</v>
      </c>
      <c r="R209" s="429">
        <v>34</v>
      </c>
      <c r="S209" s="430">
        <f t="shared" si="96"/>
        <v>52</v>
      </c>
    </row>
    <row r="210" spans="1:39" s="390" customFormat="1" ht="18.75" customHeight="1" thickBot="1">
      <c r="A210" s="2063"/>
      <c r="B210" s="438" t="s">
        <v>816</v>
      </c>
      <c r="C210" s="439"/>
      <c r="D210" s="440"/>
      <c r="E210" s="1124">
        <f>E49+E95+E141+E181</f>
        <v>4966.7999999999993</v>
      </c>
      <c r="F210" s="1125">
        <f t="shared" ref="F210:I210" si="102">F49+F95+F141+F181</f>
        <v>5504.18</v>
      </c>
      <c r="G210" s="1125">
        <f t="shared" si="102"/>
        <v>7264.32</v>
      </c>
      <c r="H210" s="1125">
        <f t="shared" si="102"/>
        <v>8542.2889999999989</v>
      </c>
      <c r="I210" s="1162">
        <f t="shared" si="102"/>
        <v>11574.5</v>
      </c>
      <c r="J210" s="1163">
        <f>SUM(E210:I210)</f>
        <v>37852.089</v>
      </c>
      <c r="K210" s="525">
        <f t="shared" si="98"/>
        <v>5711.8199999999988</v>
      </c>
      <c r="L210" s="526">
        <f t="shared" si="94"/>
        <v>6329.8069999999998</v>
      </c>
      <c r="M210" s="526">
        <f t="shared" si="94"/>
        <v>8353.9679999999989</v>
      </c>
      <c r="N210" s="526">
        <f t="shared" si="94"/>
        <v>9823.632349999998</v>
      </c>
      <c r="O210" s="1128">
        <f t="shared" si="94"/>
        <v>13310.674999999999</v>
      </c>
      <c r="P210" s="1129">
        <f t="shared" si="95"/>
        <v>43529.902349999989</v>
      </c>
      <c r="Q210" s="1116">
        <v>15</v>
      </c>
      <c r="R210" s="429">
        <v>34</v>
      </c>
      <c r="S210" s="441">
        <f t="shared" si="96"/>
        <v>49</v>
      </c>
    </row>
    <row r="211" spans="1:39" s="451" customFormat="1" ht="26.25" customHeight="1" thickBot="1">
      <c r="A211" s="2063"/>
      <c r="B211" s="442" t="s">
        <v>830</v>
      </c>
      <c r="C211" s="443"/>
      <c r="D211" s="444"/>
      <c r="E211" s="1130">
        <f>SUM(E205:E210)</f>
        <v>30017.066999999999</v>
      </c>
      <c r="F211" s="1131">
        <f t="shared" ref="F211:J211" si="103">SUM(F205:F210)</f>
        <v>33596.7935</v>
      </c>
      <c r="G211" s="1132">
        <f t="shared" si="103"/>
        <v>40956.753999999994</v>
      </c>
      <c r="H211" s="1132">
        <f t="shared" si="103"/>
        <v>48900.294600000001</v>
      </c>
      <c r="I211" s="1164">
        <f t="shared" si="103"/>
        <v>62087.109999999993</v>
      </c>
      <c r="J211" s="445">
        <f t="shared" si="103"/>
        <v>215558.0191</v>
      </c>
      <c r="K211" s="446">
        <f>SUM(K205:K210)</f>
        <v>33890.68305</v>
      </c>
      <c r="L211" s="447">
        <f>SUM(L205:L210)</f>
        <v>37930.467724999995</v>
      </c>
      <c r="M211" s="447">
        <f t="shared" ref="M211:N211" si="104">SUM(M205:M210)</f>
        <v>46268.599900000001</v>
      </c>
      <c r="N211" s="447">
        <f t="shared" si="104"/>
        <v>55232.73285</v>
      </c>
      <c r="O211" s="447">
        <f>SUM(O205:O210)</f>
        <v>70154.990499999985</v>
      </c>
      <c r="P211" s="1135">
        <f>SUM(P205:P210)</f>
        <v>243477.474025</v>
      </c>
      <c r="Q211" s="448"/>
      <c r="R211" s="449">
        <f>AVERAGE(R205:R210)</f>
        <v>34</v>
      </c>
      <c r="S211" s="450"/>
      <c r="T211" s="390"/>
      <c r="U211" s="390"/>
      <c r="V211" s="390"/>
      <c r="W211" s="390"/>
      <c r="X211" s="390"/>
      <c r="Y211" s="390"/>
      <c r="Z211" s="390"/>
      <c r="AA211" s="390"/>
      <c r="AB211" s="390"/>
      <c r="AC211" s="390"/>
      <c r="AD211" s="390"/>
      <c r="AE211" s="390"/>
      <c r="AF211" s="390"/>
      <c r="AG211" s="390"/>
      <c r="AH211" s="390"/>
      <c r="AI211" s="390"/>
      <c r="AJ211" s="390"/>
      <c r="AK211" s="390"/>
    </row>
    <row r="212" spans="1:39" ht="16.5" thickBot="1">
      <c r="A212" s="2064"/>
      <c r="B212" s="442" t="s">
        <v>831</v>
      </c>
      <c r="C212" s="443"/>
      <c r="D212" s="444"/>
      <c r="E212" s="654" t="s">
        <v>1241</v>
      </c>
      <c r="F212" s="654" t="s">
        <v>1241</v>
      </c>
      <c r="G212" s="654" t="s">
        <v>1241</v>
      </c>
      <c r="H212" s="654" t="s">
        <v>1241</v>
      </c>
      <c r="I212" s="654" t="s">
        <v>1241</v>
      </c>
      <c r="J212" s="454"/>
      <c r="K212" s="654" t="s">
        <v>1241</v>
      </c>
      <c r="L212" s="654" t="s">
        <v>1241</v>
      </c>
      <c r="M212" s="654" t="s">
        <v>1241</v>
      </c>
      <c r="N212" s="654" t="s">
        <v>1241</v>
      </c>
      <c r="O212" s="654" t="s">
        <v>1241</v>
      </c>
      <c r="P212" s="456"/>
      <c r="Q212" s="448" t="s">
        <v>832</v>
      </c>
      <c r="R212" s="449" t="s">
        <v>832</v>
      </c>
      <c r="S212" s="450"/>
      <c r="T212" s="390"/>
      <c r="U212" s="390"/>
      <c r="V212" s="390"/>
      <c r="W212" s="390"/>
      <c r="X212" s="390"/>
      <c r="Y212" s="390"/>
      <c r="Z212" s="390"/>
      <c r="AA212" s="390"/>
      <c r="AB212" s="390"/>
      <c r="AC212" s="390"/>
      <c r="AD212" s="390"/>
      <c r="AE212" s="390"/>
      <c r="AF212" s="390"/>
      <c r="AG212" s="390"/>
      <c r="AH212" s="390"/>
      <c r="AI212" s="390"/>
      <c r="AJ212" s="390"/>
      <c r="AK212" s="390"/>
    </row>
    <row r="213" spans="1:39" ht="15.75">
      <c r="A213" s="1165"/>
      <c r="B213" s="1166"/>
      <c r="C213" s="1167"/>
      <c r="D213" s="1167"/>
      <c r="E213" s="1168"/>
      <c r="F213" s="1168"/>
      <c r="G213" s="1168"/>
      <c r="H213" s="1168"/>
      <c r="I213" s="1168"/>
      <c r="J213" s="1169"/>
      <c r="K213" s="1168"/>
      <c r="L213" s="1168"/>
      <c r="M213" s="1168"/>
      <c r="N213" s="1168"/>
      <c r="O213" s="1168"/>
      <c r="P213" s="1169"/>
      <c r="Q213" s="1170"/>
      <c r="R213" s="1170"/>
      <c r="S213" s="1170"/>
      <c r="T213" s="390"/>
      <c r="U213" s="390"/>
      <c r="V213" s="390"/>
      <c r="W213" s="390"/>
      <c r="X213" s="390"/>
      <c r="Y213" s="390"/>
      <c r="Z213" s="390"/>
      <c r="AA213" s="390"/>
      <c r="AB213" s="390"/>
      <c r="AC213" s="390"/>
      <c r="AD213" s="390"/>
      <c r="AE213" s="390"/>
      <c r="AF213" s="390"/>
      <c r="AG213" s="390"/>
      <c r="AH213" s="390"/>
      <c r="AI213" s="390"/>
      <c r="AJ213" s="390"/>
      <c r="AK213" s="390"/>
    </row>
    <row r="214" spans="1:39" ht="19.5" thickBot="1">
      <c r="B214" s="388" t="s">
        <v>834</v>
      </c>
      <c r="T214" s="390"/>
      <c r="U214" s="390"/>
      <c r="V214" s="390"/>
      <c r="W214" s="390"/>
      <c r="X214" s="390"/>
      <c r="Y214" s="390"/>
      <c r="Z214" s="390"/>
      <c r="AA214" s="390"/>
      <c r="AB214" s="390"/>
      <c r="AC214" s="390"/>
      <c r="AD214" s="390"/>
      <c r="AE214" s="390"/>
      <c r="AF214" s="390"/>
      <c r="AG214" s="390"/>
      <c r="AH214" s="390"/>
      <c r="AI214" s="390"/>
      <c r="AJ214" s="390"/>
      <c r="AK214" s="390"/>
    </row>
    <row r="215" spans="1:39" s="451" customFormat="1" ht="15.75">
      <c r="A215" s="457"/>
      <c r="B215" s="2070" t="s">
        <v>835</v>
      </c>
      <c r="C215" s="745" t="s">
        <v>434</v>
      </c>
      <c r="D215" s="458">
        <v>2019</v>
      </c>
      <c r="E215" s="2072">
        <v>2021</v>
      </c>
      <c r="F215" s="2072">
        <v>2022</v>
      </c>
      <c r="G215" s="2072">
        <v>2023</v>
      </c>
      <c r="H215" s="2072">
        <v>2024</v>
      </c>
      <c r="I215" s="2074">
        <v>2025</v>
      </c>
      <c r="J215" s="1042"/>
      <c r="K215" s="1042"/>
      <c r="L215" s="1042"/>
      <c r="M215" s="389"/>
      <c r="N215" s="1042"/>
      <c r="O215" s="1042"/>
      <c r="P215" s="1042"/>
      <c r="Q215" s="1042"/>
      <c r="R215" s="1042"/>
      <c r="S215" s="1042"/>
      <c r="T215" s="1042"/>
      <c r="U215" s="1042"/>
      <c r="V215" s="1042"/>
      <c r="W215" s="1042"/>
      <c r="X215" s="1042"/>
      <c r="Y215" s="1042"/>
      <c r="Z215" s="1042"/>
      <c r="AA215" s="1042"/>
      <c r="AB215" s="1042"/>
      <c r="AC215" s="1042"/>
      <c r="AD215" s="1042"/>
      <c r="AE215" s="1042"/>
      <c r="AF215" s="1042"/>
      <c r="AG215" s="1042"/>
      <c r="AH215" s="1042"/>
      <c r="AI215" s="1042"/>
      <c r="AJ215" s="1042"/>
      <c r="AK215" s="1042"/>
      <c r="AL215" s="1042"/>
      <c r="AM215" s="1042"/>
    </row>
    <row r="216" spans="1:39" s="451" customFormat="1" ht="16.5" thickBot="1">
      <c r="A216" s="459"/>
      <c r="B216" s="2071"/>
      <c r="C216" s="746"/>
      <c r="D216" s="460" t="s">
        <v>435</v>
      </c>
      <c r="E216" s="2073"/>
      <c r="F216" s="2073"/>
      <c r="G216" s="2073"/>
      <c r="H216" s="2073"/>
      <c r="I216" s="2075"/>
      <c r="J216" s="1042"/>
      <c r="K216" s="1042"/>
      <c r="L216" s="1042"/>
      <c r="M216" s="389"/>
      <c r="N216" s="1042"/>
      <c r="O216" s="1042"/>
      <c r="P216" s="1042"/>
      <c r="Q216" s="1042"/>
      <c r="R216" s="1042"/>
      <c r="S216" s="1042"/>
      <c r="T216" s="1042"/>
      <c r="U216" s="1042"/>
      <c r="V216" s="1042"/>
      <c r="W216" s="1042"/>
      <c r="X216" s="1042"/>
      <c r="Y216" s="1042"/>
      <c r="Z216" s="1042"/>
      <c r="AA216" s="1042"/>
      <c r="AB216" s="1042"/>
      <c r="AC216" s="1042"/>
      <c r="AD216" s="1042"/>
      <c r="AE216" s="1042"/>
      <c r="AF216" s="1042"/>
      <c r="AG216" s="1042"/>
      <c r="AH216" s="1042"/>
      <c r="AI216" s="1042"/>
      <c r="AJ216" s="1042"/>
      <c r="AK216" s="1042"/>
      <c r="AL216" s="1042"/>
      <c r="AM216" s="1042"/>
    </row>
    <row r="217" spans="1:39" s="451" customFormat="1" ht="22.5" customHeight="1" thickBot="1">
      <c r="A217" s="2089" t="s">
        <v>836</v>
      </c>
      <c r="B217" s="2090"/>
      <c r="C217" s="461"/>
      <c r="D217" s="710">
        <f>D219+D222</f>
        <v>38480</v>
      </c>
      <c r="E217" s="462"/>
      <c r="F217" s="463"/>
      <c r="G217" s="462"/>
      <c r="H217" s="462"/>
      <c r="I217" s="464"/>
      <c r="J217" s="1042"/>
      <c r="K217" s="1042"/>
      <c r="L217" s="1042"/>
      <c r="M217" s="389"/>
      <c r="N217" s="1042"/>
      <c r="O217" s="1042"/>
      <c r="P217" s="1042"/>
      <c r="Q217" s="1042"/>
      <c r="R217" s="1042"/>
      <c r="S217" s="1042"/>
      <c r="T217" s="1042"/>
      <c r="U217" s="1042"/>
      <c r="V217" s="1042"/>
      <c r="W217" s="1042"/>
      <c r="X217" s="1042"/>
      <c r="Y217" s="1042"/>
      <c r="Z217" s="1042"/>
      <c r="AA217" s="1042"/>
      <c r="AB217" s="1042"/>
      <c r="AC217" s="1042"/>
      <c r="AD217" s="1042"/>
      <c r="AE217" s="1042"/>
      <c r="AF217" s="1042"/>
      <c r="AG217" s="1042"/>
      <c r="AH217" s="1042"/>
      <c r="AI217" s="1042"/>
      <c r="AJ217" s="1042"/>
      <c r="AK217" s="1042"/>
      <c r="AL217" s="1042"/>
      <c r="AM217" s="1042"/>
    </row>
    <row r="218" spans="1:39" s="451" customFormat="1" ht="51" customHeight="1">
      <c r="A218" s="2078" t="s">
        <v>836</v>
      </c>
      <c r="B218" s="2091" t="s">
        <v>837</v>
      </c>
      <c r="C218" s="2065" t="s">
        <v>838</v>
      </c>
      <c r="D218" s="711"/>
      <c r="E218" s="465">
        <v>0.02</v>
      </c>
      <c r="F218" s="466">
        <v>0.01</v>
      </c>
      <c r="G218" s="465">
        <v>0.01</v>
      </c>
      <c r="H218" s="465">
        <v>0.01</v>
      </c>
      <c r="I218" s="467">
        <v>0.01</v>
      </c>
      <c r="J218" s="1042"/>
      <c r="K218" s="1042"/>
      <c r="L218" s="1042"/>
      <c r="M218" s="389"/>
      <c r="N218" s="1042"/>
      <c r="O218" s="1042"/>
      <c r="P218" s="1042"/>
      <c r="Q218" s="1042"/>
      <c r="R218" s="1042"/>
      <c r="S218" s="1042"/>
      <c r="T218" s="1042"/>
      <c r="U218" s="1042"/>
      <c r="V218" s="1042"/>
      <c r="W218" s="1042"/>
      <c r="X218" s="1042"/>
      <c r="Y218" s="1042"/>
      <c r="Z218" s="1042"/>
      <c r="AA218" s="1042"/>
      <c r="AB218" s="1042"/>
      <c r="AC218" s="1042"/>
      <c r="AD218" s="1042"/>
      <c r="AE218" s="1042"/>
      <c r="AF218" s="1042"/>
      <c r="AG218" s="1042"/>
      <c r="AH218" s="1042"/>
      <c r="AI218" s="1042"/>
      <c r="AJ218" s="1042"/>
      <c r="AK218" s="1042"/>
      <c r="AL218" s="1042"/>
      <c r="AM218" s="1042"/>
    </row>
    <row r="219" spans="1:39" s="451" customFormat="1" ht="15.75">
      <c r="A219" s="2079"/>
      <c r="B219" s="2092"/>
      <c r="C219" s="2066"/>
      <c r="D219" s="712">
        <v>35000</v>
      </c>
      <c r="E219" s="468">
        <f>D219-(D219*E218)</f>
        <v>34300</v>
      </c>
      <c r="F219" s="468">
        <f>E219-(E219*F218)</f>
        <v>33957</v>
      </c>
      <c r="G219" s="468">
        <f>F219-(F219*G218)</f>
        <v>33617.43</v>
      </c>
      <c r="H219" s="468">
        <f>G219-(G219*H218)</f>
        <v>33281.255700000002</v>
      </c>
      <c r="I219" s="469">
        <f>H219-(H219*I218)</f>
        <v>32948.443143000004</v>
      </c>
      <c r="J219" s="1042"/>
      <c r="K219" s="1042"/>
      <c r="L219" s="1042"/>
      <c r="M219" s="389"/>
      <c r="N219" s="1042"/>
      <c r="O219" s="1042"/>
      <c r="P219" s="1042"/>
      <c r="Q219" s="1042"/>
      <c r="R219" s="1042"/>
      <c r="S219" s="1042"/>
      <c r="T219" s="1042"/>
      <c r="U219" s="1042"/>
      <c r="V219" s="1042"/>
      <c r="W219" s="1042"/>
      <c r="X219" s="1042"/>
      <c r="Y219" s="1042"/>
      <c r="Z219" s="1042"/>
      <c r="AA219" s="1042"/>
      <c r="AB219" s="1042"/>
      <c r="AC219" s="1042"/>
      <c r="AD219" s="1042"/>
      <c r="AE219" s="1042"/>
      <c r="AF219" s="1042"/>
      <c r="AG219" s="1042"/>
      <c r="AH219" s="1042"/>
      <c r="AI219" s="1042"/>
      <c r="AJ219" s="1042"/>
      <c r="AK219" s="1042"/>
      <c r="AL219" s="1042"/>
      <c r="AM219" s="1042"/>
    </row>
    <row r="220" spans="1:39" s="451" customFormat="1" ht="15.75">
      <c r="A220" s="2079"/>
      <c r="B220" s="2088"/>
      <c r="C220" s="470" t="s">
        <v>952</v>
      </c>
      <c r="D220" s="1171"/>
      <c r="E220" s="472">
        <f>E219*1.2</f>
        <v>41160</v>
      </c>
      <c r="F220" s="472">
        <f>F219*1.2</f>
        <v>40748.400000000001</v>
      </c>
      <c r="G220" s="472">
        <f>G219*1.2</f>
        <v>40340.915999999997</v>
      </c>
      <c r="H220" s="472">
        <f>H219*1.2</f>
        <v>39937.506840000002</v>
      </c>
      <c r="I220" s="473">
        <f>I219*1.2</f>
        <v>39538.131771600005</v>
      </c>
      <c r="J220" s="1042" t="s">
        <v>1034</v>
      </c>
      <c r="K220" s="1042"/>
      <c r="L220" s="1042"/>
      <c r="M220" s="389"/>
      <c r="N220" s="1042"/>
      <c r="O220" s="1042"/>
      <c r="P220" s="1042"/>
      <c r="Q220" s="1042"/>
      <c r="R220" s="1042"/>
      <c r="S220" s="1042"/>
      <c r="T220" s="1042"/>
      <c r="U220" s="1042"/>
      <c r="V220" s="1042"/>
      <c r="W220" s="1042"/>
      <c r="X220" s="1042"/>
      <c r="Y220" s="1042"/>
      <c r="Z220" s="1042"/>
      <c r="AA220" s="1042"/>
      <c r="AB220" s="1042"/>
      <c r="AC220" s="1042"/>
      <c r="AD220" s="1042"/>
      <c r="AE220" s="1042"/>
      <c r="AF220" s="1042"/>
      <c r="AG220" s="1042"/>
      <c r="AH220" s="1042"/>
      <c r="AI220" s="1042"/>
      <c r="AJ220" s="1042"/>
      <c r="AK220" s="1042"/>
      <c r="AL220" s="1042"/>
      <c r="AM220" s="1042"/>
    </row>
    <row r="221" spans="1:39" s="451" customFormat="1" ht="15.75">
      <c r="A221" s="2079"/>
      <c r="B221" s="2067" t="s">
        <v>839</v>
      </c>
      <c r="C221" s="2066" t="s">
        <v>838</v>
      </c>
      <c r="D221" s="712"/>
      <c r="E221" s="474"/>
      <c r="F221" s="475"/>
      <c r="G221" s="474"/>
      <c r="H221" s="474"/>
      <c r="I221" s="476"/>
      <c r="J221" s="1042"/>
      <c r="K221" s="1042"/>
      <c r="L221" s="1042"/>
      <c r="M221" s="389"/>
      <c r="N221" s="1042"/>
      <c r="O221" s="1042"/>
      <c r="P221" s="1042"/>
      <c r="Q221" s="1042"/>
      <c r="R221" s="1042"/>
      <c r="S221" s="1042"/>
      <c r="T221" s="1042"/>
      <c r="U221" s="1042"/>
      <c r="V221" s="1042"/>
      <c r="W221" s="1042"/>
      <c r="X221" s="1042"/>
      <c r="Y221" s="1042"/>
      <c r="Z221" s="1042"/>
      <c r="AA221" s="1042"/>
      <c r="AB221" s="1042"/>
      <c r="AC221" s="1042"/>
      <c r="AD221" s="1042"/>
      <c r="AE221" s="1042"/>
      <c r="AF221" s="1042"/>
      <c r="AG221" s="1042"/>
      <c r="AH221" s="1042"/>
      <c r="AI221" s="1042"/>
      <c r="AJ221" s="1042"/>
      <c r="AK221" s="1042"/>
      <c r="AL221" s="1042"/>
      <c r="AM221" s="1042"/>
    </row>
    <row r="222" spans="1:39" s="451" customFormat="1" ht="15.75">
      <c r="A222" s="2079"/>
      <c r="B222" s="2068"/>
      <c r="C222" s="2066"/>
      <c r="D222" s="712">
        <v>3480</v>
      </c>
      <c r="E222" s="468">
        <v>3410</v>
      </c>
      <c r="F222" s="468">
        <v>3250</v>
      </c>
      <c r="G222" s="468">
        <v>3110</v>
      </c>
      <c r="H222" s="468">
        <v>3050</v>
      </c>
      <c r="I222" s="469">
        <v>2990</v>
      </c>
      <c r="J222" s="836"/>
      <c r="K222" s="836"/>
      <c r="L222" s="836"/>
      <c r="M222" s="837"/>
      <c r="N222" s="838"/>
      <c r="O222" s="836"/>
      <c r="P222" s="836"/>
      <c r="Q222" s="836"/>
      <c r="R222" s="1042"/>
      <c r="S222" s="1042"/>
      <c r="T222" s="1042"/>
      <c r="U222" s="1042"/>
      <c r="V222" s="1042"/>
      <c r="W222" s="1042"/>
      <c r="X222" s="1042"/>
      <c r="Y222" s="1042"/>
      <c r="Z222" s="1042"/>
      <c r="AA222" s="1042"/>
      <c r="AB222" s="1042"/>
      <c r="AC222" s="1042"/>
      <c r="AD222" s="1042"/>
      <c r="AE222" s="1042"/>
      <c r="AF222" s="1042"/>
      <c r="AG222" s="1042"/>
      <c r="AH222" s="1042"/>
      <c r="AI222" s="1042"/>
      <c r="AJ222" s="1042"/>
      <c r="AK222" s="1042"/>
      <c r="AL222" s="1042"/>
      <c r="AM222" s="1042"/>
    </row>
    <row r="223" spans="1:39" s="451" customFormat="1" ht="16.5" thickBot="1">
      <c r="A223" s="2080"/>
      <c r="B223" s="2069"/>
      <c r="C223" s="477" t="s">
        <v>1036</v>
      </c>
      <c r="D223" s="687"/>
      <c r="E223" s="839">
        <f>E222*2</f>
        <v>6820</v>
      </c>
      <c r="F223" s="839">
        <f>F222*2</f>
        <v>6500</v>
      </c>
      <c r="G223" s="839">
        <f>G222*2</f>
        <v>6220</v>
      </c>
      <c r="H223" s="839">
        <f>H222*2</f>
        <v>6100</v>
      </c>
      <c r="I223" s="840">
        <f>I222*2</f>
        <v>5980</v>
      </c>
      <c r="J223" s="836"/>
      <c r="K223" s="836"/>
      <c r="L223" s="836"/>
      <c r="M223" s="837"/>
      <c r="N223" s="836"/>
      <c r="O223" s="836"/>
      <c r="P223" s="836"/>
      <c r="Q223" s="836"/>
      <c r="R223" s="1042"/>
      <c r="S223" s="1042"/>
      <c r="T223" s="1042"/>
      <c r="U223" s="1042"/>
      <c r="V223" s="1042"/>
      <c r="W223" s="1042"/>
      <c r="X223" s="1042"/>
      <c r="Y223" s="1042"/>
      <c r="Z223" s="1042"/>
      <c r="AA223" s="1042"/>
      <c r="AB223" s="1042"/>
      <c r="AC223" s="1042"/>
      <c r="AD223" s="1042"/>
      <c r="AE223" s="1042"/>
      <c r="AF223" s="1042"/>
      <c r="AG223" s="1042"/>
      <c r="AH223" s="1042"/>
      <c r="AI223" s="1042"/>
      <c r="AJ223" s="1042"/>
      <c r="AK223" s="1042"/>
      <c r="AL223" s="1042"/>
      <c r="AM223" s="1042"/>
    </row>
    <row r="224" spans="1:39" s="451" customFormat="1" ht="21.75" customHeight="1" thickBot="1">
      <c r="A224" s="2076" t="s">
        <v>840</v>
      </c>
      <c r="B224" s="2077"/>
      <c r="C224" s="479"/>
      <c r="D224" s="697"/>
      <c r="E224" s="480"/>
      <c r="F224" s="679"/>
      <c r="G224" s="480"/>
      <c r="H224" s="480"/>
      <c r="I224" s="481"/>
      <c r="J224" s="1042"/>
      <c r="K224" s="1042"/>
      <c r="L224" s="1042"/>
      <c r="M224" s="389"/>
      <c r="N224" s="1042"/>
      <c r="O224" s="1042"/>
      <c r="P224" s="1042"/>
      <c r="Q224" s="1042"/>
      <c r="R224" s="1042"/>
      <c r="S224" s="1042"/>
      <c r="T224" s="1042"/>
      <c r="U224" s="1042"/>
      <c r="V224" s="1042"/>
      <c r="W224" s="1042"/>
      <c r="X224" s="1042"/>
      <c r="Y224" s="1042"/>
      <c r="Z224" s="1042"/>
      <c r="AA224" s="1042"/>
      <c r="AB224" s="1042"/>
      <c r="AC224" s="1042"/>
      <c r="AD224" s="1042"/>
      <c r="AE224" s="1042"/>
      <c r="AF224" s="1042"/>
      <c r="AG224" s="1042"/>
      <c r="AH224" s="1042"/>
      <c r="AI224" s="1042"/>
      <c r="AJ224" s="1042"/>
      <c r="AK224" s="1042"/>
      <c r="AL224" s="1042"/>
      <c r="AM224" s="1042"/>
    </row>
    <row r="225" spans="1:39" s="451" customFormat="1" ht="15.75" customHeight="1">
      <c r="A225" s="2078" t="str">
        <f>B225</f>
        <v>Total</v>
      </c>
      <c r="B225" s="2081" t="s">
        <v>101</v>
      </c>
      <c r="C225" s="482"/>
      <c r="D225" s="698">
        <v>220</v>
      </c>
      <c r="E225" s="483">
        <v>5</v>
      </c>
      <c r="F225" s="680">
        <v>5</v>
      </c>
      <c r="G225" s="483">
        <v>5</v>
      </c>
      <c r="H225" s="483">
        <v>5</v>
      </c>
      <c r="I225" s="485">
        <v>5</v>
      </c>
      <c r="J225" s="1042"/>
      <c r="K225" s="1042"/>
      <c r="L225" s="1042"/>
      <c r="M225" s="389"/>
      <c r="N225" s="1042"/>
      <c r="O225" s="1042"/>
      <c r="P225" s="1042"/>
      <c r="Q225" s="1042"/>
      <c r="R225" s="1042"/>
      <c r="S225" s="1042"/>
      <c r="T225" s="1042"/>
      <c r="U225" s="1042"/>
      <c r="V225" s="1042"/>
      <c r="W225" s="1042"/>
      <c r="X225" s="1042"/>
      <c r="Y225" s="1042"/>
      <c r="Z225" s="1042"/>
      <c r="AA225" s="1042"/>
      <c r="AB225" s="1042"/>
      <c r="AC225" s="1042"/>
      <c r="AD225" s="1042"/>
      <c r="AE225" s="1042"/>
      <c r="AF225" s="1042"/>
      <c r="AG225" s="1042"/>
      <c r="AH225" s="1042"/>
      <c r="AI225" s="1042"/>
      <c r="AJ225" s="1042"/>
      <c r="AK225" s="1042"/>
      <c r="AL225" s="1042"/>
      <c r="AM225" s="1042"/>
    </row>
    <row r="226" spans="1:39" s="451" customFormat="1" ht="15.75" customHeight="1">
      <c r="A226" s="2079"/>
      <c r="B226" s="2082"/>
      <c r="C226" s="1029"/>
      <c r="D226" s="699"/>
      <c r="E226" s="468">
        <f>D225+E225</f>
        <v>225</v>
      </c>
      <c r="F226" s="468">
        <f>E226+F225</f>
        <v>230</v>
      </c>
      <c r="G226" s="468">
        <f t="shared" ref="G226:H226" si="105">F226+G225</f>
        <v>235</v>
      </c>
      <c r="H226" s="468">
        <f t="shared" si="105"/>
        <v>240</v>
      </c>
      <c r="I226" s="469">
        <f>H226+I225</f>
        <v>245</v>
      </c>
      <c r="J226" s="1042"/>
      <c r="K226" s="1042"/>
      <c r="L226" s="1042"/>
      <c r="M226" s="389"/>
      <c r="N226" s="1042"/>
      <c r="O226" s="1042"/>
      <c r="P226" s="1042"/>
      <c r="Q226" s="1042"/>
      <c r="R226" s="1042"/>
      <c r="S226" s="1042"/>
      <c r="T226" s="1042"/>
      <c r="U226" s="1042"/>
      <c r="V226" s="1042"/>
      <c r="W226" s="1042"/>
      <c r="X226" s="1042"/>
      <c r="Y226" s="1042"/>
      <c r="Z226" s="1042"/>
      <c r="AA226" s="1042"/>
      <c r="AB226" s="1042"/>
      <c r="AC226" s="1042"/>
      <c r="AD226" s="1042"/>
      <c r="AE226" s="1042"/>
      <c r="AF226" s="1042"/>
      <c r="AG226" s="1042"/>
      <c r="AH226" s="1042"/>
      <c r="AI226" s="1042"/>
      <c r="AJ226" s="1042"/>
      <c r="AK226" s="1042"/>
      <c r="AL226" s="1042"/>
      <c r="AM226" s="1042"/>
    </row>
    <row r="227" spans="1:39" s="451" customFormat="1" ht="15.75">
      <c r="A227" s="2079"/>
      <c r="B227" s="2083"/>
      <c r="C227" s="470" t="s">
        <v>841</v>
      </c>
      <c r="D227" s="1171"/>
      <c r="E227" s="472">
        <f>E226*3</f>
        <v>675</v>
      </c>
      <c r="F227" s="472">
        <f>F226*3</f>
        <v>690</v>
      </c>
      <c r="G227" s="472">
        <f>G226*3</f>
        <v>705</v>
      </c>
      <c r="H227" s="472">
        <f>H226*3</f>
        <v>720</v>
      </c>
      <c r="I227" s="473">
        <f>I226*3</f>
        <v>735</v>
      </c>
      <c r="J227" s="1042"/>
      <c r="K227" s="1042"/>
      <c r="L227" s="1042"/>
      <c r="M227" s="389"/>
      <c r="N227" s="1042"/>
      <c r="O227" s="1042"/>
      <c r="P227" s="1042"/>
      <c r="Q227" s="1042"/>
      <c r="R227" s="1042"/>
      <c r="S227" s="1042"/>
      <c r="T227" s="1042"/>
      <c r="U227" s="1042"/>
      <c r="V227" s="1042"/>
      <c r="W227" s="1042"/>
      <c r="X227" s="1042"/>
      <c r="Y227" s="1042"/>
      <c r="Z227" s="1042"/>
      <c r="AA227" s="1042"/>
      <c r="AB227" s="1042"/>
      <c r="AC227" s="1042"/>
      <c r="AD227" s="1042"/>
      <c r="AE227" s="1042"/>
      <c r="AF227" s="1042"/>
      <c r="AG227" s="1042"/>
      <c r="AH227" s="1042"/>
      <c r="AI227" s="1042"/>
      <c r="AJ227" s="1042"/>
      <c r="AK227" s="1042"/>
      <c r="AL227" s="1042"/>
      <c r="AM227" s="1042"/>
    </row>
    <row r="228" spans="1:39" s="451" customFormat="1" ht="15.75" customHeight="1">
      <c r="A228" s="2079"/>
      <c r="B228" s="1041"/>
      <c r="C228" s="482"/>
      <c r="D228" s="700">
        <v>0.7</v>
      </c>
      <c r="E228" s="486">
        <f>E226*0.7</f>
        <v>157.5</v>
      </c>
      <c r="F228" s="486">
        <f>F226*0.7</f>
        <v>161</v>
      </c>
      <c r="G228" s="486">
        <f>G226*0.7</f>
        <v>164.5</v>
      </c>
      <c r="H228" s="486">
        <f>H226*0.7</f>
        <v>168</v>
      </c>
      <c r="I228" s="487">
        <f>I226*0.7</f>
        <v>171.5</v>
      </c>
      <c r="J228" s="1042"/>
      <c r="K228" s="1042"/>
      <c r="L228" s="1042"/>
      <c r="M228" s="389"/>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c r="AK228" s="1042"/>
      <c r="AL228" s="1042"/>
      <c r="AM228" s="1042"/>
    </row>
    <row r="229" spans="1:39" s="451" customFormat="1" ht="15.75">
      <c r="A229" s="2079"/>
      <c r="B229" s="1172" t="s">
        <v>1242</v>
      </c>
      <c r="C229" s="470" t="s">
        <v>841</v>
      </c>
      <c r="D229" s="1173"/>
      <c r="E229" s="472">
        <f>E228*3</f>
        <v>472.5</v>
      </c>
      <c r="F229" s="472">
        <f>F228*3</f>
        <v>483</v>
      </c>
      <c r="G229" s="472">
        <f>G228*3</f>
        <v>493.5</v>
      </c>
      <c r="H229" s="472">
        <f>H228*3</f>
        <v>504</v>
      </c>
      <c r="I229" s="473">
        <f>I228*3</f>
        <v>514.5</v>
      </c>
      <c r="J229" s="1042"/>
      <c r="K229" s="1042"/>
      <c r="L229" s="1042"/>
      <c r="M229" s="389"/>
      <c r="N229" s="1042"/>
      <c r="O229" s="1042"/>
      <c r="P229" s="1042"/>
      <c r="Q229" s="1042"/>
      <c r="R229" s="1042"/>
      <c r="S229" s="1042"/>
      <c r="T229" s="1042"/>
      <c r="U229" s="1042"/>
      <c r="V229" s="1042"/>
      <c r="W229" s="1042"/>
      <c r="X229" s="1042"/>
      <c r="Y229" s="1042"/>
      <c r="Z229" s="1042"/>
      <c r="AA229" s="1042"/>
      <c r="AB229" s="1042"/>
      <c r="AC229" s="1042"/>
      <c r="AD229" s="1042"/>
      <c r="AE229" s="1042"/>
      <c r="AF229" s="1042"/>
      <c r="AG229" s="1042"/>
      <c r="AH229" s="1042"/>
      <c r="AI229" s="1042"/>
      <c r="AJ229" s="1042"/>
      <c r="AK229" s="1042"/>
      <c r="AL229" s="1042"/>
      <c r="AM229" s="1042"/>
    </row>
    <row r="230" spans="1:39" s="451" customFormat="1" ht="15.75" customHeight="1">
      <c r="A230" s="2079"/>
      <c r="B230" s="1041"/>
      <c r="C230" s="482"/>
      <c r="D230" s="700">
        <v>0.3</v>
      </c>
      <c r="E230" s="486">
        <f>E226*0.3</f>
        <v>67.5</v>
      </c>
      <c r="F230" s="486">
        <f t="shared" ref="F230:H230" si="106">F226*0.3</f>
        <v>69</v>
      </c>
      <c r="G230" s="486">
        <f t="shared" si="106"/>
        <v>70.5</v>
      </c>
      <c r="H230" s="486">
        <f t="shared" si="106"/>
        <v>72</v>
      </c>
      <c r="I230" s="487">
        <f>I226*0.3</f>
        <v>73.5</v>
      </c>
      <c r="J230" s="836"/>
      <c r="K230" s="836"/>
      <c r="L230" s="836"/>
      <c r="M230" s="837"/>
      <c r="N230" s="838"/>
      <c r="O230" s="836"/>
      <c r="P230" s="836"/>
      <c r="Q230" s="836"/>
      <c r="R230" s="1042"/>
      <c r="S230" s="1042"/>
      <c r="T230" s="1042"/>
      <c r="U230" s="1042"/>
      <c r="V230" s="1042"/>
      <c r="W230" s="1042"/>
      <c r="X230" s="1042"/>
      <c r="Y230" s="1042"/>
      <c r="Z230" s="1042"/>
      <c r="AA230" s="1042"/>
      <c r="AB230" s="1042"/>
      <c r="AC230" s="1042"/>
      <c r="AD230" s="1042"/>
      <c r="AE230" s="1042"/>
      <c r="AF230" s="1042"/>
      <c r="AG230" s="1042"/>
      <c r="AH230" s="1042"/>
      <c r="AI230" s="1042"/>
      <c r="AJ230" s="1042"/>
      <c r="AK230" s="1042"/>
      <c r="AL230" s="1042"/>
      <c r="AM230" s="1042"/>
    </row>
    <row r="231" spans="1:39" s="451" customFormat="1" ht="16.5" thickBot="1">
      <c r="A231" s="2080"/>
      <c r="B231" s="687" t="s">
        <v>1243</v>
      </c>
      <c r="C231" s="489" t="s">
        <v>841</v>
      </c>
      <c r="D231" s="701"/>
      <c r="E231" s="491">
        <f>E230*3</f>
        <v>202.5</v>
      </c>
      <c r="F231" s="491">
        <f>F230*3</f>
        <v>207</v>
      </c>
      <c r="G231" s="491">
        <f>G230*3</f>
        <v>211.5</v>
      </c>
      <c r="H231" s="491">
        <f>H230*3</f>
        <v>216</v>
      </c>
      <c r="I231" s="492">
        <f>I230*3</f>
        <v>220.5</v>
      </c>
      <c r="J231" s="836"/>
      <c r="K231" s="836"/>
      <c r="L231" s="841"/>
      <c r="M231" s="842"/>
      <c r="N231" s="836"/>
      <c r="O231" s="836"/>
      <c r="P231" s="836"/>
      <c r="Q231" s="836"/>
      <c r="R231" s="1042"/>
      <c r="S231" s="1042"/>
      <c r="T231" s="1042"/>
      <c r="U231" s="1042"/>
      <c r="V231" s="1042"/>
      <c r="W231" s="1042"/>
      <c r="X231" s="1042"/>
      <c r="Y231" s="1042"/>
      <c r="Z231" s="1042"/>
      <c r="AA231" s="1042"/>
      <c r="AB231" s="1042"/>
      <c r="AC231" s="1042"/>
      <c r="AD231" s="1042"/>
      <c r="AE231" s="1042"/>
      <c r="AF231" s="1042"/>
      <c r="AG231" s="1042"/>
      <c r="AH231" s="1042"/>
      <c r="AI231" s="1042"/>
      <c r="AJ231" s="1042"/>
      <c r="AK231" s="1042"/>
      <c r="AL231" s="1042"/>
      <c r="AM231" s="1042"/>
    </row>
    <row r="232" spans="1:39" s="451" customFormat="1" ht="22.5" customHeight="1">
      <c r="A232" s="2084" t="s">
        <v>949</v>
      </c>
      <c r="B232" s="2085"/>
      <c r="C232" s="493"/>
      <c r="D232" s="1174">
        <v>93167</v>
      </c>
      <c r="E232" s="494"/>
      <c r="F232" s="681"/>
      <c r="G232" s="494"/>
      <c r="H232" s="494"/>
      <c r="I232" s="495"/>
      <c r="J232" s="1042"/>
      <c r="K232" s="1042"/>
      <c r="L232" s="1042"/>
      <c r="M232" s="389"/>
      <c r="N232" s="1042"/>
      <c r="O232" s="1042"/>
      <c r="P232" s="1042"/>
      <c r="Q232" s="1042"/>
      <c r="R232" s="1042"/>
      <c r="S232" s="1042"/>
      <c r="T232" s="1042"/>
      <c r="U232" s="1042"/>
      <c r="V232" s="1042"/>
      <c r="W232" s="1042"/>
      <c r="X232" s="1042"/>
      <c r="Y232" s="1042"/>
      <c r="Z232" s="1042"/>
      <c r="AA232" s="1042"/>
      <c r="AB232" s="1042"/>
      <c r="AC232" s="1042"/>
      <c r="AD232" s="1042"/>
      <c r="AE232" s="1042"/>
      <c r="AF232" s="1042"/>
      <c r="AG232" s="1042"/>
      <c r="AH232" s="1042"/>
      <c r="AI232" s="1042"/>
      <c r="AJ232" s="1042"/>
      <c r="AK232" s="1042"/>
      <c r="AL232" s="1042"/>
      <c r="AM232" s="1042"/>
    </row>
    <row r="233" spans="1:39" s="451" customFormat="1" ht="15.75">
      <c r="A233" s="2086" t="s">
        <v>843</v>
      </c>
      <c r="B233" s="2087" t="s">
        <v>844</v>
      </c>
      <c r="C233" s="482" t="s">
        <v>950</v>
      </c>
      <c r="D233" s="702">
        <v>0.6</v>
      </c>
      <c r="E233" s="483">
        <v>0.02</v>
      </c>
      <c r="F233" s="484">
        <v>0.02</v>
      </c>
      <c r="G233" s="483">
        <v>0.02</v>
      </c>
      <c r="H233" s="483">
        <v>0.02</v>
      </c>
      <c r="I233" s="485">
        <v>0.02</v>
      </c>
      <c r="J233" s="1042"/>
      <c r="K233" s="1042"/>
      <c r="L233" s="1042"/>
      <c r="M233" s="389"/>
      <c r="N233" s="1042"/>
      <c r="O233" s="1042"/>
      <c r="P233" s="1042"/>
      <c r="Q233" s="1042"/>
      <c r="R233" s="1042"/>
      <c r="S233" s="1042"/>
      <c r="T233" s="1042"/>
      <c r="U233" s="1042"/>
      <c r="V233" s="1042"/>
      <c r="W233" s="1042"/>
      <c r="X233" s="1042"/>
      <c r="Y233" s="1042"/>
      <c r="Z233" s="1042"/>
      <c r="AA233" s="1042"/>
      <c r="AB233" s="1042"/>
      <c r="AC233" s="1042"/>
      <c r="AD233" s="1042"/>
      <c r="AE233" s="1042"/>
      <c r="AF233" s="1042"/>
      <c r="AG233" s="1042"/>
      <c r="AH233" s="1042"/>
      <c r="AI233" s="1042"/>
      <c r="AJ233" s="1042"/>
      <c r="AK233" s="1042"/>
      <c r="AL233" s="1042"/>
      <c r="AM233" s="1042"/>
    </row>
    <row r="234" spans="1:39" s="451" customFormat="1" ht="15.75">
      <c r="A234" s="2086"/>
      <c r="B234" s="2088"/>
      <c r="C234" s="471"/>
      <c r="D234" s="1175">
        <f>D232*D233</f>
        <v>55900.2</v>
      </c>
      <c r="E234" s="472">
        <f>E233*D234+D234</f>
        <v>57018.203999999998</v>
      </c>
      <c r="F234" s="472">
        <f>F233*E234+E234</f>
        <v>58158.568079999997</v>
      </c>
      <c r="G234" s="472">
        <f>G233*F234+F234</f>
        <v>59321.739441599995</v>
      </c>
      <c r="H234" s="472">
        <f>H233*G234+G234</f>
        <v>60508.174230431992</v>
      </c>
      <c r="I234" s="473">
        <f>I233*H234+H234</f>
        <v>61718.33771504063</v>
      </c>
      <c r="J234" s="1042"/>
      <c r="K234" s="1042"/>
      <c r="L234" s="1042"/>
      <c r="M234" s="389"/>
      <c r="N234" s="1042"/>
      <c r="O234" s="1042"/>
      <c r="P234" s="1042"/>
      <c r="Q234" s="1042"/>
      <c r="R234" s="1042"/>
      <c r="S234" s="1042"/>
      <c r="T234" s="1042"/>
      <c r="U234" s="1042"/>
      <c r="V234" s="1042"/>
      <c r="W234" s="1042"/>
      <c r="X234" s="1042"/>
      <c r="Y234" s="1042"/>
      <c r="Z234" s="1042"/>
      <c r="AA234" s="1042"/>
      <c r="AB234" s="1042"/>
      <c r="AC234" s="1042"/>
      <c r="AD234" s="1042"/>
      <c r="AE234" s="1042"/>
      <c r="AF234" s="1042"/>
      <c r="AG234" s="1042"/>
      <c r="AH234" s="1042"/>
      <c r="AI234" s="1042"/>
      <c r="AJ234" s="1042"/>
      <c r="AK234" s="1042"/>
      <c r="AL234" s="1042"/>
      <c r="AM234" s="1042"/>
    </row>
    <row r="235" spans="1:39" s="451" customFormat="1" ht="15.75" customHeight="1">
      <c r="A235" s="2098" t="s">
        <v>845</v>
      </c>
      <c r="B235" s="2099" t="s">
        <v>846</v>
      </c>
      <c r="C235" s="482" t="s">
        <v>951</v>
      </c>
      <c r="D235" s="702">
        <v>0.4</v>
      </c>
      <c r="E235" s="483">
        <v>0.01</v>
      </c>
      <c r="F235" s="484">
        <v>0.01</v>
      </c>
      <c r="G235" s="483">
        <v>0.01</v>
      </c>
      <c r="H235" s="483">
        <v>0.01</v>
      </c>
      <c r="I235" s="485">
        <v>0.01</v>
      </c>
      <c r="J235" s="1042"/>
      <c r="K235" s="1042"/>
      <c r="L235" s="1042"/>
      <c r="M235" s="389"/>
      <c r="N235" s="1042"/>
      <c r="O235" s="1042"/>
      <c r="P235" s="1042"/>
      <c r="Q235" s="1042"/>
      <c r="R235" s="1042"/>
      <c r="S235" s="1042"/>
      <c r="T235" s="1042"/>
      <c r="U235" s="1042"/>
      <c r="V235" s="1042"/>
      <c r="W235" s="1042"/>
      <c r="X235" s="1042"/>
      <c r="Y235" s="1042"/>
      <c r="Z235" s="1042"/>
      <c r="AA235" s="1042"/>
      <c r="AB235" s="1042"/>
      <c r="AC235" s="1042"/>
      <c r="AD235" s="1042"/>
      <c r="AE235" s="1042"/>
      <c r="AF235" s="1042"/>
      <c r="AG235" s="1042"/>
      <c r="AH235" s="1042"/>
      <c r="AI235" s="1042"/>
      <c r="AJ235" s="1042"/>
      <c r="AK235" s="1042"/>
      <c r="AL235" s="1042"/>
      <c r="AM235" s="1042"/>
    </row>
    <row r="236" spans="1:39" s="451" customFormat="1" ht="15.75">
      <c r="A236" s="2079"/>
      <c r="B236" s="2100"/>
      <c r="C236" s="471"/>
      <c r="D236" s="1175">
        <f>D232*D235</f>
        <v>37266.800000000003</v>
      </c>
      <c r="E236" s="472">
        <f>E235*D236+D236</f>
        <v>37639.468000000001</v>
      </c>
      <c r="F236" s="472">
        <f>F235*E236+E236</f>
        <v>38015.862679999998</v>
      </c>
      <c r="G236" s="472">
        <f>G235*F236+F236</f>
        <v>38396.021306800001</v>
      </c>
      <c r="H236" s="472">
        <f>H235*G236+G236</f>
        <v>38779.981519868001</v>
      </c>
      <c r="I236" s="473">
        <f>I235*H236+H236</f>
        <v>39167.781335066684</v>
      </c>
      <c r="J236" s="1042"/>
      <c r="K236" s="1042"/>
      <c r="L236" s="1042"/>
      <c r="M236" s="389"/>
      <c r="N236" s="1042"/>
      <c r="O236" s="1042"/>
      <c r="P236" s="1042"/>
      <c r="Q236" s="1042"/>
      <c r="R236" s="1042"/>
      <c r="S236" s="1042"/>
      <c r="T236" s="1042"/>
      <c r="U236" s="1042"/>
      <c r="V236" s="1042"/>
      <c r="W236" s="1042"/>
      <c r="X236" s="1042"/>
      <c r="Y236" s="1042"/>
      <c r="Z236" s="1042"/>
      <c r="AA236" s="1042"/>
      <c r="AB236" s="1042"/>
      <c r="AC236" s="1042"/>
      <c r="AD236" s="1042"/>
      <c r="AE236" s="1042"/>
      <c r="AF236" s="1042"/>
      <c r="AG236" s="1042"/>
      <c r="AH236" s="1042"/>
      <c r="AI236" s="1042"/>
      <c r="AJ236" s="1042"/>
      <c r="AK236" s="1042"/>
      <c r="AL236" s="1042"/>
      <c r="AM236" s="1042"/>
    </row>
    <row r="237" spans="1:39" s="451" customFormat="1" ht="15.75" customHeight="1">
      <c r="A237" s="2079"/>
      <c r="B237" s="2101" t="s">
        <v>847</v>
      </c>
      <c r="C237" s="482" t="s">
        <v>951</v>
      </c>
      <c r="D237" s="703">
        <v>546472</v>
      </c>
      <c r="E237" s="474">
        <v>0.01</v>
      </c>
      <c r="F237" s="484">
        <v>0.01</v>
      </c>
      <c r="G237" s="474">
        <v>0.01</v>
      </c>
      <c r="H237" s="474">
        <v>0.01</v>
      </c>
      <c r="I237" s="476">
        <v>0.01</v>
      </c>
      <c r="J237" s="1042"/>
      <c r="K237" s="1042"/>
      <c r="L237" s="1042"/>
      <c r="M237" s="389"/>
      <c r="N237" s="1042"/>
      <c r="O237" s="1042"/>
      <c r="P237" s="1042"/>
      <c r="Q237" s="1042"/>
      <c r="R237" s="1042"/>
      <c r="S237" s="1042"/>
      <c r="T237" s="1042"/>
      <c r="U237" s="1042"/>
      <c r="V237" s="1042"/>
      <c r="W237" s="1042"/>
      <c r="X237" s="1042"/>
      <c r="Y237" s="1042"/>
      <c r="Z237" s="1042"/>
      <c r="AA237" s="1042"/>
      <c r="AB237" s="1042"/>
      <c r="AC237" s="1042"/>
      <c r="AD237" s="1042"/>
      <c r="AE237" s="1042"/>
      <c r="AF237" s="1042"/>
      <c r="AG237" s="1042"/>
      <c r="AH237" s="1042"/>
      <c r="AI237" s="1042"/>
      <c r="AJ237" s="1042"/>
      <c r="AK237" s="1042"/>
      <c r="AL237" s="1042"/>
      <c r="AM237" s="1042"/>
    </row>
    <row r="238" spans="1:39" s="451" customFormat="1" ht="16.5" thickBot="1">
      <c r="A238" s="2080"/>
      <c r="B238" s="2102"/>
      <c r="C238" s="488"/>
      <c r="D238" s="704"/>
      <c r="E238" s="491">
        <f>D237*E237+D237</f>
        <v>551936.72</v>
      </c>
      <c r="F238" s="491">
        <f>F237*E238+E238</f>
        <v>557456.08719999995</v>
      </c>
      <c r="G238" s="491">
        <f>G237*F238+F238</f>
        <v>563030.64807199989</v>
      </c>
      <c r="H238" s="491">
        <f>H237*G238+G238</f>
        <v>568660.95455271984</v>
      </c>
      <c r="I238" s="492">
        <f>I237*H238+H238</f>
        <v>574347.56409824698</v>
      </c>
      <c r="J238" s="1042"/>
      <c r="K238" s="1042"/>
      <c r="L238" s="1042"/>
      <c r="M238" s="389"/>
      <c r="N238" s="1042"/>
      <c r="O238" s="1042"/>
      <c r="P238" s="1042"/>
      <c r="Q238" s="1042"/>
      <c r="R238" s="1042"/>
      <c r="S238" s="1042"/>
      <c r="T238" s="1042"/>
      <c r="U238" s="1042"/>
      <c r="V238" s="1042"/>
      <c r="W238" s="1042"/>
      <c r="X238" s="1042"/>
      <c r="Y238" s="1042"/>
      <c r="Z238" s="1042"/>
      <c r="AA238" s="1042"/>
      <c r="AB238" s="1042"/>
      <c r="AC238" s="1042"/>
      <c r="AD238" s="1042"/>
      <c r="AE238" s="1042"/>
      <c r="AF238" s="1042"/>
      <c r="AG238" s="1042"/>
      <c r="AH238" s="1042"/>
      <c r="AI238" s="1042"/>
      <c r="AJ238" s="1042"/>
      <c r="AK238" s="1042"/>
      <c r="AL238" s="1042"/>
      <c r="AM238" s="1042"/>
    </row>
    <row r="239" spans="1:39" s="451" customFormat="1" ht="21" customHeight="1">
      <c r="A239" s="2103" t="s">
        <v>804</v>
      </c>
      <c r="B239" s="688" t="s">
        <v>848</v>
      </c>
      <c r="C239" s="496"/>
      <c r="D239" s="705">
        <v>20250</v>
      </c>
      <c r="E239" s="479"/>
      <c r="F239" s="497"/>
      <c r="G239" s="479"/>
      <c r="H239" s="479"/>
      <c r="I239" s="498"/>
      <c r="J239" s="1042"/>
      <c r="K239" s="1042"/>
      <c r="L239" s="1042"/>
      <c r="M239" s="389"/>
      <c r="N239" s="1042"/>
      <c r="O239" s="1042"/>
      <c r="P239" s="1042"/>
      <c r="Q239" s="1042"/>
      <c r="R239" s="1042"/>
      <c r="S239" s="1042"/>
      <c r="T239" s="1042"/>
      <c r="U239" s="1042"/>
      <c r="V239" s="1042"/>
      <c r="W239" s="1042"/>
      <c r="X239" s="1042"/>
      <c r="Y239" s="1042"/>
      <c r="Z239" s="1042"/>
      <c r="AA239" s="1042"/>
      <c r="AB239" s="1042"/>
      <c r="AC239" s="1042"/>
      <c r="AD239" s="1042"/>
      <c r="AE239" s="1042"/>
      <c r="AF239" s="1042"/>
      <c r="AG239" s="1042"/>
      <c r="AH239" s="1042"/>
      <c r="AI239" s="1042"/>
      <c r="AJ239" s="1042"/>
      <c r="AK239" s="1042"/>
      <c r="AL239" s="1042"/>
      <c r="AM239" s="1042"/>
    </row>
    <row r="240" spans="1:39" s="451" customFormat="1" ht="15.75">
      <c r="A240" s="2104"/>
      <c r="B240" s="2068" t="s">
        <v>839</v>
      </c>
      <c r="C240" s="482" t="s">
        <v>948</v>
      </c>
      <c r="D240" s="702"/>
      <c r="E240" s="483"/>
      <c r="F240" s="484"/>
      <c r="G240" s="483"/>
      <c r="H240" s="483"/>
      <c r="I240" s="485"/>
      <c r="J240" s="1042"/>
      <c r="K240" s="1042"/>
      <c r="L240" s="1042"/>
      <c r="M240" s="389"/>
      <c r="N240" s="1042"/>
      <c r="O240" s="1042"/>
      <c r="P240" s="1042"/>
      <c r="Q240" s="1042"/>
      <c r="R240" s="1042"/>
      <c r="S240" s="1042"/>
      <c r="T240" s="1042"/>
      <c r="U240" s="1042"/>
      <c r="V240" s="1042"/>
      <c r="W240" s="1042"/>
      <c r="X240" s="1042"/>
      <c r="Y240" s="1042"/>
      <c r="Z240" s="1042"/>
      <c r="AA240" s="1042"/>
      <c r="AB240" s="1042"/>
      <c r="AC240" s="1042"/>
      <c r="AD240" s="1042"/>
      <c r="AE240" s="1042"/>
      <c r="AF240" s="1042"/>
      <c r="AG240" s="1042"/>
      <c r="AH240" s="1042"/>
      <c r="AI240" s="1042"/>
      <c r="AJ240" s="1042"/>
      <c r="AK240" s="1042"/>
      <c r="AL240" s="1042"/>
      <c r="AM240" s="1042"/>
    </row>
    <row r="241" spans="1:39" s="451" customFormat="1" ht="16.5" thickBot="1">
      <c r="A241" s="2105"/>
      <c r="B241" s="2069"/>
      <c r="C241" s="488"/>
      <c r="D241" s="706"/>
      <c r="E241" s="491">
        <v>20250</v>
      </c>
      <c r="F241" s="491">
        <v>20100</v>
      </c>
      <c r="G241" s="491">
        <v>19900</v>
      </c>
      <c r="H241" s="491">
        <v>19750</v>
      </c>
      <c r="I241" s="492">
        <v>19600</v>
      </c>
      <c r="J241" s="1042"/>
      <c r="K241" s="1042"/>
      <c r="L241" s="1042"/>
      <c r="M241" s="389"/>
      <c r="N241" s="260"/>
      <c r="O241" s="836"/>
      <c r="P241" s="1042"/>
      <c r="Q241" s="1042"/>
      <c r="R241" s="1042"/>
      <c r="S241" s="1042"/>
      <c r="T241" s="1042"/>
      <c r="U241" s="1042"/>
      <c r="V241" s="1042"/>
      <c r="W241" s="1042"/>
      <c r="X241" s="1042"/>
      <c r="Y241" s="1042"/>
      <c r="Z241" s="1042"/>
      <c r="AA241" s="1042"/>
      <c r="AB241" s="1042"/>
      <c r="AC241" s="1042"/>
      <c r="AD241" s="1042"/>
      <c r="AE241" s="1042"/>
      <c r="AF241" s="1042"/>
      <c r="AG241" s="1042"/>
      <c r="AH241" s="1042"/>
      <c r="AI241" s="1042"/>
      <c r="AJ241" s="1042"/>
      <c r="AK241" s="1042"/>
      <c r="AL241" s="1042"/>
      <c r="AM241" s="1042"/>
    </row>
    <row r="242" spans="1:39" s="451" customFormat="1" ht="22.5" customHeight="1">
      <c r="A242" s="2104" t="s">
        <v>849</v>
      </c>
      <c r="B242" s="1176" t="s">
        <v>849</v>
      </c>
      <c r="C242" s="499"/>
      <c r="D242" s="1177">
        <f>D244+D245</f>
        <v>79237</v>
      </c>
      <c r="E242" s="693"/>
      <c r="F242" s="1178"/>
      <c r="G242" s="1179"/>
      <c r="H242" s="1179"/>
      <c r="I242" s="500"/>
      <c r="J242" s="1042"/>
      <c r="K242" s="1042"/>
      <c r="L242" s="1042"/>
      <c r="M242" s="389"/>
      <c r="N242" s="1042"/>
      <c r="O242" s="1042"/>
      <c r="P242" s="1042"/>
      <c r="Q242" s="1042"/>
      <c r="R242" s="1042"/>
      <c r="S242" s="1042"/>
      <c r="T242" s="1042"/>
      <c r="U242" s="1042"/>
      <c r="V242" s="1042"/>
      <c r="W242" s="1042"/>
      <c r="X242" s="1042"/>
      <c r="Y242" s="1042"/>
      <c r="Z242" s="1042"/>
      <c r="AA242" s="1042"/>
      <c r="AB242" s="1042"/>
      <c r="AC242" s="1042"/>
      <c r="AD242" s="1042"/>
      <c r="AE242" s="1042"/>
      <c r="AF242" s="1042"/>
      <c r="AG242" s="1042"/>
      <c r="AH242" s="1042"/>
      <c r="AI242" s="1042"/>
      <c r="AJ242" s="1042"/>
      <c r="AK242" s="1042"/>
      <c r="AL242" s="1042"/>
      <c r="AM242" s="1042"/>
    </row>
    <row r="243" spans="1:39" s="451" customFormat="1" ht="15.75">
      <c r="A243" s="2104"/>
      <c r="B243" s="689" t="s">
        <v>850</v>
      </c>
      <c r="C243" s="691"/>
      <c r="D243" s="707"/>
      <c r="E243" s="694">
        <f>D242</f>
        <v>79237</v>
      </c>
      <c r="F243" s="682">
        <f>D242</f>
        <v>79237</v>
      </c>
      <c r="G243" s="502">
        <f>D242</f>
        <v>79237</v>
      </c>
      <c r="H243" s="502">
        <f>D242</f>
        <v>79237</v>
      </c>
      <c r="I243" s="503">
        <f>D242</f>
        <v>79237</v>
      </c>
      <c r="J243" s="1042"/>
      <c r="K243" s="1042"/>
      <c r="L243" s="1042"/>
      <c r="M243" s="389"/>
      <c r="N243" s="1042"/>
      <c r="O243" s="1042"/>
      <c r="P243" s="1042"/>
      <c r="Q243" s="1042"/>
      <c r="R243" s="1042"/>
      <c r="S243" s="1042"/>
      <c r="T243" s="1042"/>
      <c r="U243" s="1042"/>
      <c r="V243" s="1042"/>
      <c r="W243" s="1042"/>
      <c r="X243" s="1042"/>
      <c r="Y243" s="1042"/>
      <c r="Z243" s="1042"/>
      <c r="AA243" s="1042"/>
      <c r="AB243" s="1042"/>
      <c r="AC243" s="1042"/>
      <c r="AD243" s="1042"/>
      <c r="AE243" s="1042"/>
      <c r="AF243" s="1042"/>
      <c r="AG243" s="1042"/>
      <c r="AH243" s="1042"/>
      <c r="AI243" s="1042"/>
      <c r="AJ243" s="1042"/>
      <c r="AK243" s="1042"/>
      <c r="AL243" s="1042"/>
      <c r="AM243" s="1042"/>
    </row>
    <row r="244" spans="1:39" s="451" customFormat="1" ht="15.75">
      <c r="A244" s="2104"/>
      <c r="B244" s="1041" t="s">
        <v>851</v>
      </c>
      <c r="C244" s="691" t="s">
        <v>1033</v>
      </c>
      <c r="D244" s="708">
        <v>71937</v>
      </c>
      <c r="E244" s="695">
        <f>D244</f>
        <v>71937</v>
      </c>
      <c r="F244" s="683">
        <f>D244</f>
        <v>71937</v>
      </c>
      <c r="G244" s="505">
        <f>D244</f>
        <v>71937</v>
      </c>
      <c r="H244" s="505">
        <f>D244</f>
        <v>71937</v>
      </c>
      <c r="I244" s="506">
        <f>D244</f>
        <v>71937</v>
      </c>
      <c r="J244" s="1042"/>
      <c r="K244" s="1042"/>
      <c r="L244" s="1042"/>
      <c r="M244" s="389"/>
      <c r="N244" s="1042"/>
      <c r="O244" s="1042"/>
      <c r="P244" s="1042"/>
      <c r="Q244" s="1042"/>
      <c r="R244" s="1042"/>
      <c r="S244" s="1042"/>
      <c r="T244" s="1042"/>
      <c r="U244" s="1042"/>
      <c r="V244" s="1042"/>
      <c r="W244" s="1042"/>
      <c r="X244" s="1042"/>
      <c r="Y244" s="1042"/>
      <c r="Z244" s="1042"/>
      <c r="AA244" s="1042"/>
      <c r="AB244" s="1042"/>
      <c r="AC244" s="1042"/>
      <c r="AD244" s="1042"/>
      <c r="AE244" s="1042"/>
      <c r="AF244" s="1042"/>
      <c r="AG244" s="1042"/>
      <c r="AH244" s="1042"/>
      <c r="AI244" s="1042"/>
      <c r="AJ244" s="1042"/>
      <c r="AK244" s="1042"/>
      <c r="AL244" s="1042"/>
      <c r="AM244" s="1042"/>
    </row>
    <row r="245" spans="1:39" s="451" customFormat="1" ht="16.5" thickBot="1">
      <c r="A245" s="2105"/>
      <c r="B245" s="690" t="s">
        <v>853</v>
      </c>
      <c r="C245" s="692" t="s">
        <v>953</v>
      </c>
      <c r="D245" s="709">
        <v>7300</v>
      </c>
      <c r="E245" s="696">
        <f>D245</f>
        <v>7300</v>
      </c>
      <c r="F245" s="684">
        <f>D245</f>
        <v>7300</v>
      </c>
      <c r="G245" s="507">
        <f>D245</f>
        <v>7300</v>
      </c>
      <c r="H245" s="507">
        <f>D245</f>
        <v>7300</v>
      </c>
      <c r="I245" s="508">
        <f>D245</f>
        <v>7300</v>
      </c>
      <c r="J245" s="1042"/>
      <c r="K245" s="1042"/>
      <c r="L245" s="1042"/>
      <c r="M245" s="389"/>
      <c r="N245" s="1042"/>
      <c r="O245" s="1042"/>
      <c r="P245" s="1042"/>
      <c r="Q245" s="1042"/>
      <c r="R245" s="1042"/>
      <c r="S245" s="1042"/>
      <c r="T245" s="1042"/>
      <c r="U245" s="1042"/>
      <c r="V245" s="1042"/>
      <c r="W245" s="1042"/>
      <c r="X245" s="1042"/>
      <c r="Y245" s="1042"/>
      <c r="Z245" s="1042"/>
      <c r="AA245" s="1042"/>
      <c r="AB245" s="1042"/>
      <c r="AC245" s="1042"/>
      <c r="AD245" s="1042"/>
      <c r="AE245" s="1042"/>
      <c r="AF245" s="1042"/>
      <c r="AG245" s="1042"/>
      <c r="AH245" s="1042"/>
      <c r="AI245" s="1042"/>
      <c r="AJ245" s="1042"/>
      <c r="AK245" s="1042"/>
      <c r="AL245" s="1042"/>
      <c r="AM245" s="1042"/>
    </row>
    <row r="246" spans="1:39" s="451" customFormat="1" ht="19.5" customHeight="1" thickBot="1">
      <c r="A246" s="1029"/>
      <c r="B246" s="1029"/>
      <c r="C246" s="1029"/>
      <c r="D246" s="1026"/>
      <c r="E246" s="2057" t="s">
        <v>959</v>
      </c>
      <c r="F246" s="2058"/>
      <c r="G246" s="2058"/>
      <c r="H246" s="2058"/>
      <c r="I246" s="2058"/>
      <c r="J246" s="2059"/>
      <c r="K246" s="2057" t="s">
        <v>1244</v>
      </c>
      <c r="L246" s="2058"/>
      <c r="M246" s="2058"/>
      <c r="N246" s="2058"/>
      <c r="O246" s="2058"/>
      <c r="P246" s="2058"/>
      <c r="Q246" s="2058"/>
      <c r="R246" s="2058"/>
      <c r="S246" s="2059"/>
      <c r="T246" s="1042"/>
      <c r="U246" s="1042"/>
      <c r="V246" s="1042"/>
      <c r="W246" s="1042"/>
      <c r="X246" s="1042"/>
      <c r="Y246" s="1042"/>
      <c r="Z246" s="1042"/>
      <c r="AA246" s="1042"/>
      <c r="AB246" s="1042"/>
      <c r="AC246" s="1042"/>
      <c r="AD246" s="1042"/>
      <c r="AE246" s="1042"/>
      <c r="AF246" s="1042"/>
      <c r="AG246" s="1042"/>
      <c r="AH246" s="1042"/>
      <c r="AI246" s="1042"/>
      <c r="AJ246" s="1042"/>
      <c r="AK246" s="1042"/>
      <c r="AL246" s="1042"/>
      <c r="AM246" s="1042"/>
    </row>
    <row r="247" spans="1:39" s="390" customFormat="1" ht="29.25" customHeight="1">
      <c r="A247" s="2062" t="s">
        <v>854</v>
      </c>
      <c r="B247" s="744" t="s">
        <v>960</v>
      </c>
      <c r="C247" s="425"/>
      <c r="D247" s="426"/>
      <c r="E247" s="509">
        <v>2021</v>
      </c>
      <c r="F247" s="685">
        <v>2022</v>
      </c>
      <c r="G247" s="425">
        <v>2023</v>
      </c>
      <c r="H247" s="425">
        <v>2024</v>
      </c>
      <c r="I247" s="425">
        <v>2025</v>
      </c>
      <c r="J247" s="510" t="s">
        <v>101</v>
      </c>
      <c r="K247" s="509">
        <v>2021</v>
      </c>
      <c r="L247" s="425">
        <v>2022</v>
      </c>
      <c r="M247" s="425">
        <v>2023</v>
      </c>
      <c r="N247" s="425">
        <v>2024</v>
      </c>
      <c r="O247" s="425">
        <v>2025</v>
      </c>
      <c r="P247" s="510" t="s">
        <v>101</v>
      </c>
      <c r="Q247" s="511" t="s">
        <v>826</v>
      </c>
      <c r="R247" s="512" t="s">
        <v>828</v>
      </c>
      <c r="S247" s="513" t="s">
        <v>829</v>
      </c>
      <c r="T247" s="1042"/>
      <c r="U247" s="1042"/>
      <c r="V247" s="1042"/>
      <c r="W247" s="1042"/>
      <c r="X247" s="1042"/>
      <c r="Y247" s="1042"/>
      <c r="Z247" s="1042"/>
      <c r="AA247" s="1042"/>
      <c r="AB247" s="1042"/>
      <c r="AC247" s="1042"/>
      <c r="AD247" s="1042"/>
      <c r="AE247" s="1042"/>
      <c r="AF247" s="1042"/>
      <c r="AG247" s="1042"/>
      <c r="AH247" s="1042"/>
      <c r="AI247" s="1042"/>
      <c r="AJ247" s="1042"/>
      <c r="AK247" s="1042"/>
    </row>
    <row r="248" spans="1:39" s="451" customFormat="1" ht="18.75" customHeight="1">
      <c r="A248" s="2063"/>
      <c r="B248" s="714" t="s">
        <v>837</v>
      </c>
      <c r="C248" s="501" t="s">
        <v>856</v>
      </c>
      <c r="D248" s="514"/>
      <c r="E248" s="844">
        <f>E220</f>
        <v>41160</v>
      </c>
      <c r="F248" s="516">
        <f t="shared" ref="F248:I248" si="107">F220</f>
        <v>40748.400000000001</v>
      </c>
      <c r="G248" s="516">
        <f t="shared" si="107"/>
        <v>40340.915999999997</v>
      </c>
      <c r="H248" s="516">
        <f t="shared" si="107"/>
        <v>39937.506840000002</v>
      </c>
      <c r="I248" s="845">
        <f t="shared" si="107"/>
        <v>39538.131771600005</v>
      </c>
      <c r="J248" s="517">
        <f t="shared" ref="J248:J256" si="108">SUM(E248:I248)</f>
        <v>201724.95461159997</v>
      </c>
      <c r="K248" s="716">
        <f>ROUNDUP(E248*1.15,-1)</f>
        <v>47340</v>
      </c>
      <c r="L248" s="717">
        <f>ROUNDUP(F248*1.15,-1)</f>
        <v>46870</v>
      </c>
      <c r="M248" s="717">
        <f t="shared" ref="M248:O252" si="109">ROUNDUP(G248*1.15,-1)</f>
        <v>46400</v>
      </c>
      <c r="N248" s="717">
        <f t="shared" si="109"/>
        <v>45930</v>
      </c>
      <c r="O248" s="717">
        <f t="shared" si="109"/>
        <v>45470</v>
      </c>
      <c r="P248" s="715">
        <f t="shared" ref="P248:P257" si="110">SUM(K248:O248)</f>
        <v>232010</v>
      </c>
      <c r="Q248" s="718">
        <v>36</v>
      </c>
      <c r="R248" s="719">
        <v>34</v>
      </c>
      <c r="S248" s="720">
        <f>SUM(Q248:R248)</f>
        <v>70</v>
      </c>
      <c r="T248" s="721"/>
      <c r="U248" s="721"/>
      <c r="V248" s="721"/>
      <c r="W248" s="721"/>
      <c r="X248" s="721"/>
      <c r="Y248" s="721"/>
      <c r="Z248" s="721"/>
      <c r="AA248" s="721"/>
      <c r="AB248" s="721"/>
      <c r="AC248" s="721"/>
      <c r="AD248" s="721"/>
      <c r="AE248" s="721"/>
      <c r="AF248" s="721"/>
      <c r="AG248" s="721"/>
      <c r="AH248" s="721"/>
      <c r="AI248" s="721"/>
      <c r="AJ248" s="721"/>
      <c r="AK248" s="721"/>
    </row>
    <row r="249" spans="1:39" s="451" customFormat="1" ht="18.75" customHeight="1">
      <c r="A249" s="2063"/>
      <c r="B249" s="714" t="s">
        <v>842</v>
      </c>
      <c r="C249" s="501" t="s">
        <v>857</v>
      </c>
      <c r="E249" s="515">
        <f>E229</f>
        <v>472.5</v>
      </c>
      <c r="F249" s="516">
        <f>F229</f>
        <v>483</v>
      </c>
      <c r="G249" s="516">
        <f t="shared" ref="G249:I249" si="111">G229</f>
        <v>493.5</v>
      </c>
      <c r="H249" s="516">
        <f t="shared" si="111"/>
        <v>504</v>
      </c>
      <c r="I249" s="516">
        <f t="shared" si="111"/>
        <v>514.5</v>
      </c>
      <c r="J249" s="517">
        <f t="shared" si="108"/>
        <v>2467.5</v>
      </c>
      <c r="K249" s="716">
        <f>ROUNDUP(E249*1.15,-1)</f>
        <v>550</v>
      </c>
      <c r="L249" s="717">
        <f t="shared" ref="L249:L252" si="112">ROUNDUP(F249*1.15,-1)</f>
        <v>560</v>
      </c>
      <c r="M249" s="717">
        <f t="shared" si="109"/>
        <v>570</v>
      </c>
      <c r="N249" s="717">
        <f t="shared" si="109"/>
        <v>580</v>
      </c>
      <c r="O249" s="717">
        <f t="shared" si="109"/>
        <v>600</v>
      </c>
      <c r="P249" s="715">
        <f t="shared" si="110"/>
        <v>2860</v>
      </c>
      <c r="Q249" s="718">
        <v>316</v>
      </c>
      <c r="R249" s="719">
        <v>55</v>
      </c>
      <c r="S249" s="720">
        <f>SUM(Q249:R249)</f>
        <v>371</v>
      </c>
      <c r="T249" s="721"/>
      <c r="U249" s="721"/>
      <c r="V249" s="721"/>
      <c r="W249" s="721"/>
      <c r="X249" s="721"/>
      <c r="Y249" s="721"/>
      <c r="Z249" s="721"/>
      <c r="AA249" s="721"/>
      <c r="AB249" s="721"/>
      <c r="AC249" s="721"/>
      <c r="AD249" s="721"/>
      <c r="AE249" s="721"/>
      <c r="AF249" s="721"/>
      <c r="AG249" s="721"/>
      <c r="AH249" s="721"/>
      <c r="AI249" s="721"/>
      <c r="AJ249" s="721"/>
      <c r="AK249" s="721"/>
    </row>
    <row r="250" spans="1:39" s="451" customFormat="1" ht="18.75" customHeight="1">
      <c r="A250" s="2063"/>
      <c r="B250" s="504" t="s">
        <v>844</v>
      </c>
      <c r="C250" s="501" t="s">
        <v>843</v>
      </c>
      <c r="D250" s="722"/>
      <c r="E250" s="515">
        <f>E234</f>
        <v>57018.203999999998</v>
      </c>
      <c r="F250" s="516">
        <f>F234</f>
        <v>58158.568079999997</v>
      </c>
      <c r="G250" s="516">
        <f t="shared" ref="G250:I250" si="113">G234</f>
        <v>59321.739441599995</v>
      </c>
      <c r="H250" s="516">
        <f t="shared" si="113"/>
        <v>60508.174230431992</v>
      </c>
      <c r="I250" s="516">
        <f t="shared" si="113"/>
        <v>61718.33771504063</v>
      </c>
      <c r="J250" s="517">
        <f t="shared" si="108"/>
        <v>296725.02346707263</v>
      </c>
      <c r="K250" s="716">
        <f t="shared" ref="K250:N256" si="114">ROUNDUP(E250*1.15,-1)</f>
        <v>65580</v>
      </c>
      <c r="L250" s="717">
        <f t="shared" si="112"/>
        <v>66890</v>
      </c>
      <c r="M250" s="717">
        <f t="shared" si="109"/>
        <v>68230</v>
      </c>
      <c r="N250" s="717">
        <f t="shared" si="109"/>
        <v>69590</v>
      </c>
      <c r="O250" s="717">
        <f t="shared" si="109"/>
        <v>70980</v>
      </c>
      <c r="P250" s="715">
        <f t="shared" si="110"/>
        <v>341270</v>
      </c>
      <c r="Q250" s="718">
        <v>36</v>
      </c>
      <c r="R250" s="719">
        <v>34</v>
      </c>
      <c r="S250" s="720">
        <f>SUM(Q250:R250)</f>
        <v>70</v>
      </c>
      <c r="T250" s="721"/>
      <c r="U250" s="721"/>
      <c r="V250" s="721"/>
      <c r="W250" s="721"/>
      <c r="X250" s="721"/>
      <c r="Y250" s="721"/>
      <c r="Z250" s="721"/>
      <c r="AA250" s="721"/>
      <c r="AB250" s="721"/>
      <c r="AC250" s="721"/>
      <c r="AD250" s="721"/>
      <c r="AE250" s="721"/>
      <c r="AF250" s="721"/>
      <c r="AG250" s="721"/>
      <c r="AH250" s="721"/>
      <c r="AI250" s="721"/>
      <c r="AJ250" s="721"/>
      <c r="AK250" s="721"/>
    </row>
    <row r="251" spans="1:39" s="451" customFormat="1" ht="18.75" customHeight="1">
      <c r="A251" s="2063"/>
      <c r="B251" s="520" t="s">
        <v>846</v>
      </c>
      <c r="C251" s="501" t="s">
        <v>845</v>
      </c>
      <c r="D251" s="722"/>
      <c r="E251" s="515">
        <f>E236</f>
        <v>37639.468000000001</v>
      </c>
      <c r="F251" s="516">
        <f>F236</f>
        <v>38015.862679999998</v>
      </c>
      <c r="G251" s="516">
        <f t="shared" ref="G251:I251" si="115">G236</f>
        <v>38396.021306800001</v>
      </c>
      <c r="H251" s="516">
        <f t="shared" si="115"/>
        <v>38779.981519868001</v>
      </c>
      <c r="I251" s="516">
        <f t="shared" si="115"/>
        <v>39167.781335066684</v>
      </c>
      <c r="J251" s="517">
        <f t="shared" si="108"/>
        <v>191999.11484173467</v>
      </c>
      <c r="K251" s="716">
        <f t="shared" si="114"/>
        <v>43290</v>
      </c>
      <c r="L251" s="717">
        <f t="shared" si="112"/>
        <v>43720</v>
      </c>
      <c r="M251" s="717">
        <f t="shared" si="109"/>
        <v>44160</v>
      </c>
      <c r="N251" s="717">
        <f t="shared" si="109"/>
        <v>44600</v>
      </c>
      <c r="O251" s="717">
        <f t="shared" si="109"/>
        <v>45050</v>
      </c>
      <c r="P251" s="715">
        <f t="shared" si="110"/>
        <v>220820</v>
      </c>
      <c r="Q251" s="718">
        <v>13</v>
      </c>
      <c r="R251" s="719">
        <v>34</v>
      </c>
      <c r="S251" s="720">
        <f>SUM(Q251:R251)</f>
        <v>47</v>
      </c>
      <c r="T251" s="721"/>
      <c r="U251" s="721"/>
      <c r="V251" s="721"/>
      <c r="W251" s="721"/>
      <c r="X251" s="721"/>
      <c r="Y251" s="721"/>
      <c r="Z251" s="721"/>
      <c r="AA251" s="721"/>
      <c r="AB251" s="721"/>
      <c r="AC251" s="721"/>
      <c r="AD251" s="721"/>
      <c r="AE251" s="721"/>
      <c r="AF251" s="721"/>
      <c r="AG251" s="721"/>
      <c r="AH251" s="721"/>
      <c r="AI251" s="721"/>
      <c r="AJ251" s="721"/>
      <c r="AK251" s="721"/>
    </row>
    <row r="252" spans="1:39" s="451" customFormat="1" ht="18.75" customHeight="1">
      <c r="A252" s="2063"/>
      <c r="B252" s="723" t="s">
        <v>847</v>
      </c>
      <c r="C252" s="501" t="s">
        <v>845</v>
      </c>
      <c r="D252" s="722"/>
      <c r="E252" s="515">
        <f>E238</f>
        <v>551936.72</v>
      </c>
      <c r="F252" s="516">
        <f>F238</f>
        <v>557456.08719999995</v>
      </c>
      <c r="G252" s="516">
        <f t="shared" ref="G252:I252" si="116">G238</f>
        <v>563030.64807199989</v>
      </c>
      <c r="H252" s="516">
        <f t="shared" si="116"/>
        <v>568660.95455271984</v>
      </c>
      <c r="I252" s="516">
        <f t="shared" si="116"/>
        <v>574347.56409824698</v>
      </c>
      <c r="J252" s="517">
        <f t="shared" si="108"/>
        <v>2815431.9739229665</v>
      </c>
      <c r="K252" s="716">
        <f t="shared" si="114"/>
        <v>634730</v>
      </c>
      <c r="L252" s="717">
        <f t="shared" si="112"/>
        <v>641080</v>
      </c>
      <c r="M252" s="717">
        <f t="shared" si="109"/>
        <v>647490</v>
      </c>
      <c r="N252" s="717">
        <f t="shared" si="109"/>
        <v>653970</v>
      </c>
      <c r="O252" s="717">
        <f t="shared" si="109"/>
        <v>660500</v>
      </c>
      <c r="P252" s="715">
        <f t="shared" si="110"/>
        <v>3237770</v>
      </c>
      <c r="Q252" s="718">
        <v>1.5</v>
      </c>
      <c r="R252" s="719">
        <v>42</v>
      </c>
      <c r="S252" s="720">
        <f>SUM(Q252:R252)</f>
        <v>43.5</v>
      </c>
      <c r="T252" s="721"/>
      <c r="U252" s="721"/>
      <c r="V252" s="721"/>
      <c r="W252" s="721"/>
      <c r="X252" s="721"/>
      <c r="Y252" s="721"/>
      <c r="Z252" s="721"/>
      <c r="AA252" s="721"/>
      <c r="AB252" s="721"/>
      <c r="AC252" s="721"/>
      <c r="AD252" s="721"/>
      <c r="AE252" s="721"/>
      <c r="AF252" s="721"/>
      <c r="AG252" s="721"/>
      <c r="AH252" s="721"/>
      <c r="AI252" s="721"/>
      <c r="AJ252" s="721"/>
      <c r="AK252" s="721"/>
    </row>
    <row r="253" spans="1:39" s="451" customFormat="1" ht="18.75" customHeight="1" thickBot="1">
      <c r="A253" s="2064"/>
      <c r="B253" s="724" t="s">
        <v>954</v>
      </c>
      <c r="C253" s="521" t="s">
        <v>852</v>
      </c>
      <c r="D253" s="725"/>
      <c r="E253" s="522">
        <f>E244</f>
        <v>71937</v>
      </c>
      <c r="F253" s="523">
        <f>F244</f>
        <v>71937</v>
      </c>
      <c r="G253" s="523">
        <f t="shared" ref="G253:I253" si="117">G244</f>
        <v>71937</v>
      </c>
      <c r="H253" s="523">
        <f t="shared" si="117"/>
        <v>71937</v>
      </c>
      <c r="I253" s="523">
        <f t="shared" si="117"/>
        <v>71937</v>
      </c>
      <c r="J253" s="524">
        <f t="shared" si="108"/>
        <v>359685</v>
      </c>
      <c r="K253" s="727">
        <f>E253</f>
        <v>71937</v>
      </c>
      <c r="L253" s="728">
        <f>F253</f>
        <v>71937</v>
      </c>
      <c r="M253" s="728">
        <f t="shared" ref="M253:O253" si="118">G253</f>
        <v>71937</v>
      </c>
      <c r="N253" s="728">
        <f t="shared" si="118"/>
        <v>71937</v>
      </c>
      <c r="O253" s="728">
        <f t="shared" si="118"/>
        <v>71937</v>
      </c>
      <c r="P253" s="715">
        <f t="shared" si="110"/>
        <v>359685</v>
      </c>
      <c r="Q253" s="729"/>
      <c r="R253" s="730"/>
      <c r="S253" s="731"/>
      <c r="T253" s="721"/>
      <c r="U253" s="721"/>
      <c r="V253" s="721"/>
      <c r="W253" s="721"/>
      <c r="X253" s="721"/>
      <c r="Y253" s="721"/>
      <c r="Z253" s="721"/>
      <c r="AA253" s="721"/>
      <c r="AB253" s="721"/>
      <c r="AC253" s="721"/>
      <c r="AD253" s="721"/>
      <c r="AE253" s="721"/>
      <c r="AF253" s="721"/>
      <c r="AG253" s="721"/>
      <c r="AH253" s="721"/>
      <c r="AI253" s="721"/>
      <c r="AJ253" s="721"/>
      <c r="AK253" s="721"/>
    </row>
    <row r="254" spans="1:39" s="451" customFormat="1" ht="18.75" customHeight="1">
      <c r="A254" s="2093" t="s">
        <v>858</v>
      </c>
      <c r="B254" s="732" t="s">
        <v>1035</v>
      </c>
      <c r="C254" s="750" t="s">
        <v>859</v>
      </c>
      <c r="D254" s="733"/>
      <c r="E254" s="527">
        <f>E223</f>
        <v>6820</v>
      </c>
      <c r="F254" s="528">
        <f>F223</f>
        <v>6500</v>
      </c>
      <c r="G254" s="528">
        <f t="shared" ref="G254:I254" si="119">G223</f>
        <v>6220</v>
      </c>
      <c r="H254" s="528">
        <f t="shared" si="119"/>
        <v>6100</v>
      </c>
      <c r="I254" s="528">
        <f t="shared" si="119"/>
        <v>5980</v>
      </c>
      <c r="J254" s="529">
        <f t="shared" si="108"/>
        <v>31620</v>
      </c>
      <c r="K254" s="735">
        <f t="shared" ref="K254:L256" si="120">ROUNDUP(E254*1.15,-1)</f>
        <v>7850</v>
      </c>
      <c r="L254" s="736">
        <f t="shared" si="120"/>
        <v>7480</v>
      </c>
      <c r="M254" s="736">
        <f t="shared" si="114"/>
        <v>7160</v>
      </c>
      <c r="N254" s="736">
        <f t="shared" si="114"/>
        <v>7020</v>
      </c>
      <c r="O254" s="736">
        <f>ROUNDUP(I254*1.15,-1)</f>
        <v>6880</v>
      </c>
      <c r="P254" s="734">
        <f t="shared" si="110"/>
        <v>36390</v>
      </c>
      <c r="Q254" s="737">
        <v>8</v>
      </c>
      <c r="R254" s="1429">
        <v>42</v>
      </c>
      <c r="S254" s="739">
        <f>SUM(Q254:R254)</f>
        <v>50</v>
      </c>
      <c r="T254" s="721"/>
      <c r="U254" s="721"/>
      <c r="V254" s="721"/>
      <c r="W254" s="721"/>
      <c r="X254" s="721"/>
      <c r="Y254" s="721"/>
      <c r="Z254" s="721"/>
      <c r="AA254" s="721"/>
      <c r="AB254" s="721"/>
      <c r="AC254" s="721"/>
      <c r="AD254" s="721"/>
      <c r="AE254" s="721"/>
      <c r="AF254" s="721"/>
      <c r="AG254" s="721"/>
      <c r="AH254" s="721"/>
      <c r="AI254" s="721"/>
      <c r="AJ254" s="721"/>
      <c r="AK254" s="721"/>
    </row>
    <row r="255" spans="1:39" s="451" customFormat="1" ht="18.75" customHeight="1">
      <c r="A255" s="2093"/>
      <c r="B255" s="686" t="s">
        <v>860</v>
      </c>
      <c r="C255" s="501" t="s">
        <v>861</v>
      </c>
      <c r="D255" s="722"/>
      <c r="E255" s="515">
        <f>E231</f>
        <v>202.5</v>
      </c>
      <c r="F255" s="516">
        <f>F231</f>
        <v>207</v>
      </c>
      <c r="G255" s="516">
        <f t="shared" ref="G255:I255" si="121">G231</f>
        <v>211.5</v>
      </c>
      <c r="H255" s="516">
        <f t="shared" si="121"/>
        <v>216</v>
      </c>
      <c r="I255" s="516">
        <f t="shared" si="121"/>
        <v>220.5</v>
      </c>
      <c r="J255" s="517">
        <f t="shared" si="108"/>
        <v>1057.5</v>
      </c>
      <c r="K255" s="716">
        <f t="shared" si="120"/>
        <v>240</v>
      </c>
      <c r="L255" s="717">
        <f t="shared" si="120"/>
        <v>240</v>
      </c>
      <c r="M255" s="717">
        <f>ROUNDUP(G255*1.15,-1)</f>
        <v>250</v>
      </c>
      <c r="N255" s="717">
        <f t="shared" si="114"/>
        <v>250</v>
      </c>
      <c r="O255" s="717">
        <f>ROUNDUP(I255*1.15,-1)</f>
        <v>260</v>
      </c>
      <c r="P255" s="715">
        <f t="shared" si="110"/>
        <v>1240</v>
      </c>
      <c r="Q255" s="718">
        <v>316</v>
      </c>
      <c r="R255" s="719"/>
      <c r="S255" s="720"/>
      <c r="T255" s="721"/>
      <c r="U255" s="721"/>
      <c r="V255" s="721"/>
      <c r="W255" s="721"/>
      <c r="X255" s="721"/>
      <c r="Y255" s="721"/>
      <c r="Z255" s="721"/>
      <c r="AA255" s="721"/>
      <c r="AB255" s="721"/>
      <c r="AC255" s="721"/>
      <c r="AD255" s="721"/>
      <c r="AE255" s="721"/>
      <c r="AF255" s="721"/>
      <c r="AG255" s="721"/>
      <c r="AH255" s="721"/>
      <c r="AI255" s="721"/>
      <c r="AJ255" s="721"/>
      <c r="AK255" s="721"/>
    </row>
    <row r="256" spans="1:39" s="451" customFormat="1" ht="18.75" customHeight="1">
      <c r="A256" s="2093"/>
      <c r="B256" s="740" t="s">
        <v>862</v>
      </c>
      <c r="C256" s="501" t="s">
        <v>835</v>
      </c>
      <c r="D256" s="722"/>
      <c r="E256" s="515">
        <f>E241</f>
        <v>20250</v>
      </c>
      <c r="F256" s="516">
        <f>F241</f>
        <v>20100</v>
      </c>
      <c r="G256" s="516">
        <f t="shared" ref="G256:I256" si="122">G241</f>
        <v>19900</v>
      </c>
      <c r="H256" s="516">
        <f t="shared" si="122"/>
        <v>19750</v>
      </c>
      <c r="I256" s="516">
        <f t="shared" si="122"/>
        <v>19600</v>
      </c>
      <c r="J256" s="517">
        <f t="shared" si="108"/>
        <v>99600</v>
      </c>
      <c r="K256" s="716">
        <f t="shared" si="120"/>
        <v>23290</v>
      </c>
      <c r="L256" s="717">
        <f t="shared" si="120"/>
        <v>23120</v>
      </c>
      <c r="M256" s="717">
        <f t="shared" si="114"/>
        <v>22890</v>
      </c>
      <c r="N256" s="717">
        <f t="shared" si="114"/>
        <v>22720</v>
      </c>
      <c r="O256" s="717">
        <f>ROUNDUP(I256*1.15,-1)</f>
        <v>22540</v>
      </c>
      <c r="P256" s="715">
        <f t="shared" si="110"/>
        <v>114560</v>
      </c>
      <c r="Q256" s="718">
        <v>8</v>
      </c>
      <c r="R256" s="719"/>
      <c r="S256" s="720"/>
      <c r="T256" s="721"/>
      <c r="U256" s="721"/>
      <c r="V256" s="721"/>
      <c r="W256" s="721"/>
      <c r="X256" s="721"/>
      <c r="Y256" s="721"/>
      <c r="Z256" s="721"/>
      <c r="AA256" s="721"/>
      <c r="AB256" s="721"/>
      <c r="AC256" s="721"/>
      <c r="AD256" s="721"/>
      <c r="AE256" s="721"/>
      <c r="AF256" s="721"/>
      <c r="AG256" s="721"/>
      <c r="AH256" s="721"/>
      <c r="AI256" s="721"/>
      <c r="AJ256" s="721"/>
      <c r="AK256" s="721"/>
    </row>
    <row r="257" spans="1:43" s="451" customFormat="1" ht="18.75" customHeight="1" thickBot="1">
      <c r="A257" s="2093"/>
      <c r="B257" s="740" t="s">
        <v>853</v>
      </c>
      <c r="C257" s="1029" t="s">
        <v>863</v>
      </c>
      <c r="D257" s="741"/>
      <c r="E257" s="530">
        <f>E245</f>
        <v>7300</v>
      </c>
      <c r="F257" s="531">
        <f>F245</f>
        <v>7300</v>
      </c>
      <c r="G257" s="531">
        <f t="shared" ref="G257:I257" si="123">G245</f>
        <v>7300</v>
      </c>
      <c r="H257" s="531">
        <f t="shared" si="123"/>
        <v>7300</v>
      </c>
      <c r="I257" s="531">
        <f t="shared" si="123"/>
        <v>7300</v>
      </c>
      <c r="J257" s="524">
        <f>SUM(E257:I257)</f>
        <v>36500</v>
      </c>
      <c r="K257" s="727">
        <f>E257</f>
        <v>7300</v>
      </c>
      <c r="L257" s="728">
        <f>F257</f>
        <v>7300</v>
      </c>
      <c r="M257" s="728">
        <f t="shared" ref="M257:O257" si="124">G257</f>
        <v>7300</v>
      </c>
      <c r="N257" s="728">
        <f t="shared" si="124"/>
        <v>7300</v>
      </c>
      <c r="O257" s="728">
        <f t="shared" si="124"/>
        <v>7300</v>
      </c>
      <c r="P257" s="726">
        <f t="shared" si="110"/>
        <v>36500</v>
      </c>
      <c r="Q257" s="737"/>
      <c r="R257" s="738"/>
      <c r="S257" s="739">
        <f>SUM(Q257:R257)</f>
        <v>0</v>
      </c>
      <c r="T257" s="721"/>
      <c r="U257" s="721"/>
      <c r="V257" s="721"/>
      <c r="W257" s="721"/>
      <c r="X257" s="721"/>
      <c r="Y257" s="721"/>
      <c r="Z257" s="721"/>
      <c r="AA257" s="721"/>
      <c r="AB257" s="721"/>
      <c r="AC257" s="721"/>
      <c r="AD257" s="721"/>
      <c r="AE257" s="721"/>
      <c r="AF257" s="721"/>
      <c r="AG257" s="721"/>
      <c r="AH257" s="721"/>
      <c r="AI257" s="721"/>
      <c r="AJ257" s="721"/>
      <c r="AK257" s="721"/>
    </row>
    <row r="258" spans="1:43" s="721" customFormat="1" ht="19.5" customHeight="1" thickBot="1">
      <c r="A258" s="742"/>
      <c r="B258" s="532" t="s">
        <v>864</v>
      </c>
      <c r="C258" s="443"/>
      <c r="D258" s="443"/>
      <c r="E258" s="533"/>
      <c r="F258" s="534"/>
      <c r="G258" s="533"/>
      <c r="H258" s="533"/>
      <c r="I258" s="533"/>
      <c r="J258" s="533"/>
      <c r="K258" s="535"/>
      <c r="L258" s="535"/>
      <c r="M258" s="535"/>
      <c r="N258" s="535"/>
      <c r="O258" s="535"/>
      <c r="P258" s="535"/>
      <c r="Q258" s="536"/>
      <c r="R258" s="743" t="s">
        <v>865</v>
      </c>
      <c r="S258" s="537"/>
      <c r="AL258" s="451"/>
      <c r="AM258" s="451"/>
      <c r="AN258" s="451"/>
    </row>
    <row r="259" spans="1:43">
      <c r="AL259" s="390"/>
      <c r="AM259" s="390"/>
      <c r="AN259" s="390"/>
    </row>
    <row r="260" spans="1:43" ht="19.5" thickBot="1">
      <c r="B260" s="388" t="s">
        <v>801</v>
      </c>
      <c r="T260" s="390"/>
      <c r="U260" s="390"/>
      <c r="V260" s="390"/>
      <c r="W260" s="390"/>
      <c r="X260" s="390"/>
      <c r="Y260" s="390"/>
      <c r="Z260" s="390"/>
      <c r="AA260" s="390"/>
      <c r="AB260" s="390"/>
      <c r="AC260" s="390"/>
      <c r="AD260" s="390"/>
      <c r="AE260" s="390"/>
      <c r="AF260" s="390"/>
      <c r="AG260" s="390"/>
      <c r="AH260" s="390"/>
      <c r="AI260" s="390"/>
      <c r="AJ260" s="390"/>
      <c r="AK260" s="390"/>
      <c r="AL260" s="390"/>
      <c r="AM260" s="390"/>
      <c r="AN260" s="390"/>
      <c r="AO260" s="390"/>
      <c r="AP260" s="390"/>
      <c r="AQ260" s="390"/>
    </row>
    <row r="261" spans="1:43" s="390" customFormat="1" ht="18.75" customHeight="1">
      <c r="A261" s="2035" t="s">
        <v>1245</v>
      </c>
      <c r="B261" s="2036"/>
      <c r="C261" s="1043"/>
      <c r="D261" s="1044" t="s">
        <v>1246</v>
      </c>
      <c r="E261" s="1044">
        <v>2021</v>
      </c>
      <c r="F261" s="1045">
        <v>2022</v>
      </c>
      <c r="G261" s="1044">
        <v>2023</v>
      </c>
      <c r="H261" s="1044">
        <v>2024</v>
      </c>
      <c r="I261" s="1046">
        <v>2025</v>
      </c>
      <c r="J261" s="1042"/>
      <c r="K261" s="1042"/>
      <c r="L261" s="1042"/>
      <c r="M261" s="389"/>
      <c r="N261" s="1042"/>
      <c r="O261" s="1042"/>
      <c r="P261" s="1042"/>
      <c r="Q261" s="1042"/>
      <c r="R261" s="1042"/>
    </row>
    <row r="262" spans="1:43" s="390" customFormat="1" ht="18" customHeight="1" thickBot="1">
      <c r="A262" s="2037"/>
      <c r="B262" s="2038"/>
      <c r="C262" s="1082"/>
      <c r="D262" s="1088">
        <v>1</v>
      </c>
      <c r="E262" s="1083">
        <v>0.1</v>
      </c>
      <c r="F262" s="1083">
        <v>0.1</v>
      </c>
      <c r="G262" s="1083">
        <v>0.1</v>
      </c>
      <c r="H262" s="1083">
        <v>0.1</v>
      </c>
      <c r="I262" s="1084">
        <v>0.1</v>
      </c>
      <c r="J262" s="1042"/>
      <c r="K262" s="1042"/>
      <c r="L262" s="1042"/>
      <c r="M262" s="389"/>
      <c r="N262" s="1042"/>
      <c r="O262" s="1042"/>
      <c r="P262" s="1042"/>
      <c r="Q262" s="1042"/>
      <c r="R262" s="1042"/>
    </row>
    <row r="263" spans="1:43" s="390" customFormat="1" ht="15" customHeight="1">
      <c r="A263" s="1180"/>
      <c r="B263" s="1050" t="s">
        <v>1247</v>
      </c>
      <c r="C263" s="1181"/>
      <c r="D263" s="392">
        <v>922</v>
      </c>
      <c r="E263" s="650">
        <f>D263*1.1</f>
        <v>1014.2</v>
      </c>
      <c r="F263" s="650">
        <f t="shared" ref="F263:I263" si="125">E263*1.1</f>
        <v>1115.6200000000001</v>
      </c>
      <c r="G263" s="650">
        <f t="shared" si="125"/>
        <v>1227.1820000000002</v>
      </c>
      <c r="H263" s="650">
        <f t="shared" si="125"/>
        <v>1349.9002000000003</v>
      </c>
      <c r="I263" s="955">
        <f t="shared" si="125"/>
        <v>1484.8902200000005</v>
      </c>
      <c r="J263" s="1042"/>
      <c r="K263" s="1042"/>
      <c r="L263" s="1042"/>
      <c r="M263" s="389"/>
      <c r="N263" s="1042"/>
      <c r="O263" s="1042"/>
      <c r="P263" s="1042"/>
      <c r="Q263" s="1042"/>
      <c r="R263" s="1042"/>
    </row>
    <row r="264" spans="1:43" s="390" customFormat="1" ht="15" customHeight="1">
      <c r="A264" s="1180"/>
      <c r="B264" s="393" t="s">
        <v>803</v>
      </c>
      <c r="C264" s="394" t="s">
        <v>1222</v>
      </c>
      <c r="D264" s="394">
        <v>714</v>
      </c>
      <c r="E264" s="649">
        <f t="shared" ref="E264:I265" si="126">D264*1.1</f>
        <v>785.40000000000009</v>
      </c>
      <c r="F264" s="649">
        <f t="shared" si="126"/>
        <v>863.94000000000017</v>
      </c>
      <c r="G264" s="649">
        <f t="shared" si="126"/>
        <v>950.33400000000029</v>
      </c>
      <c r="H264" s="649">
        <f t="shared" si="126"/>
        <v>1045.3674000000003</v>
      </c>
      <c r="I264" s="956">
        <f t="shared" si="126"/>
        <v>1149.9041400000006</v>
      </c>
      <c r="J264" s="1042"/>
      <c r="K264" s="1042"/>
      <c r="L264" s="1042"/>
      <c r="M264" s="389"/>
      <c r="N264" s="1042"/>
      <c r="O264" s="1042"/>
      <c r="P264" s="1042"/>
      <c r="Q264" s="1042"/>
      <c r="R264" s="1042"/>
    </row>
    <row r="265" spans="1:43" s="390" customFormat="1" ht="15" customHeight="1" thickBot="1">
      <c r="A265" s="1182"/>
      <c r="B265" s="1183" t="s">
        <v>804</v>
      </c>
      <c r="C265" s="1184" t="s">
        <v>832</v>
      </c>
      <c r="D265" s="1060">
        <v>208</v>
      </c>
      <c r="E265" s="1125">
        <f t="shared" si="126"/>
        <v>228.8</v>
      </c>
      <c r="F265" s="1125">
        <f t="shared" si="126"/>
        <v>251.68000000000004</v>
      </c>
      <c r="G265" s="1125">
        <f t="shared" si="126"/>
        <v>276.84800000000007</v>
      </c>
      <c r="H265" s="1125">
        <f t="shared" si="126"/>
        <v>304.53280000000012</v>
      </c>
      <c r="I265" s="1162">
        <f t="shared" si="126"/>
        <v>334.98608000000019</v>
      </c>
      <c r="J265" s="1042"/>
      <c r="K265" s="1042"/>
      <c r="L265" s="1042"/>
      <c r="M265" s="389"/>
      <c r="N265" s="1042"/>
      <c r="O265" s="1042"/>
      <c r="P265" s="1042"/>
      <c r="Q265" s="1042"/>
      <c r="R265" s="1042"/>
    </row>
    <row r="266" spans="1:43" s="390" customFormat="1" ht="15" customHeight="1" thickBot="1">
      <c r="A266" s="159"/>
      <c r="B266" s="1026"/>
      <c r="C266" s="1185"/>
      <c r="D266" s="1071"/>
      <c r="E266" s="1186"/>
      <c r="F266" s="1186"/>
      <c r="G266" s="1186"/>
      <c r="H266" s="1186"/>
      <c r="I266" s="1186"/>
      <c r="J266" s="1042"/>
      <c r="K266" s="1042"/>
      <c r="L266" s="1042"/>
      <c r="M266" s="389"/>
      <c r="N266" s="1042"/>
      <c r="O266" s="1042"/>
      <c r="P266" s="1042"/>
      <c r="Q266" s="1042"/>
      <c r="R266" s="1042"/>
    </row>
    <row r="267" spans="1:43" s="451" customFormat="1" ht="20.25" customHeight="1" thickBot="1">
      <c r="A267" s="2094"/>
      <c r="B267" s="2095"/>
      <c r="C267" s="2095"/>
      <c r="D267" s="2096"/>
      <c r="E267" s="2057" t="s">
        <v>959</v>
      </c>
      <c r="F267" s="2058"/>
      <c r="G267" s="2058"/>
      <c r="H267" s="2058"/>
      <c r="I267" s="2058"/>
      <c r="J267" s="2059"/>
      <c r="K267" s="2060" t="s">
        <v>1248</v>
      </c>
      <c r="L267" s="2061"/>
      <c r="M267" s="2061"/>
      <c r="N267" s="2061"/>
      <c r="O267" s="2061"/>
      <c r="P267" s="2061"/>
      <c r="Q267" s="2061"/>
      <c r="R267" s="2061"/>
      <c r="S267" s="2097"/>
    </row>
    <row r="268" spans="1:43" s="390" customFormat="1" ht="22.5" customHeight="1" thickBot="1">
      <c r="A268" s="2062" t="s">
        <v>1249</v>
      </c>
      <c r="B268" s="713" t="s">
        <v>1250</v>
      </c>
      <c r="C268" s="819"/>
      <c r="D268" s="1187" t="s">
        <v>1246</v>
      </c>
      <c r="E268" s="819">
        <v>2021</v>
      </c>
      <c r="F268" s="819">
        <v>2022</v>
      </c>
      <c r="G268" s="819">
        <v>2023</v>
      </c>
      <c r="H268" s="819">
        <v>2024</v>
      </c>
      <c r="I268" s="819">
        <v>2025</v>
      </c>
      <c r="J268" s="554" t="s">
        <v>101</v>
      </c>
      <c r="K268" s="554">
        <v>2021</v>
      </c>
      <c r="L268" s="554">
        <v>2022</v>
      </c>
      <c r="M268" s="554">
        <v>2023</v>
      </c>
      <c r="N268" s="554">
        <v>2024</v>
      </c>
      <c r="O268" s="554">
        <v>2025</v>
      </c>
      <c r="P268" s="554" t="s">
        <v>101</v>
      </c>
      <c r="Q268" s="555" t="s">
        <v>826</v>
      </c>
      <c r="R268" s="555" t="s">
        <v>828</v>
      </c>
      <c r="S268" s="556" t="s">
        <v>829</v>
      </c>
    </row>
    <row r="269" spans="1:43" s="390" customFormat="1" ht="18" customHeight="1">
      <c r="A269" s="2063"/>
      <c r="B269" s="1188" t="s">
        <v>1251</v>
      </c>
      <c r="C269" s="1189" t="s">
        <v>1252</v>
      </c>
      <c r="D269" s="552"/>
      <c r="E269" s="1190">
        <f>E263*1.3</f>
        <v>1318.46</v>
      </c>
      <c r="F269" s="1190">
        <f>F263*1.3</f>
        <v>1450.3060000000003</v>
      </c>
      <c r="G269" s="1190">
        <f>G263*1.3</f>
        <v>1595.3366000000003</v>
      </c>
      <c r="H269" s="1190">
        <f>H263*1.3</f>
        <v>1754.8702600000004</v>
      </c>
      <c r="I269" s="1191">
        <f>I263*1.3</f>
        <v>1930.3572860000006</v>
      </c>
      <c r="J269" s="557">
        <f t="shared" ref="J269:J275" si="127">SUM(E269:I269)</f>
        <v>8049.3301460000021</v>
      </c>
      <c r="K269" s="558">
        <f>E269*1.15</f>
        <v>1516.2289999999998</v>
      </c>
      <c r="L269" s="559">
        <f>F269*1.15</f>
        <v>1667.8519000000001</v>
      </c>
      <c r="M269" s="559">
        <f>G269*1.15</f>
        <v>1834.6370900000002</v>
      </c>
      <c r="N269" s="559">
        <f t="shared" ref="N269:O275" si="128">H269*1.15</f>
        <v>2018.1007990000003</v>
      </c>
      <c r="O269" s="559">
        <f t="shared" si="128"/>
        <v>2219.9108789000006</v>
      </c>
      <c r="P269" s="560">
        <f t="shared" ref="P269:P275" si="129">SUM(K269:O269)</f>
        <v>9256.729667900001</v>
      </c>
      <c r="Q269" s="561">
        <v>13</v>
      </c>
      <c r="R269" s="562">
        <v>34</v>
      </c>
      <c r="S269" s="563">
        <f t="shared" ref="S269:S275" si="130">SUM(Q269:R269)</f>
        <v>47</v>
      </c>
      <c r="T269" s="391"/>
    </row>
    <row r="270" spans="1:43" s="390" customFormat="1" ht="18" customHeight="1">
      <c r="A270" s="2063"/>
      <c r="B270" s="1188" t="s">
        <v>1253</v>
      </c>
      <c r="C270" s="1192" t="s">
        <v>1254</v>
      </c>
      <c r="D270" s="1026"/>
      <c r="E270" s="408">
        <f>E263</f>
        <v>1014.2</v>
      </c>
      <c r="F270" s="408">
        <f>F263</f>
        <v>1115.6200000000001</v>
      </c>
      <c r="G270" s="408">
        <f>G263</f>
        <v>1227.1820000000002</v>
      </c>
      <c r="H270" s="408">
        <f>H263</f>
        <v>1349.9002000000003</v>
      </c>
      <c r="I270" s="1193">
        <f>I263</f>
        <v>1484.8902200000005</v>
      </c>
      <c r="J270" s="557">
        <f t="shared" si="127"/>
        <v>6191.7924200000007</v>
      </c>
      <c r="K270" s="564">
        <f t="shared" ref="K270:M275" si="131">E270*1.15</f>
        <v>1166.33</v>
      </c>
      <c r="L270" s="565">
        <f t="shared" si="131"/>
        <v>1282.963</v>
      </c>
      <c r="M270" s="565">
        <f t="shared" si="131"/>
        <v>1411.2593000000002</v>
      </c>
      <c r="N270" s="565">
        <f t="shared" si="128"/>
        <v>1552.3852300000001</v>
      </c>
      <c r="O270" s="565">
        <f t="shared" si="128"/>
        <v>1707.6237530000003</v>
      </c>
      <c r="P270" s="566">
        <f t="shared" si="129"/>
        <v>7120.5612830000009</v>
      </c>
      <c r="Q270" s="567">
        <v>316</v>
      </c>
      <c r="R270" s="568">
        <v>55</v>
      </c>
      <c r="S270" s="569">
        <f t="shared" si="130"/>
        <v>371</v>
      </c>
      <c r="T270" s="391"/>
    </row>
    <row r="271" spans="1:43" s="390" customFormat="1" ht="18" customHeight="1">
      <c r="A271" s="2063"/>
      <c r="B271" s="1188" t="s">
        <v>1255</v>
      </c>
      <c r="C271" s="1192" t="s">
        <v>1256</v>
      </c>
      <c r="D271" s="1026"/>
      <c r="E271" s="408">
        <f>E263*0.1</f>
        <v>101.42000000000002</v>
      </c>
      <c r="F271" s="408">
        <f>F263*0.1</f>
        <v>111.56200000000001</v>
      </c>
      <c r="G271" s="408">
        <f>G263*0.1</f>
        <v>122.71820000000002</v>
      </c>
      <c r="H271" s="408">
        <f>H263*0.1</f>
        <v>134.99002000000004</v>
      </c>
      <c r="I271" s="1193">
        <f>I263*0.1</f>
        <v>148.48902200000006</v>
      </c>
      <c r="J271" s="557">
        <f t="shared" si="127"/>
        <v>619.17924200000016</v>
      </c>
      <c r="K271" s="564">
        <f t="shared" si="131"/>
        <v>116.63300000000001</v>
      </c>
      <c r="L271" s="565">
        <f t="shared" si="131"/>
        <v>128.2963</v>
      </c>
      <c r="M271" s="565">
        <f t="shared" si="131"/>
        <v>141.12593000000001</v>
      </c>
      <c r="N271" s="565">
        <f t="shared" si="128"/>
        <v>155.23852300000004</v>
      </c>
      <c r="O271" s="565">
        <f t="shared" si="128"/>
        <v>170.76237530000006</v>
      </c>
      <c r="P271" s="566">
        <f t="shared" si="129"/>
        <v>712.05612830000018</v>
      </c>
      <c r="Q271" s="567">
        <v>316</v>
      </c>
      <c r="R271" s="568">
        <v>55</v>
      </c>
      <c r="S271" s="569">
        <f t="shared" si="130"/>
        <v>371</v>
      </c>
      <c r="T271" s="391"/>
    </row>
    <row r="272" spans="1:43" s="390" customFormat="1" ht="18" customHeight="1">
      <c r="A272" s="2063"/>
      <c r="B272" s="1194" t="s">
        <v>1257</v>
      </c>
      <c r="C272" s="1192" t="s">
        <v>1254</v>
      </c>
      <c r="D272" s="1026"/>
      <c r="E272" s="408">
        <f>E263</f>
        <v>1014.2</v>
      </c>
      <c r="F272" s="408">
        <f>F263</f>
        <v>1115.6200000000001</v>
      </c>
      <c r="G272" s="408">
        <f>G263</f>
        <v>1227.1820000000002</v>
      </c>
      <c r="H272" s="408">
        <f>H263</f>
        <v>1349.9002000000003</v>
      </c>
      <c r="I272" s="1193">
        <f>I263</f>
        <v>1484.8902200000005</v>
      </c>
      <c r="J272" s="557">
        <f t="shared" si="127"/>
        <v>6191.7924200000007</v>
      </c>
      <c r="K272" s="564">
        <v>1166.33</v>
      </c>
      <c r="L272" s="565">
        <v>1282.963</v>
      </c>
      <c r="M272" s="565">
        <v>1411.2593000000002</v>
      </c>
      <c r="N272" s="565">
        <v>1552.3852300000001</v>
      </c>
      <c r="O272" s="565">
        <v>1707.6237530000003</v>
      </c>
      <c r="P272" s="566">
        <f t="shared" si="129"/>
        <v>7120.5612830000009</v>
      </c>
      <c r="Q272" s="567">
        <v>43</v>
      </c>
      <c r="R272" s="568">
        <v>25</v>
      </c>
      <c r="S272" s="569">
        <f t="shared" si="130"/>
        <v>68</v>
      </c>
      <c r="T272" s="391"/>
    </row>
    <row r="273" spans="1:20" s="390" customFormat="1" ht="18" customHeight="1">
      <c r="A273" s="2063"/>
      <c r="B273" s="1194" t="s">
        <v>1258</v>
      </c>
      <c r="C273" s="1195" t="s">
        <v>1259</v>
      </c>
      <c r="D273" s="1026">
        <v>10476</v>
      </c>
      <c r="E273" s="408">
        <f>D273*1.1</f>
        <v>11523.6</v>
      </c>
      <c r="F273" s="408">
        <f t="shared" ref="F273:I275" si="132">E273*1.1</f>
        <v>12675.960000000001</v>
      </c>
      <c r="G273" s="408">
        <f t="shared" si="132"/>
        <v>13943.556000000002</v>
      </c>
      <c r="H273" s="408">
        <f t="shared" si="132"/>
        <v>15337.911600000003</v>
      </c>
      <c r="I273" s="1193">
        <f t="shared" si="132"/>
        <v>16871.702760000004</v>
      </c>
      <c r="J273" s="557">
        <f t="shared" si="127"/>
        <v>70352.730360000001</v>
      </c>
      <c r="K273" s="564">
        <f t="shared" si="131"/>
        <v>13252.14</v>
      </c>
      <c r="L273" s="565">
        <f t="shared" si="131"/>
        <v>14577.353999999999</v>
      </c>
      <c r="M273" s="565">
        <f t="shared" si="131"/>
        <v>16035.089400000001</v>
      </c>
      <c r="N273" s="565">
        <f t="shared" si="128"/>
        <v>17638.59834</v>
      </c>
      <c r="O273" s="565">
        <f t="shared" si="128"/>
        <v>19402.458174000003</v>
      </c>
      <c r="P273" s="566">
        <f t="shared" si="129"/>
        <v>80905.639913999999</v>
      </c>
      <c r="Q273" s="567">
        <v>4.5999999999999996</v>
      </c>
      <c r="R273" s="568">
        <v>34</v>
      </c>
      <c r="S273" s="569">
        <f t="shared" si="130"/>
        <v>38.6</v>
      </c>
      <c r="T273" s="391"/>
    </row>
    <row r="274" spans="1:20" s="390" customFormat="1" ht="18" customHeight="1">
      <c r="A274" s="2063"/>
      <c r="B274" s="1194" t="s">
        <v>1260</v>
      </c>
      <c r="C274" s="1195" t="s">
        <v>1261</v>
      </c>
      <c r="D274" s="1026">
        <v>5760</v>
      </c>
      <c r="E274" s="408">
        <f>D274*1.1</f>
        <v>6336.0000000000009</v>
      </c>
      <c r="F274" s="408">
        <f t="shared" si="132"/>
        <v>6969.6000000000013</v>
      </c>
      <c r="G274" s="408">
        <f t="shared" si="132"/>
        <v>7666.5600000000022</v>
      </c>
      <c r="H274" s="408">
        <f t="shared" si="132"/>
        <v>8433.216000000004</v>
      </c>
      <c r="I274" s="1193">
        <f t="shared" si="132"/>
        <v>9276.5376000000051</v>
      </c>
      <c r="J274" s="557">
        <f t="shared" si="127"/>
        <v>38681.913600000014</v>
      </c>
      <c r="K274" s="564">
        <f t="shared" si="131"/>
        <v>7286.4000000000005</v>
      </c>
      <c r="L274" s="565">
        <f t="shared" si="131"/>
        <v>8015.0400000000009</v>
      </c>
      <c r="M274" s="565">
        <f t="shared" si="131"/>
        <v>8816.5440000000017</v>
      </c>
      <c r="N274" s="565">
        <f t="shared" si="128"/>
        <v>9698.1984000000029</v>
      </c>
      <c r="O274" s="565">
        <f t="shared" si="128"/>
        <v>10668.018240000005</v>
      </c>
      <c r="P274" s="566">
        <f t="shared" si="129"/>
        <v>44484.20064000001</v>
      </c>
      <c r="Q274" s="567">
        <v>16</v>
      </c>
      <c r="R274" s="568">
        <v>34</v>
      </c>
      <c r="S274" s="569">
        <f t="shared" si="130"/>
        <v>50</v>
      </c>
    </row>
    <row r="275" spans="1:20" s="390" customFormat="1" ht="18" customHeight="1" thickBot="1">
      <c r="A275" s="2063"/>
      <c r="B275" s="1196" t="s">
        <v>1262</v>
      </c>
      <c r="C275" s="1197" t="s">
        <v>1263</v>
      </c>
      <c r="D275" s="490">
        <v>600</v>
      </c>
      <c r="E275" s="420">
        <f>D275*1.1</f>
        <v>660</v>
      </c>
      <c r="F275" s="420">
        <f t="shared" si="132"/>
        <v>726.00000000000011</v>
      </c>
      <c r="G275" s="420">
        <f t="shared" si="132"/>
        <v>798.60000000000014</v>
      </c>
      <c r="H275" s="420">
        <f t="shared" si="132"/>
        <v>878.46000000000026</v>
      </c>
      <c r="I275" s="1198">
        <f t="shared" si="132"/>
        <v>966.30600000000038</v>
      </c>
      <c r="J275" s="570">
        <f t="shared" si="127"/>
        <v>4029.3660000000009</v>
      </c>
      <c r="K275" s="571">
        <f t="shared" si="131"/>
        <v>758.99999999999989</v>
      </c>
      <c r="L275" s="572">
        <f t="shared" si="131"/>
        <v>834.90000000000009</v>
      </c>
      <c r="M275" s="572">
        <f t="shared" si="131"/>
        <v>918.3900000000001</v>
      </c>
      <c r="N275" s="572">
        <f t="shared" si="128"/>
        <v>1010.2290000000003</v>
      </c>
      <c r="O275" s="572">
        <f t="shared" si="128"/>
        <v>1111.2519000000004</v>
      </c>
      <c r="P275" s="573">
        <f t="shared" si="129"/>
        <v>4633.7709000000004</v>
      </c>
      <c r="Q275" s="574">
        <v>196</v>
      </c>
      <c r="R275" s="575">
        <v>30</v>
      </c>
      <c r="S275" s="576">
        <f t="shared" si="130"/>
        <v>226</v>
      </c>
      <c r="T275" s="391"/>
    </row>
    <row r="276" spans="1:20" ht="20.25" customHeight="1" thickBot="1">
      <c r="A276" s="2064"/>
      <c r="B276" s="1199" t="s">
        <v>864</v>
      </c>
      <c r="C276" s="488"/>
      <c r="D276" s="577"/>
      <c r="E276" s="535"/>
      <c r="F276" s="535"/>
      <c r="G276" s="535"/>
      <c r="H276" s="535"/>
      <c r="I276" s="535"/>
      <c r="J276" s="535"/>
      <c r="K276" s="535">
        <f t="shared" ref="K276:O276" si="133">SUM(K269:K275)</f>
        <v>25263.062000000002</v>
      </c>
      <c r="L276" s="535">
        <f t="shared" si="133"/>
        <v>27789.368200000001</v>
      </c>
      <c r="M276" s="535">
        <f t="shared" si="133"/>
        <v>30568.305020000003</v>
      </c>
      <c r="N276" s="535">
        <f t="shared" si="133"/>
        <v>33625.135522000004</v>
      </c>
      <c r="O276" s="535">
        <f t="shared" si="133"/>
        <v>36987.64907420001</v>
      </c>
      <c r="P276" s="535">
        <f>SUM(P269:P275)</f>
        <v>154233.51981620002</v>
      </c>
      <c r="Q276" s="578"/>
      <c r="R276" s="579">
        <f>AVERAGE(R269:R275)</f>
        <v>38.142857142857146</v>
      </c>
      <c r="S276" s="580"/>
      <c r="T276" s="389"/>
    </row>
    <row r="277" spans="1:20" s="390" customFormat="1" ht="22.5" customHeight="1" thickBot="1">
      <c r="A277" s="2062" t="s">
        <v>1264</v>
      </c>
      <c r="B277" s="713" t="s">
        <v>1250</v>
      </c>
      <c r="C277" s="1200"/>
      <c r="D277" s="554"/>
      <c r="E277" s="554">
        <v>2021</v>
      </c>
      <c r="F277" s="554">
        <v>2022</v>
      </c>
      <c r="G277" s="554">
        <v>2023</v>
      </c>
      <c r="H277" s="554">
        <v>2024</v>
      </c>
      <c r="I277" s="554">
        <v>2025</v>
      </c>
      <c r="J277" s="1201" t="s">
        <v>101</v>
      </c>
      <c r="K277" s="554">
        <v>2021</v>
      </c>
      <c r="L277" s="554">
        <v>2022</v>
      </c>
      <c r="M277" s="554">
        <v>2023</v>
      </c>
      <c r="N277" s="554">
        <v>2024</v>
      </c>
      <c r="O277" s="554">
        <v>2025</v>
      </c>
      <c r="P277" s="554" t="s">
        <v>101</v>
      </c>
      <c r="Q277" s="555" t="s">
        <v>826</v>
      </c>
      <c r="R277" s="555" t="s">
        <v>828</v>
      </c>
      <c r="S277" s="556" t="s">
        <v>829</v>
      </c>
    </row>
    <row r="278" spans="1:20" s="390" customFormat="1" ht="18" customHeight="1">
      <c r="A278" s="2063"/>
      <c r="B278" s="1188" t="s">
        <v>1251</v>
      </c>
      <c r="C278" s="1189" t="s">
        <v>1252</v>
      </c>
      <c r="D278" s="1026"/>
      <c r="E278" s="408">
        <f>E264*1.3</f>
        <v>1021.0200000000002</v>
      </c>
      <c r="F278" s="408">
        <f>F264*1.3</f>
        <v>1123.1220000000003</v>
      </c>
      <c r="G278" s="408">
        <f>G264*1.3</f>
        <v>1235.4342000000004</v>
      </c>
      <c r="H278" s="408">
        <f>H264*1.3</f>
        <v>1358.9776200000006</v>
      </c>
      <c r="I278" s="408">
        <f>I264*1.3</f>
        <v>1494.8753820000009</v>
      </c>
      <c r="J278" s="566">
        <f t="shared" ref="J278:J284" si="134">SUM(E278:I278)</f>
        <v>6233.429202000003</v>
      </c>
      <c r="K278" s="559">
        <f>E278*1.15</f>
        <v>1174.1730000000002</v>
      </c>
      <c r="L278" s="559">
        <f>F278*1.15</f>
        <v>1291.5903000000003</v>
      </c>
      <c r="M278" s="559">
        <f>G278*1.15</f>
        <v>1420.7493300000003</v>
      </c>
      <c r="N278" s="559">
        <f t="shared" ref="N278:O284" si="135">H278*1.15</f>
        <v>1562.8242630000004</v>
      </c>
      <c r="O278" s="559">
        <f t="shared" si="135"/>
        <v>1719.1066893000009</v>
      </c>
      <c r="P278" s="560">
        <f t="shared" ref="P278:P284" si="136">SUM(K278:O278)</f>
        <v>7168.4435823000022</v>
      </c>
      <c r="Q278" s="561">
        <v>13</v>
      </c>
      <c r="R278" s="562">
        <v>34</v>
      </c>
      <c r="S278" s="563">
        <f t="shared" ref="S278:S284" si="137">SUM(Q278:R278)</f>
        <v>47</v>
      </c>
      <c r="T278" s="391"/>
    </row>
    <row r="279" spans="1:20" s="390" customFormat="1" ht="18" customHeight="1">
      <c r="A279" s="2063"/>
      <c r="B279" s="1188" t="s">
        <v>1253</v>
      </c>
      <c r="C279" s="1192" t="s">
        <v>1254</v>
      </c>
      <c r="D279" s="1026"/>
      <c r="E279" s="408">
        <f>E264</f>
        <v>785.40000000000009</v>
      </c>
      <c r="F279" s="408">
        <f>F264</f>
        <v>863.94000000000017</v>
      </c>
      <c r="G279" s="408">
        <f>G264</f>
        <v>950.33400000000029</v>
      </c>
      <c r="H279" s="408">
        <f>H264</f>
        <v>1045.3674000000003</v>
      </c>
      <c r="I279" s="408">
        <f>I264</f>
        <v>1149.9041400000006</v>
      </c>
      <c r="J279" s="566">
        <f t="shared" si="134"/>
        <v>4794.9455400000015</v>
      </c>
      <c r="K279" s="565">
        <f t="shared" ref="K279:M284" si="138">E279*1.15</f>
        <v>903.21</v>
      </c>
      <c r="L279" s="565">
        <f t="shared" si="138"/>
        <v>993.53100000000006</v>
      </c>
      <c r="M279" s="565">
        <f t="shared" si="138"/>
        <v>1092.8841000000002</v>
      </c>
      <c r="N279" s="565">
        <f t="shared" si="135"/>
        <v>1202.1725100000003</v>
      </c>
      <c r="O279" s="565">
        <f t="shared" si="135"/>
        <v>1322.3897610000006</v>
      </c>
      <c r="P279" s="566">
        <f t="shared" si="136"/>
        <v>5514.1873710000009</v>
      </c>
      <c r="Q279" s="567">
        <v>316</v>
      </c>
      <c r="R279" s="568">
        <v>55</v>
      </c>
      <c r="S279" s="569">
        <f t="shared" si="137"/>
        <v>371</v>
      </c>
      <c r="T279" s="391"/>
    </row>
    <row r="280" spans="1:20" s="390" customFormat="1" ht="18" customHeight="1">
      <c r="A280" s="2063"/>
      <c r="B280" s="1188" t="s">
        <v>1255</v>
      </c>
      <c r="C280" s="1192" t="s">
        <v>1256</v>
      </c>
      <c r="D280" s="1026"/>
      <c r="E280" s="408">
        <f>E264*0.1</f>
        <v>78.54000000000002</v>
      </c>
      <c r="F280" s="408">
        <f>F264*0.1</f>
        <v>86.39400000000002</v>
      </c>
      <c r="G280" s="408">
        <f>G264*0.1</f>
        <v>95.033400000000029</v>
      </c>
      <c r="H280" s="408">
        <f>H264*0.1</f>
        <v>104.53674000000004</v>
      </c>
      <c r="I280" s="408">
        <f>I264*0.1</f>
        <v>114.99041400000006</v>
      </c>
      <c r="J280" s="566">
        <f t="shared" si="134"/>
        <v>479.49455400000016</v>
      </c>
      <c r="K280" s="565">
        <f t="shared" si="138"/>
        <v>90.321000000000012</v>
      </c>
      <c r="L280" s="565">
        <f t="shared" si="138"/>
        <v>99.353100000000012</v>
      </c>
      <c r="M280" s="565">
        <f t="shared" si="138"/>
        <v>109.28841000000003</v>
      </c>
      <c r="N280" s="565">
        <f t="shared" si="135"/>
        <v>120.21725100000003</v>
      </c>
      <c r="O280" s="565">
        <f t="shared" si="135"/>
        <v>132.23897610000006</v>
      </c>
      <c r="P280" s="566">
        <f t="shared" si="136"/>
        <v>551.41873710000016</v>
      </c>
      <c r="Q280" s="567">
        <v>316</v>
      </c>
      <c r="R280" s="568">
        <v>55</v>
      </c>
      <c r="S280" s="569">
        <f t="shared" si="137"/>
        <v>371</v>
      </c>
      <c r="T280" s="391"/>
    </row>
    <row r="281" spans="1:20" s="390" customFormat="1" ht="18" customHeight="1">
      <c r="A281" s="2063"/>
      <c r="B281" s="1194" t="s">
        <v>1257</v>
      </c>
      <c r="C281" s="1192" t="s">
        <v>1254</v>
      </c>
      <c r="D281" s="1026"/>
      <c r="E281" s="408">
        <f>E264</f>
        <v>785.40000000000009</v>
      </c>
      <c r="F281" s="408">
        <f>F264</f>
        <v>863.94000000000017</v>
      </c>
      <c r="G281" s="408">
        <f>G264</f>
        <v>950.33400000000029</v>
      </c>
      <c r="H281" s="408">
        <f>H264</f>
        <v>1045.3674000000003</v>
      </c>
      <c r="I281" s="408">
        <f>I264</f>
        <v>1149.9041400000006</v>
      </c>
      <c r="J281" s="566">
        <f t="shared" si="134"/>
        <v>4794.9455400000015</v>
      </c>
      <c r="K281" s="565">
        <f>E281*1.15</f>
        <v>903.21</v>
      </c>
      <c r="L281" s="565">
        <f t="shared" si="138"/>
        <v>993.53100000000006</v>
      </c>
      <c r="M281" s="565">
        <f t="shared" si="138"/>
        <v>1092.8841000000002</v>
      </c>
      <c r="N281" s="565">
        <f t="shared" si="135"/>
        <v>1202.1725100000003</v>
      </c>
      <c r="O281" s="565">
        <f t="shared" si="135"/>
        <v>1322.3897610000006</v>
      </c>
      <c r="P281" s="566">
        <f t="shared" si="136"/>
        <v>5514.1873710000009</v>
      </c>
      <c r="Q281" s="567">
        <v>43</v>
      </c>
      <c r="R281" s="568">
        <v>25</v>
      </c>
      <c r="S281" s="569">
        <f t="shared" si="137"/>
        <v>68</v>
      </c>
      <c r="T281" s="391"/>
    </row>
    <row r="282" spans="1:20" s="390" customFormat="1" ht="18" customHeight="1">
      <c r="A282" s="2063"/>
      <c r="B282" s="1194" t="s">
        <v>1258</v>
      </c>
      <c r="C282" s="1195" t="s">
        <v>1259</v>
      </c>
      <c r="D282" s="1026"/>
      <c r="E282" s="408">
        <f>E273</f>
        <v>11523.6</v>
      </c>
      <c r="F282" s="408">
        <f t="shared" ref="F282:I282" si="139">F273</f>
        <v>12675.960000000001</v>
      </c>
      <c r="G282" s="408">
        <f t="shared" si="139"/>
        <v>13943.556000000002</v>
      </c>
      <c r="H282" s="408">
        <f t="shared" si="139"/>
        <v>15337.911600000003</v>
      </c>
      <c r="I282" s="408">
        <f t="shared" si="139"/>
        <v>16871.702760000004</v>
      </c>
      <c r="J282" s="566">
        <f t="shared" si="134"/>
        <v>70352.730360000001</v>
      </c>
      <c r="K282" s="565">
        <f t="shared" si="138"/>
        <v>13252.14</v>
      </c>
      <c r="L282" s="565">
        <f t="shared" si="138"/>
        <v>14577.353999999999</v>
      </c>
      <c r="M282" s="565">
        <f t="shared" si="138"/>
        <v>16035.089400000001</v>
      </c>
      <c r="N282" s="565">
        <f t="shared" si="135"/>
        <v>17638.59834</v>
      </c>
      <c r="O282" s="565">
        <f t="shared" si="135"/>
        <v>19402.458174000003</v>
      </c>
      <c r="P282" s="566">
        <f t="shared" si="136"/>
        <v>80905.639913999999</v>
      </c>
      <c r="Q282" s="567">
        <v>4.5999999999999996</v>
      </c>
      <c r="R282" s="568">
        <v>34</v>
      </c>
      <c r="S282" s="569">
        <f t="shared" si="137"/>
        <v>38.6</v>
      </c>
      <c r="T282" s="391"/>
    </row>
    <row r="283" spans="1:20" s="390" customFormat="1" ht="18" customHeight="1">
      <c r="A283" s="2063"/>
      <c r="B283" s="1194" t="s">
        <v>1260</v>
      </c>
      <c r="C283" s="1195" t="s">
        <v>1261</v>
      </c>
      <c r="D283" s="1026"/>
      <c r="E283" s="408">
        <f t="shared" ref="E283:I284" si="140">E274</f>
        <v>6336.0000000000009</v>
      </c>
      <c r="F283" s="408">
        <f t="shared" si="140"/>
        <v>6969.6000000000013</v>
      </c>
      <c r="G283" s="408">
        <f t="shared" si="140"/>
        <v>7666.5600000000022</v>
      </c>
      <c r="H283" s="408">
        <f t="shared" si="140"/>
        <v>8433.216000000004</v>
      </c>
      <c r="I283" s="408">
        <f t="shared" si="140"/>
        <v>9276.5376000000051</v>
      </c>
      <c r="J283" s="566">
        <f t="shared" si="134"/>
        <v>38681.913600000014</v>
      </c>
      <c r="K283" s="565">
        <f t="shared" si="138"/>
        <v>7286.4000000000005</v>
      </c>
      <c r="L283" s="565">
        <f t="shared" si="138"/>
        <v>8015.0400000000009</v>
      </c>
      <c r="M283" s="565">
        <f t="shared" si="138"/>
        <v>8816.5440000000017</v>
      </c>
      <c r="N283" s="565">
        <f t="shared" si="135"/>
        <v>9698.1984000000029</v>
      </c>
      <c r="O283" s="565">
        <f t="shared" si="135"/>
        <v>10668.018240000005</v>
      </c>
      <c r="P283" s="566">
        <f t="shared" si="136"/>
        <v>44484.20064000001</v>
      </c>
      <c r="Q283" s="567">
        <v>16</v>
      </c>
      <c r="R283" s="568">
        <v>34</v>
      </c>
      <c r="S283" s="569">
        <f t="shared" si="137"/>
        <v>50</v>
      </c>
    </row>
    <row r="284" spans="1:20" s="390" customFormat="1" ht="18" customHeight="1" thickBot="1">
      <c r="A284" s="2063"/>
      <c r="B284" s="1196" t="s">
        <v>1262</v>
      </c>
      <c r="C284" s="1197" t="s">
        <v>1263</v>
      </c>
      <c r="D284" s="490"/>
      <c r="E284" s="420">
        <f t="shared" si="140"/>
        <v>660</v>
      </c>
      <c r="F284" s="420">
        <f t="shared" si="140"/>
        <v>726.00000000000011</v>
      </c>
      <c r="G284" s="420">
        <f t="shared" si="140"/>
        <v>798.60000000000014</v>
      </c>
      <c r="H284" s="420">
        <f t="shared" si="140"/>
        <v>878.46000000000026</v>
      </c>
      <c r="I284" s="420">
        <f t="shared" si="140"/>
        <v>966.30600000000038</v>
      </c>
      <c r="J284" s="573">
        <f t="shared" si="134"/>
        <v>4029.3660000000009</v>
      </c>
      <c r="K284" s="572">
        <f t="shared" si="138"/>
        <v>758.99999999999989</v>
      </c>
      <c r="L284" s="572">
        <f t="shared" si="138"/>
        <v>834.90000000000009</v>
      </c>
      <c r="M284" s="572">
        <f t="shared" si="138"/>
        <v>918.3900000000001</v>
      </c>
      <c r="N284" s="572">
        <f t="shared" si="135"/>
        <v>1010.2290000000003</v>
      </c>
      <c r="O284" s="572">
        <f t="shared" si="135"/>
        <v>1111.2519000000004</v>
      </c>
      <c r="P284" s="573">
        <f t="shared" si="136"/>
        <v>4633.7709000000004</v>
      </c>
      <c r="Q284" s="574">
        <v>196</v>
      </c>
      <c r="R284" s="575">
        <v>30</v>
      </c>
      <c r="S284" s="576">
        <f t="shared" si="137"/>
        <v>226</v>
      </c>
      <c r="T284" s="391"/>
    </row>
    <row r="285" spans="1:20" ht="20.25" customHeight="1" thickBot="1">
      <c r="A285" s="2064"/>
      <c r="B285" s="1199" t="s">
        <v>864</v>
      </c>
      <c r="C285" s="577"/>
      <c r="D285" s="577"/>
      <c r="E285" s="535"/>
      <c r="F285" s="535"/>
      <c r="G285" s="535"/>
      <c r="H285" s="535"/>
      <c r="I285" s="535"/>
      <c r="J285" s="535"/>
      <c r="K285" s="535">
        <f t="shared" ref="K285:O285" si="141">SUM(K278:K284)</f>
        <v>24368.454000000002</v>
      </c>
      <c r="L285" s="535">
        <f t="shared" si="141"/>
        <v>26805.299400000004</v>
      </c>
      <c r="M285" s="535">
        <f t="shared" si="141"/>
        <v>29485.829340000004</v>
      </c>
      <c r="N285" s="535">
        <f t="shared" si="141"/>
        <v>32434.412274000002</v>
      </c>
      <c r="O285" s="535">
        <f t="shared" si="141"/>
        <v>35677.853501400008</v>
      </c>
      <c r="P285" s="535">
        <f>SUM(P278:P284)</f>
        <v>148771.84851540002</v>
      </c>
      <c r="Q285" s="578"/>
      <c r="R285" s="579">
        <f>AVERAGE(R278:R284)</f>
        <v>38.142857142857146</v>
      </c>
      <c r="S285" s="580"/>
      <c r="T285" s="389"/>
    </row>
    <row r="286" spans="1:20" s="390" customFormat="1" ht="22.5" customHeight="1" thickBot="1">
      <c r="A286" s="2062" t="s">
        <v>1407</v>
      </c>
      <c r="B286" s="713" t="s">
        <v>1250</v>
      </c>
      <c r="C286" s="1200"/>
      <c r="D286" s="554"/>
      <c r="E286" s="554">
        <v>2021</v>
      </c>
      <c r="F286" s="554">
        <v>2022</v>
      </c>
      <c r="G286" s="554">
        <v>2023</v>
      </c>
      <c r="H286" s="554">
        <v>2024</v>
      </c>
      <c r="I286" s="554">
        <v>2025</v>
      </c>
      <c r="J286" s="1201" t="s">
        <v>101</v>
      </c>
      <c r="K286" s="554">
        <v>2021</v>
      </c>
      <c r="L286" s="554">
        <v>2022</v>
      </c>
      <c r="M286" s="554">
        <v>2023</v>
      </c>
      <c r="N286" s="554">
        <v>2024</v>
      </c>
      <c r="O286" s="554">
        <v>2025</v>
      </c>
      <c r="P286" s="554" t="s">
        <v>101</v>
      </c>
      <c r="Q286" s="555" t="s">
        <v>826</v>
      </c>
      <c r="R286" s="555" t="s">
        <v>828</v>
      </c>
      <c r="S286" s="556" t="s">
        <v>829</v>
      </c>
    </row>
    <row r="287" spans="1:20" s="390" customFormat="1" ht="18" customHeight="1">
      <c r="A287" s="2063"/>
      <c r="B287" s="1188" t="s">
        <v>1251</v>
      </c>
      <c r="C287" s="1189" t="s">
        <v>1252</v>
      </c>
      <c r="D287" s="1026"/>
      <c r="E287" s="408">
        <f>E265*1.3</f>
        <v>297.44</v>
      </c>
      <c r="F287" s="408">
        <f>F265*1.3</f>
        <v>327.18400000000008</v>
      </c>
      <c r="G287" s="408">
        <f>G265*1.3</f>
        <v>359.90240000000011</v>
      </c>
      <c r="H287" s="408">
        <f>H265*1.3</f>
        <v>395.8926400000002</v>
      </c>
      <c r="I287" s="408">
        <f>I265*1.3</f>
        <v>435.48190400000027</v>
      </c>
      <c r="J287" s="566">
        <f t="shared" ref="J287:J293" si="142">SUM(E287:I287)</f>
        <v>1815.9009440000007</v>
      </c>
      <c r="K287" s="559">
        <f>E287*1.15</f>
        <v>342.05599999999998</v>
      </c>
      <c r="L287" s="559">
        <f>F287*1.15</f>
        <v>376.26160000000004</v>
      </c>
      <c r="M287" s="559">
        <f>G287*1.15</f>
        <v>413.88776000000007</v>
      </c>
      <c r="N287" s="559">
        <f t="shared" ref="N287:O293" si="143">H287*1.15</f>
        <v>455.27653600000019</v>
      </c>
      <c r="O287" s="559">
        <f t="shared" si="143"/>
        <v>500.80418960000026</v>
      </c>
      <c r="P287" s="560">
        <f t="shared" ref="P287:P293" si="144">SUM(K287:O287)</f>
        <v>2088.2860856000007</v>
      </c>
      <c r="Q287" s="561">
        <v>13</v>
      </c>
      <c r="R287" s="562">
        <v>34</v>
      </c>
      <c r="S287" s="563">
        <f t="shared" ref="S287:S293" si="145">SUM(Q287:R287)</f>
        <v>47</v>
      </c>
      <c r="T287" s="391"/>
    </row>
    <row r="288" spans="1:20" s="390" customFormat="1" ht="18" customHeight="1">
      <c r="A288" s="2063"/>
      <c r="B288" s="1188" t="s">
        <v>1253</v>
      </c>
      <c r="C288" s="1192" t="s">
        <v>1254</v>
      </c>
      <c r="D288" s="1026"/>
      <c r="E288" s="408">
        <f>E265</f>
        <v>228.8</v>
      </c>
      <c r="F288" s="408">
        <f>F265</f>
        <v>251.68000000000004</v>
      </c>
      <c r="G288" s="408">
        <f>G265</f>
        <v>276.84800000000007</v>
      </c>
      <c r="H288" s="408">
        <f>H265</f>
        <v>304.53280000000012</v>
      </c>
      <c r="I288" s="408">
        <f>I265</f>
        <v>334.98608000000019</v>
      </c>
      <c r="J288" s="566">
        <f t="shared" si="142"/>
        <v>1396.8468800000003</v>
      </c>
      <c r="K288" s="565">
        <f t="shared" ref="K288:M293" si="146">E288*1.15</f>
        <v>263.12</v>
      </c>
      <c r="L288" s="565">
        <f t="shared" si="146"/>
        <v>289.43200000000002</v>
      </c>
      <c r="M288" s="565">
        <f t="shared" si="146"/>
        <v>318.37520000000006</v>
      </c>
      <c r="N288" s="565">
        <f t="shared" si="143"/>
        <v>350.2127200000001</v>
      </c>
      <c r="O288" s="565">
        <f t="shared" si="143"/>
        <v>385.23399200000017</v>
      </c>
      <c r="P288" s="566">
        <f t="shared" si="144"/>
        <v>1606.3739120000002</v>
      </c>
      <c r="Q288" s="567">
        <v>316</v>
      </c>
      <c r="R288" s="568">
        <v>55</v>
      </c>
      <c r="S288" s="569">
        <f t="shared" si="145"/>
        <v>371</v>
      </c>
      <c r="T288" s="391"/>
    </row>
    <row r="289" spans="1:20" s="390" customFormat="1" ht="18" customHeight="1">
      <c r="A289" s="2063"/>
      <c r="B289" s="1188" t="s">
        <v>1255</v>
      </c>
      <c r="C289" s="1192" t="s">
        <v>1256</v>
      </c>
      <c r="D289" s="1026"/>
      <c r="E289" s="408">
        <f>E265*0.1</f>
        <v>22.880000000000003</v>
      </c>
      <c r="F289" s="408">
        <f>F265*0.1</f>
        <v>25.168000000000006</v>
      </c>
      <c r="G289" s="408">
        <f>G265*0.1</f>
        <v>27.68480000000001</v>
      </c>
      <c r="H289" s="408">
        <f>H265*0.1</f>
        <v>30.453280000000014</v>
      </c>
      <c r="I289" s="408">
        <f>I265*0.1</f>
        <v>33.498608000000019</v>
      </c>
      <c r="J289" s="566">
        <f t="shared" si="142"/>
        <v>139.68468800000005</v>
      </c>
      <c r="K289" s="565">
        <f t="shared" si="146"/>
        <v>26.312000000000001</v>
      </c>
      <c r="L289" s="565">
        <f t="shared" si="146"/>
        <v>28.943200000000004</v>
      </c>
      <c r="M289" s="565">
        <f t="shared" si="146"/>
        <v>31.837520000000008</v>
      </c>
      <c r="N289" s="565">
        <f t="shared" si="143"/>
        <v>35.02127200000001</v>
      </c>
      <c r="O289" s="565">
        <f t="shared" si="143"/>
        <v>38.523399200000021</v>
      </c>
      <c r="P289" s="566">
        <f t="shared" si="144"/>
        <v>160.63739120000005</v>
      </c>
      <c r="Q289" s="567">
        <v>316</v>
      </c>
      <c r="R289" s="568">
        <v>55</v>
      </c>
      <c r="S289" s="569">
        <f t="shared" si="145"/>
        <v>371</v>
      </c>
      <c r="T289" s="391"/>
    </row>
    <row r="290" spans="1:20" s="390" customFormat="1" ht="18" customHeight="1">
      <c r="A290" s="2063"/>
      <c r="B290" s="1194" t="s">
        <v>1257</v>
      </c>
      <c r="C290" s="1192" t="s">
        <v>1254</v>
      </c>
      <c r="D290" s="1026"/>
      <c r="E290" s="408">
        <f>E265</f>
        <v>228.8</v>
      </c>
      <c r="F290" s="408">
        <f>F265</f>
        <v>251.68000000000004</v>
      </c>
      <c r="G290" s="408">
        <f>G265</f>
        <v>276.84800000000007</v>
      </c>
      <c r="H290" s="408">
        <f>H265</f>
        <v>304.53280000000012</v>
      </c>
      <c r="I290" s="408">
        <f>I265</f>
        <v>334.98608000000019</v>
      </c>
      <c r="J290" s="566">
        <f t="shared" si="142"/>
        <v>1396.8468800000003</v>
      </c>
      <c r="K290" s="565">
        <f t="shared" si="146"/>
        <v>263.12</v>
      </c>
      <c r="L290" s="565">
        <f t="shared" si="146"/>
        <v>289.43200000000002</v>
      </c>
      <c r="M290" s="565">
        <f t="shared" si="146"/>
        <v>318.37520000000006</v>
      </c>
      <c r="N290" s="565">
        <f t="shared" si="143"/>
        <v>350.2127200000001</v>
      </c>
      <c r="O290" s="565">
        <f t="shared" si="143"/>
        <v>385.23399200000017</v>
      </c>
      <c r="P290" s="566">
        <f t="shared" si="144"/>
        <v>1606.3739120000002</v>
      </c>
      <c r="Q290" s="567">
        <v>43</v>
      </c>
      <c r="R290" s="568">
        <v>25</v>
      </c>
      <c r="S290" s="569">
        <f t="shared" si="145"/>
        <v>68</v>
      </c>
      <c r="T290" s="391"/>
    </row>
    <row r="291" spans="1:20" s="390" customFormat="1" ht="18" customHeight="1">
      <c r="A291" s="2063"/>
      <c r="B291" s="1194" t="s">
        <v>1258</v>
      </c>
      <c r="C291" s="1195" t="s">
        <v>1259</v>
      </c>
      <c r="D291" s="1026"/>
      <c r="E291" s="408">
        <v>0</v>
      </c>
      <c r="F291" s="408">
        <v>0</v>
      </c>
      <c r="G291" s="408">
        <v>0</v>
      </c>
      <c r="H291" s="408">
        <v>0</v>
      </c>
      <c r="I291" s="408">
        <v>0</v>
      </c>
      <c r="J291" s="566">
        <f t="shared" si="142"/>
        <v>0</v>
      </c>
      <c r="K291" s="565">
        <f t="shared" si="146"/>
        <v>0</v>
      </c>
      <c r="L291" s="565">
        <f t="shared" si="146"/>
        <v>0</v>
      </c>
      <c r="M291" s="565">
        <f t="shared" si="146"/>
        <v>0</v>
      </c>
      <c r="N291" s="565">
        <f t="shared" si="143"/>
        <v>0</v>
      </c>
      <c r="O291" s="565">
        <f t="shared" si="143"/>
        <v>0</v>
      </c>
      <c r="P291" s="566">
        <f t="shared" si="144"/>
        <v>0</v>
      </c>
      <c r="Q291" s="567">
        <v>4.5999999999999996</v>
      </c>
      <c r="R291" s="568">
        <v>34</v>
      </c>
      <c r="S291" s="569">
        <f t="shared" si="145"/>
        <v>38.6</v>
      </c>
      <c r="T291" s="391"/>
    </row>
    <row r="292" spans="1:20" s="390" customFormat="1" ht="18" customHeight="1">
      <c r="A292" s="2063"/>
      <c r="B292" s="1194" t="s">
        <v>1260</v>
      </c>
      <c r="C292" s="1195" t="s">
        <v>1261</v>
      </c>
      <c r="D292" s="1026"/>
      <c r="E292" s="408">
        <v>0</v>
      </c>
      <c r="F292" s="408">
        <v>0</v>
      </c>
      <c r="G292" s="408">
        <v>0</v>
      </c>
      <c r="H292" s="408">
        <v>0</v>
      </c>
      <c r="I292" s="408">
        <v>0</v>
      </c>
      <c r="J292" s="566">
        <f t="shared" si="142"/>
        <v>0</v>
      </c>
      <c r="K292" s="565">
        <f t="shared" si="146"/>
        <v>0</v>
      </c>
      <c r="L292" s="565">
        <f t="shared" si="146"/>
        <v>0</v>
      </c>
      <c r="M292" s="565">
        <f t="shared" si="146"/>
        <v>0</v>
      </c>
      <c r="N292" s="565">
        <f t="shared" si="143"/>
        <v>0</v>
      </c>
      <c r="O292" s="565">
        <f t="shared" si="143"/>
        <v>0</v>
      </c>
      <c r="P292" s="566">
        <f t="shared" si="144"/>
        <v>0</v>
      </c>
      <c r="Q292" s="567">
        <v>16</v>
      </c>
      <c r="R292" s="568">
        <v>34</v>
      </c>
      <c r="S292" s="569">
        <f t="shared" si="145"/>
        <v>50</v>
      </c>
    </row>
    <row r="293" spans="1:20" s="390" customFormat="1" ht="18" customHeight="1" thickBot="1">
      <c r="A293" s="2063"/>
      <c r="B293" s="1196" t="s">
        <v>1262</v>
      </c>
      <c r="C293" s="1197" t="s">
        <v>1263</v>
      </c>
      <c r="D293" s="490"/>
      <c r="E293" s="420">
        <v>0</v>
      </c>
      <c r="F293" s="420">
        <v>0</v>
      </c>
      <c r="G293" s="420">
        <v>0</v>
      </c>
      <c r="H293" s="420">
        <v>0</v>
      </c>
      <c r="I293" s="420">
        <v>0</v>
      </c>
      <c r="J293" s="573">
        <f t="shared" si="142"/>
        <v>0</v>
      </c>
      <c r="K293" s="572">
        <f t="shared" si="146"/>
        <v>0</v>
      </c>
      <c r="L293" s="572">
        <f t="shared" si="146"/>
        <v>0</v>
      </c>
      <c r="M293" s="572">
        <f t="shared" si="146"/>
        <v>0</v>
      </c>
      <c r="N293" s="572">
        <f t="shared" si="143"/>
        <v>0</v>
      </c>
      <c r="O293" s="572">
        <f t="shared" si="143"/>
        <v>0</v>
      </c>
      <c r="P293" s="573">
        <f t="shared" si="144"/>
        <v>0</v>
      </c>
      <c r="Q293" s="574">
        <v>196</v>
      </c>
      <c r="R293" s="575">
        <v>30</v>
      </c>
      <c r="S293" s="576">
        <f t="shared" si="145"/>
        <v>226</v>
      </c>
      <c r="T293" s="391"/>
    </row>
    <row r="294" spans="1:20" ht="20.25" customHeight="1" thickBot="1">
      <c r="A294" s="2064"/>
      <c r="B294" s="1199" t="s">
        <v>864</v>
      </c>
      <c r="C294" s="577"/>
      <c r="D294" s="577"/>
      <c r="E294" s="535"/>
      <c r="F294" s="535"/>
      <c r="G294" s="535"/>
      <c r="H294" s="535"/>
      <c r="I294" s="535"/>
      <c r="J294" s="535"/>
      <c r="K294" s="535">
        <f t="shared" ref="K294:O294" si="147">SUM(K287:K293)</f>
        <v>894.60799999999995</v>
      </c>
      <c r="L294" s="535">
        <f t="shared" si="147"/>
        <v>984.06880000000012</v>
      </c>
      <c r="M294" s="535">
        <f t="shared" si="147"/>
        <v>1082.4756800000002</v>
      </c>
      <c r="N294" s="535">
        <f t="shared" si="147"/>
        <v>1190.7232480000002</v>
      </c>
      <c r="O294" s="535">
        <f t="shared" si="147"/>
        <v>1309.7955728000006</v>
      </c>
      <c r="P294" s="535">
        <f>SUM(P287:P293)</f>
        <v>5461.6713008000006</v>
      </c>
      <c r="Q294" s="578"/>
      <c r="R294" s="579">
        <f>AVERAGE(R287:R293)</f>
        <v>38.142857142857146</v>
      </c>
      <c r="S294" s="580"/>
      <c r="T294" s="389"/>
    </row>
    <row r="296" spans="1:20" ht="19.5" thickBot="1">
      <c r="B296" s="388" t="s">
        <v>869</v>
      </c>
      <c r="F296" s="269"/>
      <c r="M296" s="1042"/>
    </row>
    <row r="297" spans="1:20" s="451" customFormat="1" ht="18.75" customHeight="1">
      <c r="A297" s="2113" t="s">
        <v>870</v>
      </c>
      <c r="B297" s="2116" t="s">
        <v>871</v>
      </c>
      <c r="C297" s="1044" t="s">
        <v>434</v>
      </c>
      <c r="D297" s="1044" t="s">
        <v>435</v>
      </c>
      <c r="E297" s="1044">
        <v>2021</v>
      </c>
      <c r="F297" s="1044">
        <v>2022</v>
      </c>
      <c r="G297" s="1044">
        <v>2023</v>
      </c>
      <c r="H297" s="1044">
        <v>2024</v>
      </c>
      <c r="I297" s="1046">
        <v>2025</v>
      </c>
    </row>
    <row r="298" spans="1:20" s="451" customFormat="1" ht="18.75" customHeight="1" thickBot="1">
      <c r="A298" s="2114"/>
      <c r="B298" s="2117"/>
      <c r="C298" s="1089">
        <v>17100</v>
      </c>
      <c r="D298" s="1048">
        <v>0.255</v>
      </c>
      <c r="E298" s="1048">
        <v>0.3</v>
      </c>
      <c r="F298" s="1048">
        <v>0.35</v>
      </c>
      <c r="G298" s="1048">
        <v>0.4</v>
      </c>
      <c r="H298" s="1048">
        <v>0.55000000000000004</v>
      </c>
      <c r="I298" s="1049">
        <v>0.7</v>
      </c>
    </row>
    <row r="299" spans="1:20" s="451" customFormat="1" ht="18.75" customHeight="1">
      <c r="A299" s="2114"/>
      <c r="B299" s="749" t="s">
        <v>802</v>
      </c>
      <c r="C299" s="750"/>
      <c r="D299" s="750"/>
      <c r="E299" s="750">
        <f>C298*E298</f>
        <v>5130</v>
      </c>
      <c r="F299" s="750">
        <f>C298*F298</f>
        <v>5985</v>
      </c>
      <c r="G299" s="750">
        <f>C298*G298</f>
        <v>6840</v>
      </c>
      <c r="H299" s="750">
        <f>C298*H298</f>
        <v>9405</v>
      </c>
      <c r="I299" s="751">
        <f>C298*I298</f>
        <v>11970</v>
      </c>
    </row>
    <row r="300" spans="1:20" s="451" customFormat="1" ht="18.75" customHeight="1">
      <c r="A300" s="2114"/>
      <c r="B300" s="504" t="s">
        <v>803</v>
      </c>
      <c r="C300" s="501">
        <v>13000</v>
      </c>
      <c r="D300" s="501"/>
      <c r="E300" s="501">
        <f>C300*E298</f>
        <v>3900</v>
      </c>
      <c r="F300" s="501">
        <f>C300*F298</f>
        <v>4550</v>
      </c>
      <c r="G300" s="501">
        <f>C300*G298</f>
        <v>5200</v>
      </c>
      <c r="H300" s="501">
        <f>C300*H298</f>
        <v>7150.0000000000009</v>
      </c>
      <c r="I300" s="752">
        <f>C300*I298</f>
        <v>9100</v>
      </c>
    </row>
    <row r="301" spans="1:20" s="451" customFormat="1" ht="18.75" customHeight="1">
      <c r="A301" s="2114"/>
      <c r="B301" s="504" t="s">
        <v>804</v>
      </c>
      <c r="C301" s="501">
        <v>4100</v>
      </c>
      <c r="D301" s="501"/>
      <c r="E301" s="501">
        <f>C301*E298</f>
        <v>1230</v>
      </c>
      <c r="F301" s="501">
        <f>C301*F298</f>
        <v>1435</v>
      </c>
      <c r="G301" s="501">
        <f>C301*G298</f>
        <v>1640</v>
      </c>
      <c r="H301" s="501">
        <f>C301*H298</f>
        <v>2255</v>
      </c>
      <c r="I301" s="752">
        <f>C301*I298</f>
        <v>2870</v>
      </c>
    </row>
    <row r="302" spans="1:20" s="451" customFormat="1" ht="18.75" customHeight="1">
      <c r="A302" s="2114"/>
      <c r="B302" s="753" t="s">
        <v>440</v>
      </c>
      <c r="C302" s="754">
        <v>1</v>
      </c>
      <c r="D302" s="755"/>
      <c r="E302" s="754">
        <v>1</v>
      </c>
      <c r="F302" s="754">
        <v>1</v>
      </c>
      <c r="G302" s="754">
        <v>1</v>
      </c>
      <c r="H302" s="754">
        <v>1</v>
      </c>
      <c r="I302" s="756">
        <v>1</v>
      </c>
    </row>
    <row r="303" spans="1:20" s="451" customFormat="1" ht="18.75" customHeight="1" thickBot="1">
      <c r="A303" s="2114"/>
      <c r="B303" s="757" t="s">
        <v>441</v>
      </c>
      <c r="C303" s="758"/>
      <c r="D303" s="758"/>
      <c r="E303" s="759">
        <f>C302-E302</f>
        <v>0</v>
      </c>
      <c r="F303" s="759">
        <v>0</v>
      </c>
      <c r="G303" s="759">
        <v>0</v>
      </c>
      <c r="H303" s="759">
        <v>0</v>
      </c>
      <c r="I303" s="760">
        <v>0</v>
      </c>
    </row>
    <row r="304" spans="1:20" s="451" customFormat="1" ht="18.75" customHeight="1">
      <c r="A304" s="2114"/>
      <c r="B304" s="761" t="s">
        <v>872</v>
      </c>
      <c r="C304" s="762" t="s">
        <v>963</v>
      </c>
      <c r="D304" s="762"/>
      <c r="E304" s="763">
        <v>0.04</v>
      </c>
      <c r="F304" s="763"/>
      <c r="G304" s="763"/>
      <c r="H304" s="763"/>
      <c r="I304" s="764"/>
    </row>
    <row r="305" spans="1:19" s="451" customFormat="1" ht="18.75" customHeight="1" thickBot="1">
      <c r="A305" s="2115"/>
      <c r="B305" s="765"/>
      <c r="C305" s="766"/>
      <c r="D305" s="766"/>
      <c r="E305" s="796">
        <f>C298*0.04</f>
        <v>684</v>
      </c>
      <c r="F305" s="796">
        <f>F299-E299</f>
        <v>855</v>
      </c>
      <c r="G305" s="796">
        <f>G299-F299</f>
        <v>855</v>
      </c>
      <c r="H305" s="796">
        <f>H299-G299</f>
        <v>2565</v>
      </c>
      <c r="I305" s="797">
        <f>I299-H299</f>
        <v>2565</v>
      </c>
      <c r="J305" s="468"/>
    </row>
    <row r="306" spans="1:19" s="451" customFormat="1" ht="18.75" customHeight="1">
      <c r="A306" s="2118" t="s">
        <v>443</v>
      </c>
      <c r="B306" s="2116" t="s">
        <v>873</v>
      </c>
      <c r="C306" s="1044" t="s">
        <v>434</v>
      </c>
      <c r="D306" s="1044" t="s">
        <v>435</v>
      </c>
      <c r="E306" s="1044">
        <v>2021</v>
      </c>
      <c r="F306" s="1044">
        <v>2022</v>
      </c>
      <c r="G306" s="1044">
        <v>2023</v>
      </c>
      <c r="H306" s="1044">
        <v>2024</v>
      </c>
      <c r="I306" s="1046">
        <v>2025</v>
      </c>
      <c r="J306" s="478"/>
    </row>
    <row r="307" spans="1:19" s="451" customFormat="1" ht="18.75" customHeight="1" thickBot="1">
      <c r="A307" s="2119"/>
      <c r="B307" s="2117"/>
      <c r="C307" s="419">
        <v>21300</v>
      </c>
      <c r="D307" s="1202">
        <v>0.34399999999999997</v>
      </c>
      <c r="E307" s="747">
        <v>0.4</v>
      </c>
      <c r="F307" s="747">
        <v>0.45</v>
      </c>
      <c r="G307" s="747">
        <v>0.5</v>
      </c>
      <c r="H307" s="747">
        <v>0.6</v>
      </c>
      <c r="I307" s="748">
        <v>0.7</v>
      </c>
      <c r="J307" s="478"/>
    </row>
    <row r="308" spans="1:19" s="451" customFormat="1" ht="18.75" customHeight="1">
      <c r="A308" s="2119"/>
      <c r="B308" s="749" t="s">
        <v>802</v>
      </c>
      <c r="C308" s="750"/>
      <c r="D308" s="750"/>
      <c r="E308" s="750">
        <f>C307*E307</f>
        <v>8520</v>
      </c>
      <c r="F308" s="750">
        <f>C307*F307</f>
        <v>9585</v>
      </c>
      <c r="G308" s="750">
        <f>C307*G307</f>
        <v>10650</v>
      </c>
      <c r="H308" s="750">
        <f>C307*H307</f>
        <v>12780</v>
      </c>
      <c r="I308" s="751">
        <f>I307*C307</f>
        <v>14909.999999999998</v>
      </c>
      <c r="J308" s="478"/>
    </row>
    <row r="309" spans="1:19" s="451" customFormat="1" ht="18.75" customHeight="1">
      <c r="A309" s="2119"/>
      <c r="B309" s="504" t="s">
        <v>803</v>
      </c>
      <c r="C309" s="501">
        <v>17800</v>
      </c>
      <c r="D309" s="501"/>
      <c r="E309" s="501">
        <f>C309*E307</f>
        <v>7120</v>
      </c>
      <c r="F309" s="501">
        <f>C309*F307</f>
        <v>8010</v>
      </c>
      <c r="G309" s="501">
        <f>C309*G307</f>
        <v>8900</v>
      </c>
      <c r="H309" s="501">
        <f>C309*H307</f>
        <v>10680</v>
      </c>
      <c r="I309" s="752">
        <f>C309*I307</f>
        <v>12460</v>
      </c>
      <c r="J309" s="478"/>
    </row>
    <row r="310" spans="1:19" s="451" customFormat="1" ht="18.75" customHeight="1">
      <c r="A310" s="2119"/>
      <c r="B310" s="504" t="s">
        <v>804</v>
      </c>
      <c r="C310" s="501">
        <v>3500</v>
      </c>
      <c r="D310" s="501"/>
      <c r="E310" s="501">
        <f>C310*E307</f>
        <v>1400</v>
      </c>
      <c r="F310" s="501">
        <f>C310*F307</f>
        <v>1575</v>
      </c>
      <c r="G310" s="501">
        <f>C310*G307</f>
        <v>1750</v>
      </c>
      <c r="H310" s="767">
        <f>C310*H307</f>
        <v>2100</v>
      </c>
      <c r="I310" s="795">
        <f>C310*I307</f>
        <v>2450</v>
      </c>
      <c r="J310" s="478"/>
    </row>
    <row r="311" spans="1:19" s="451" customFormat="1" ht="18.75" customHeight="1">
      <c r="A311" s="2119"/>
      <c r="B311" s="753" t="s">
        <v>440</v>
      </c>
      <c r="C311" s="754">
        <v>1</v>
      </c>
      <c r="D311" s="755"/>
      <c r="E311" s="754">
        <f>C311-E312</f>
        <v>1</v>
      </c>
      <c r="F311" s="754">
        <f>C311-F312</f>
        <v>1</v>
      </c>
      <c r="G311" s="754">
        <f>C311-G312</f>
        <v>1</v>
      </c>
      <c r="H311" s="754">
        <f>C311-H312</f>
        <v>1</v>
      </c>
      <c r="I311" s="756">
        <f>C311-I312</f>
        <v>1</v>
      </c>
      <c r="J311" s="478"/>
    </row>
    <row r="312" spans="1:19" s="451" customFormat="1" ht="18.75" customHeight="1" thickBot="1">
      <c r="A312" s="2119"/>
      <c r="B312" s="757" t="s">
        <v>441</v>
      </c>
      <c r="C312" s="758"/>
      <c r="D312" s="758"/>
      <c r="E312" s="759">
        <v>0</v>
      </c>
      <c r="F312" s="759">
        <v>0</v>
      </c>
      <c r="G312" s="759">
        <v>0</v>
      </c>
      <c r="H312" s="759">
        <v>0</v>
      </c>
      <c r="I312" s="760">
        <v>0</v>
      </c>
      <c r="J312" s="478"/>
    </row>
    <row r="313" spans="1:19" s="451" customFormat="1" ht="18.75" customHeight="1">
      <c r="A313" s="2119"/>
      <c r="B313" s="761" t="s">
        <v>805</v>
      </c>
      <c r="C313" s="762" t="s">
        <v>962</v>
      </c>
      <c r="D313" s="762"/>
      <c r="E313" s="763">
        <v>0.04</v>
      </c>
      <c r="F313" s="763"/>
      <c r="G313" s="763"/>
      <c r="H313" s="763"/>
      <c r="I313" s="764"/>
      <c r="J313" s="478"/>
    </row>
    <row r="314" spans="1:19" s="451" customFormat="1" ht="18.75" customHeight="1" thickBot="1">
      <c r="A314" s="2120"/>
      <c r="B314" s="765"/>
      <c r="C314" s="766"/>
      <c r="D314" s="766"/>
      <c r="E314" s="796">
        <f>C307*E313</f>
        <v>852</v>
      </c>
      <c r="F314" s="796">
        <f>F308-E308</f>
        <v>1065</v>
      </c>
      <c r="G314" s="798">
        <f>G308-F308</f>
        <v>1065</v>
      </c>
      <c r="H314" s="799">
        <f>H308-G308</f>
        <v>2130</v>
      </c>
      <c r="I314" s="800">
        <f>I308-H308</f>
        <v>2129.9999999999982</v>
      </c>
      <c r="J314" s="478"/>
    </row>
    <row r="315" spans="1:19" s="451" customFormat="1" ht="18.75" customHeight="1" thickBot="1">
      <c r="A315" s="768"/>
      <c r="B315" s="769"/>
      <c r="C315" s="769"/>
      <c r="D315" s="770"/>
      <c r="E315" s="2060" t="s">
        <v>823</v>
      </c>
      <c r="F315" s="2061"/>
      <c r="G315" s="2061"/>
      <c r="H315" s="2061"/>
      <c r="I315" s="2061"/>
      <c r="J315" s="2097"/>
      <c r="K315" s="2057" t="s">
        <v>824</v>
      </c>
      <c r="L315" s="2058"/>
      <c r="M315" s="2058"/>
      <c r="N315" s="2058"/>
      <c r="O315" s="2058"/>
      <c r="P315" s="2058"/>
      <c r="Q315" s="2058"/>
      <c r="R315" s="2058"/>
      <c r="S315" s="2059"/>
    </row>
    <row r="316" spans="1:19" s="451" customFormat="1" ht="18.75" customHeight="1" thickBot="1">
      <c r="A316" s="2106" t="s">
        <v>149</v>
      </c>
      <c r="B316" s="771" t="s">
        <v>874</v>
      </c>
      <c r="C316" s="772"/>
      <c r="D316" s="773"/>
      <c r="E316" s="774">
        <v>2021</v>
      </c>
      <c r="F316" s="775">
        <v>2022</v>
      </c>
      <c r="G316" s="775">
        <v>2023</v>
      </c>
      <c r="H316" s="775">
        <v>2024</v>
      </c>
      <c r="I316" s="775">
        <v>2025</v>
      </c>
      <c r="J316" s="776" t="s">
        <v>101</v>
      </c>
      <c r="K316" s="777">
        <v>2021</v>
      </c>
      <c r="L316" s="778">
        <v>2022</v>
      </c>
      <c r="M316" s="778">
        <v>2023</v>
      </c>
      <c r="N316" s="778">
        <v>2024</v>
      </c>
      <c r="O316" s="778">
        <v>2025</v>
      </c>
      <c r="P316" s="779"/>
      <c r="Q316" s="780" t="s">
        <v>826</v>
      </c>
      <c r="R316" s="781" t="s">
        <v>828</v>
      </c>
      <c r="S316" s="782" t="s">
        <v>829</v>
      </c>
    </row>
    <row r="317" spans="1:19" s="451" customFormat="1" ht="18.75" customHeight="1">
      <c r="A317" s="2093"/>
      <c r="B317" s="783" t="s">
        <v>875</v>
      </c>
      <c r="C317" s="501" t="s">
        <v>876</v>
      </c>
      <c r="D317" s="722"/>
      <c r="E317" s="735">
        <f>E305+E314</f>
        <v>1536</v>
      </c>
      <c r="F317" s="736">
        <f>F305+F314</f>
        <v>1920</v>
      </c>
      <c r="G317" s="736">
        <f t="shared" ref="G317:I317" si="148">G305+G314</f>
        <v>1920</v>
      </c>
      <c r="H317" s="736">
        <f t="shared" si="148"/>
        <v>4695</v>
      </c>
      <c r="I317" s="736">
        <f t="shared" si="148"/>
        <v>4694.9999999999982</v>
      </c>
      <c r="J317" s="784">
        <f>SUM(E317:I317)</f>
        <v>14765.999999999998</v>
      </c>
      <c r="K317" s="785">
        <f>ROUNDUP(E317*1.15,-1)</f>
        <v>1770</v>
      </c>
      <c r="L317" s="786">
        <f>ROUNDUP(F317*1.15,-1)</f>
        <v>2210</v>
      </c>
      <c r="M317" s="786">
        <f t="shared" ref="M317:O320" si="149">ROUNDUP(G317*1.15,-1)</f>
        <v>2210</v>
      </c>
      <c r="N317" s="786">
        <f t="shared" si="149"/>
        <v>5400</v>
      </c>
      <c r="O317" s="786">
        <f t="shared" si="149"/>
        <v>5400</v>
      </c>
      <c r="P317" s="789">
        <f ca="1">SUM(K317:AL317)</f>
        <v>16400</v>
      </c>
      <c r="Q317" s="787">
        <v>190</v>
      </c>
      <c r="R317" s="788">
        <v>108</v>
      </c>
      <c r="S317" s="543">
        <f>SUM(Q317:R317)</f>
        <v>298</v>
      </c>
    </row>
    <row r="318" spans="1:19" s="451" customFormat="1" ht="18.75" customHeight="1">
      <c r="A318" s="2093"/>
      <c r="B318" s="783" t="s">
        <v>877</v>
      </c>
      <c r="C318" s="501" t="s">
        <v>876</v>
      </c>
      <c r="D318" s="722"/>
      <c r="E318" s="716">
        <f>E305+E314</f>
        <v>1536</v>
      </c>
      <c r="F318" s="717">
        <f>F305+F314</f>
        <v>1920</v>
      </c>
      <c r="G318" s="717">
        <f t="shared" ref="G318:I318" si="150">G305+G314</f>
        <v>1920</v>
      </c>
      <c r="H318" s="717">
        <f t="shared" si="150"/>
        <v>4695</v>
      </c>
      <c r="I318" s="717">
        <f t="shared" si="150"/>
        <v>4694.9999999999982</v>
      </c>
      <c r="J318" s="789">
        <f>SUM(E318:I318)</f>
        <v>14765.999999999998</v>
      </c>
      <c r="K318" s="790">
        <f>ROUNDUP(E318*1.15,-1)</f>
        <v>1770</v>
      </c>
      <c r="L318" s="791">
        <f t="shared" ref="K318:L320" si="151">ROUNDUP(F318*1.15,-1)</f>
        <v>2210</v>
      </c>
      <c r="M318" s="791">
        <f t="shared" si="149"/>
        <v>2210</v>
      </c>
      <c r="N318" s="791">
        <f t="shared" si="149"/>
        <v>5400</v>
      </c>
      <c r="O318" s="791">
        <f t="shared" si="149"/>
        <v>5400</v>
      </c>
      <c r="P318" s="789">
        <f ca="1">SUM(K318:AL318)</f>
        <v>16400</v>
      </c>
      <c r="Q318" s="787">
        <v>190</v>
      </c>
      <c r="R318" s="788">
        <v>108</v>
      </c>
      <c r="S318" s="543">
        <f>SUM(Q318:R318)</f>
        <v>298</v>
      </c>
    </row>
    <row r="319" spans="1:19" s="451" customFormat="1" ht="18.75" customHeight="1">
      <c r="A319" s="2093"/>
      <c r="B319" s="783" t="s">
        <v>878</v>
      </c>
      <c r="C319" s="501" t="s">
        <v>876</v>
      </c>
      <c r="D319" s="722"/>
      <c r="E319" s="716">
        <f>E305+E314</f>
        <v>1536</v>
      </c>
      <c r="F319" s="717">
        <f>F305+F314</f>
        <v>1920</v>
      </c>
      <c r="G319" s="717">
        <f t="shared" ref="G319:I319" si="152">G305+G314</f>
        <v>1920</v>
      </c>
      <c r="H319" s="717">
        <f t="shared" si="152"/>
        <v>4695</v>
      </c>
      <c r="I319" s="717">
        <f t="shared" si="152"/>
        <v>4694.9999999999982</v>
      </c>
      <c r="J319" s="789">
        <f>SUM(E319:I319)</f>
        <v>14765.999999999998</v>
      </c>
      <c r="K319" s="790">
        <f t="shared" si="151"/>
        <v>1770</v>
      </c>
      <c r="L319" s="791">
        <f>ROUNDUP(F319*1.15,-1)</f>
        <v>2210</v>
      </c>
      <c r="M319" s="791">
        <f t="shared" si="149"/>
        <v>2210</v>
      </c>
      <c r="N319" s="791">
        <f t="shared" si="149"/>
        <v>5400</v>
      </c>
      <c r="O319" s="791">
        <f t="shared" si="149"/>
        <v>5400</v>
      </c>
      <c r="P319" s="789">
        <f ca="1">SUM(K319:AL319)</f>
        <v>16400</v>
      </c>
      <c r="Q319" s="787">
        <v>190</v>
      </c>
      <c r="R319" s="788">
        <v>108</v>
      </c>
      <c r="S319" s="543">
        <f>SUM(Q319:R319)</f>
        <v>298</v>
      </c>
    </row>
    <row r="320" spans="1:19" s="451" customFormat="1" ht="18.75" customHeight="1" thickBot="1">
      <c r="A320" s="2093"/>
      <c r="B320" s="783" t="s">
        <v>879</v>
      </c>
      <c r="C320" s="501" t="s">
        <v>876</v>
      </c>
      <c r="D320" s="722"/>
      <c r="E320" s="727">
        <f>E305+E314</f>
        <v>1536</v>
      </c>
      <c r="F320" s="728">
        <f>F305+F314</f>
        <v>1920</v>
      </c>
      <c r="G320" s="728">
        <f t="shared" ref="G320:I320" si="153">G305+G314</f>
        <v>1920</v>
      </c>
      <c r="H320" s="728">
        <f t="shared" si="153"/>
        <v>4695</v>
      </c>
      <c r="I320" s="728">
        <f t="shared" si="153"/>
        <v>4694.9999999999982</v>
      </c>
      <c r="J320" s="792">
        <f>SUM(E320:I320)</f>
        <v>14765.999999999998</v>
      </c>
      <c r="K320" s="793">
        <f t="shared" si="151"/>
        <v>1770</v>
      </c>
      <c r="L320" s="794">
        <f t="shared" si="151"/>
        <v>2210</v>
      </c>
      <c r="M320" s="794">
        <f t="shared" si="149"/>
        <v>2210</v>
      </c>
      <c r="N320" s="794">
        <f t="shared" si="149"/>
        <v>5400</v>
      </c>
      <c r="O320" s="794">
        <f t="shared" si="149"/>
        <v>5400</v>
      </c>
      <c r="P320" s="792">
        <f ca="1">SUM(K320:AL320)</f>
        <v>16400</v>
      </c>
      <c r="Q320" s="787">
        <v>190</v>
      </c>
      <c r="R320" s="788">
        <v>108</v>
      </c>
      <c r="S320" s="543">
        <f>SUM(Q320:R320)</f>
        <v>298</v>
      </c>
    </row>
    <row r="321" spans="1:43" s="451" customFormat="1" ht="18.75" customHeight="1" thickBot="1">
      <c r="A321" s="2093"/>
      <c r="B321" s="442" t="s">
        <v>830</v>
      </c>
      <c r="C321" s="443"/>
      <c r="D321" s="444"/>
      <c r="E321" s="657">
        <f>SUM(E317:E320)</f>
        <v>6144</v>
      </c>
      <c r="F321" s="658">
        <f t="shared" ref="F321:O321" si="154">SUM(F317:F320)</f>
        <v>7680</v>
      </c>
      <c r="G321" s="658">
        <f t="shared" si="154"/>
        <v>7680</v>
      </c>
      <c r="H321" s="658">
        <f>SUM(H317:H320)</f>
        <v>18780</v>
      </c>
      <c r="I321" s="658">
        <f t="shared" si="154"/>
        <v>18779.999999999993</v>
      </c>
      <c r="J321" s="540">
        <f t="shared" si="154"/>
        <v>59063.999999999993</v>
      </c>
      <c r="K321" s="538">
        <f t="shared" si="154"/>
        <v>7080</v>
      </c>
      <c r="L321" s="539">
        <f t="shared" si="154"/>
        <v>8840</v>
      </c>
      <c r="M321" s="539">
        <f t="shared" si="154"/>
        <v>8840</v>
      </c>
      <c r="N321" s="539">
        <f t="shared" si="154"/>
        <v>21600</v>
      </c>
      <c r="O321" s="539">
        <f t="shared" si="154"/>
        <v>21600</v>
      </c>
      <c r="P321" s="540">
        <f ca="1">SUM(P317:P320)</f>
        <v>0</v>
      </c>
      <c r="Q321" s="541">
        <f>AVERAGE(Q317:Q320)</f>
        <v>190</v>
      </c>
      <c r="R321" s="542">
        <f>AVERAGE(R317:R320)</f>
        <v>108</v>
      </c>
      <c r="S321" s="543">
        <f>AVERAGE(S317:S320)</f>
        <v>298</v>
      </c>
    </row>
    <row r="322" spans="1:43" s="721" customFormat="1" ht="18.75" customHeight="1" thickBot="1">
      <c r="A322" s="2107"/>
      <c r="B322" s="442" t="s">
        <v>831</v>
      </c>
      <c r="C322" s="443"/>
      <c r="D322" s="444"/>
      <c r="E322" s="659" t="s">
        <v>832</v>
      </c>
      <c r="F322" s="660" t="s">
        <v>832</v>
      </c>
      <c r="G322" s="660" t="s">
        <v>832</v>
      </c>
      <c r="H322" s="660" t="s">
        <v>833</v>
      </c>
      <c r="I322" s="661" t="s">
        <v>833</v>
      </c>
      <c r="J322" s="547"/>
      <c r="K322" s="544" t="s">
        <v>832</v>
      </c>
      <c r="L322" s="545" t="s">
        <v>832</v>
      </c>
      <c r="M322" s="545" t="s">
        <v>832</v>
      </c>
      <c r="N322" s="545" t="s">
        <v>833</v>
      </c>
      <c r="O322" s="546" t="s">
        <v>833</v>
      </c>
      <c r="P322" s="547"/>
      <c r="Q322" s="548" t="s">
        <v>832</v>
      </c>
      <c r="R322" s="549" t="s">
        <v>832</v>
      </c>
      <c r="S322" s="550"/>
      <c r="T322" s="451"/>
      <c r="U322" s="451"/>
      <c r="V322" s="451"/>
      <c r="W322" s="451"/>
      <c r="X322" s="451"/>
      <c r="Y322" s="451"/>
      <c r="Z322" s="451"/>
      <c r="AA322" s="451"/>
      <c r="AB322" s="451"/>
      <c r="AC322" s="451"/>
      <c r="AD322" s="451"/>
      <c r="AE322" s="451"/>
      <c r="AF322" s="451"/>
      <c r="AG322" s="451"/>
      <c r="AH322" s="451"/>
      <c r="AI322" s="451"/>
      <c r="AJ322" s="451"/>
      <c r="AK322" s="451"/>
      <c r="AL322" s="451"/>
      <c r="AM322" s="451"/>
      <c r="AN322" s="451"/>
      <c r="AO322" s="451"/>
      <c r="AP322" s="451"/>
      <c r="AQ322" s="451"/>
    </row>
    <row r="323" spans="1:43">
      <c r="T323" s="390"/>
      <c r="U323" s="390"/>
      <c r="V323" s="390"/>
      <c r="W323" s="390"/>
      <c r="X323" s="390"/>
      <c r="Y323" s="390"/>
      <c r="Z323" s="390"/>
      <c r="AA323" s="390"/>
      <c r="AB323" s="390"/>
      <c r="AC323" s="390"/>
      <c r="AD323" s="390"/>
      <c r="AE323" s="390"/>
      <c r="AF323" s="390"/>
      <c r="AG323" s="390"/>
      <c r="AH323" s="390"/>
      <c r="AI323" s="390"/>
      <c r="AJ323" s="390"/>
      <c r="AK323" s="390"/>
      <c r="AL323" s="390"/>
      <c r="AM323" s="390"/>
      <c r="AN323" s="390"/>
      <c r="AO323" s="390"/>
      <c r="AP323" s="390"/>
      <c r="AQ323" s="390"/>
    </row>
    <row r="324" spans="1:43" ht="19.5" thickBot="1">
      <c r="B324" s="388" t="s">
        <v>1265</v>
      </c>
      <c r="T324" s="390"/>
      <c r="U324" s="390"/>
      <c r="V324" s="390"/>
      <c r="W324" s="390"/>
      <c r="X324" s="390"/>
      <c r="Y324" s="390"/>
      <c r="Z324" s="390"/>
      <c r="AA324" s="390"/>
      <c r="AB324" s="390"/>
      <c r="AC324" s="390"/>
      <c r="AD324" s="390"/>
      <c r="AE324" s="390"/>
      <c r="AF324" s="390"/>
      <c r="AG324" s="390"/>
      <c r="AH324" s="390"/>
      <c r="AI324" s="390"/>
      <c r="AJ324" s="390"/>
      <c r="AK324" s="390"/>
      <c r="AL324" s="390"/>
      <c r="AM324" s="390"/>
      <c r="AN324" s="390"/>
      <c r="AO324" s="390"/>
      <c r="AP324" s="390"/>
      <c r="AQ324" s="390"/>
    </row>
    <row r="325" spans="1:43" ht="18.75" customHeight="1">
      <c r="A325" s="2108" t="s">
        <v>882</v>
      </c>
      <c r="B325" s="1203" t="s">
        <v>880</v>
      </c>
      <c r="C325" s="1204" t="s">
        <v>434</v>
      </c>
      <c r="D325" s="773">
        <v>2019</v>
      </c>
      <c r="E325" s="1205">
        <v>2021</v>
      </c>
      <c r="F325" s="1203">
        <v>2022</v>
      </c>
      <c r="G325" s="1203">
        <v>2023</v>
      </c>
      <c r="H325" s="1203">
        <v>2024</v>
      </c>
      <c r="I325" s="1206">
        <v>2025</v>
      </c>
      <c r="M325" s="1042"/>
      <c r="Q325" s="451"/>
      <c r="R325" s="451"/>
      <c r="S325" s="451"/>
      <c r="T325" s="451"/>
    </row>
    <row r="326" spans="1:43" s="451" customFormat="1" ht="18.75" customHeight="1">
      <c r="A326" s="2109"/>
      <c r="B326" s="1207" t="s">
        <v>324</v>
      </c>
      <c r="C326" s="1208" t="s">
        <v>1266</v>
      </c>
      <c r="D326" s="1209">
        <v>6690</v>
      </c>
      <c r="E326" s="965">
        <v>8340</v>
      </c>
      <c r="F326" s="964">
        <v>9165</v>
      </c>
      <c r="G326" s="964">
        <v>9990</v>
      </c>
      <c r="H326" s="964">
        <v>10815</v>
      </c>
      <c r="I326" s="1210">
        <v>11653</v>
      </c>
      <c r="J326" s="1042"/>
      <c r="K326" s="1042"/>
      <c r="L326" s="1042"/>
      <c r="M326" s="1042"/>
      <c r="N326" s="1042"/>
      <c r="O326" s="1042"/>
      <c r="P326" s="1042"/>
    </row>
    <row r="327" spans="1:43" s="451" customFormat="1" ht="18.75" customHeight="1">
      <c r="A327" s="2109"/>
      <c r="B327" s="1207" t="s">
        <v>325</v>
      </c>
      <c r="C327" s="1208" t="s">
        <v>1266</v>
      </c>
      <c r="D327" s="1211"/>
      <c r="E327" s="965">
        <v>8340</v>
      </c>
      <c r="F327" s="964">
        <v>9165</v>
      </c>
      <c r="G327" s="964">
        <v>9990</v>
      </c>
      <c r="H327" s="964">
        <v>10815</v>
      </c>
      <c r="I327" s="1210">
        <v>11653</v>
      </c>
      <c r="J327" s="1042"/>
      <c r="K327" s="1042"/>
      <c r="L327" s="1042"/>
      <c r="M327" s="1042"/>
      <c r="N327" s="1042"/>
      <c r="O327" s="1042"/>
      <c r="P327" s="1042"/>
    </row>
    <row r="328" spans="1:43" s="451" customFormat="1" ht="18.75" customHeight="1" thickBot="1">
      <c r="A328" s="2110"/>
      <c r="B328" s="1212" t="s">
        <v>883</v>
      </c>
      <c r="C328" s="1213"/>
      <c r="D328" s="1214"/>
      <c r="E328" s="966">
        <v>100</v>
      </c>
      <c r="F328" s="967">
        <v>100</v>
      </c>
      <c r="G328" s="967">
        <v>100</v>
      </c>
      <c r="H328" s="967">
        <v>100</v>
      </c>
      <c r="I328" s="968">
        <v>100</v>
      </c>
      <c r="J328" s="1042"/>
      <c r="K328" s="1042"/>
      <c r="L328" s="1042"/>
      <c r="M328" s="1042"/>
      <c r="N328" s="1042"/>
      <c r="O328" s="1042"/>
      <c r="P328" s="1042"/>
    </row>
    <row r="329" spans="1:43" s="451" customFormat="1" ht="18.75" customHeight="1" thickBot="1">
      <c r="A329" s="2094"/>
      <c r="B329" s="2095"/>
      <c r="C329" s="2095"/>
      <c r="D329" s="2096"/>
      <c r="E329" s="2111" t="s">
        <v>881</v>
      </c>
      <c r="F329" s="2112"/>
      <c r="G329" s="2112"/>
      <c r="H329" s="2112"/>
      <c r="I329" s="2112"/>
      <c r="J329" s="2059"/>
      <c r="K329" s="2060" t="s">
        <v>961</v>
      </c>
      <c r="L329" s="2061"/>
      <c r="M329" s="2061"/>
      <c r="N329" s="2061"/>
      <c r="O329" s="2061"/>
      <c r="P329" s="2061"/>
      <c r="Q329" s="2061"/>
      <c r="R329" s="2061"/>
      <c r="S329" s="2097"/>
    </row>
    <row r="330" spans="1:43" s="390" customFormat="1" ht="27" customHeight="1" thickBot="1">
      <c r="A330" s="2062" t="s">
        <v>1267</v>
      </c>
      <c r="B330" s="553" t="s">
        <v>855</v>
      </c>
      <c r="C330" s="554"/>
      <c r="D330" s="554"/>
      <c r="E330" s="1200">
        <v>2021</v>
      </c>
      <c r="F330" s="554">
        <v>2022</v>
      </c>
      <c r="G330" s="554">
        <v>2023</v>
      </c>
      <c r="H330" s="554">
        <v>2024</v>
      </c>
      <c r="I330" s="554">
        <v>2025</v>
      </c>
      <c r="J330" s="1215" t="s">
        <v>101</v>
      </c>
      <c r="K330" s="819">
        <v>2021</v>
      </c>
      <c r="L330" s="819">
        <v>2022</v>
      </c>
      <c r="M330" s="819">
        <v>2023</v>
      </c>
      <c r="N330" s="819">
        <v>2024</v>
      </c>
      <c r="O330" s="1216">
        <v>2025</v>
      </c>
      <c r="P330" s="1215" t="s">
        <v>101</v>
      </c>
      <c r="Q330" s="555" t="s">
        <v>826</v>
      </c>
      <c r="R330" s="556" t="s">
        <v>828</v>
      </c>
      <c r="S330" s="583" t="s">
        <v>829</v>
      </c>
    </row>
    <row r="331" spans="1:43" s="390" customFormat="1" ht="18.75" customHeight="1">
      <c r="A331" s="2063"/>
      <c r="B331" s="551" t="s">
        <v>324</v>
      </c>
      <c r="C331" s="581" t="s">
        <v>1268</v>
      </c>
      <c r="D331" s="1026"/>
      <c r="E331" s="1217">
        <f>E326*1.1</f>
        <v>9174</v>
      </c>
      <c r="F331" s="408">
        <f>F326*1.1</f>
        <v>10081.5</v>
      </c>
      <c r="G331" s="408">
        <f>G326*1.1</f>
        <v>10989</v>
      </c>
      <c r="H331" s="408">
        <f>H326*1.1</f>
        <v>11896.500000000002</v>
      </c>
      <c r="I331" s="408">
        <f>I326*1.1</f>
        <v>12818.300000000001</v>
      </c>
      <c r="J331" s="1431">
        <f t="shared" ref="J331:J333" si="155">SUM(E331:I331)</f>
        <v>54959.3</v>
      </c>
      <c r="K331" s="785">
        <f>E331*1.05</f>
        <v>9632.7000000000007</v>
      </c>
      <c r="L331" s="786">
        <f>F331*1.05</f>
        <v>10585.575000000001</v>
      </c>
      <c r="M331" s="786">
        <f t="shared" ref="L331:O332" si="156">G331*1.05</f>
        <v>11538.45</v>
      </c>
      <c r="N331" s="786">
        <f t="shared" si="156"/>
        <v>12491.325000000003</v>
      </c>
      <c r="O331" s="1434">
        <f t="shared" si="156"/>
        <v>13459.215000000002</v>
      </c>
      <c r="P331" s="560">
        <f t="shared" ref="P331:P333" si="157">SUM(K331:O331)</f>
        <v>57707.265000000007</v>
      </c>
      <c r="Q331" s="584">
        <f>Q270</f>
        <v>316</v>
      </c>
      <c r="R331" s="584">
        <f>R270</f>
        <v>55</v>
      </c>
      <c r="S331" s="585">
        <f>SUM(Q331:R331)</f>
        <v>371</v>
      </c>
      <c r="T331" s="391"/>
    </row>
    <row r="332" spans="1:43" s="390" customFormat="1" ht="18.75" customHeight="1">
      <c r="A332" s="2063"/>
      <c r="B332" s="551" t="s">
        <v>325</v>
      </c>
      <c r="C332" s="581" t="s">
        <v>1268</v>
      </c>
      <c r="D332" s="1026"/>
      <c r="E332" s="1217">
        <f>E327*1.1</f>
        <v>9174</v>
      </c>
      <c r="F332" s="408">
        <f t="shared" ref="F332:I332" si="158">F327*1.1</f>
        <v>10081.5</v>
      </c>
      <c r="G332" s="408">
        <f t="shared" si="158"/>
        <v>10989</v>
      </c>
      <c r="H332" s="408">
        <f t="shared" si="158"/>
        <v>11896.500000000002</v>
      </c>
      <c r="I332" s="408">
        <f t="shared" si="158"/>
        <v>12818.300000000001</v>
      </c>
      <c r="J332" s="1431">
        <f t="shared" si="155"/>
        <v>54959.3</v>
      </c>
      <c r="K332" s="790">
        <f>E332*1.05</f>
        <v>9632.7000000000007</v>
      </c>
      <c r="L332" s="791">
        <f t="shared" si="156"/>
        <v>10585.575000000001</v>
      </c>
      <c r="M332" s="791">
        <f t="shared" si="156"/>
        <v>11538.45</v>
      </c>
      <c r="N332" s="791">
        <f t="shared" si="156"/>
        <v>12491.325000000003</v>
      </c>
      <c r="O332" s="1435">
        <f t="shared" si="156"/>
        <v>13459.215000000002</v>
      </c>
      <c r="P332" s="566">
        <f t="shared" si="157"/>
        <v>57707.265000000007</v>
      </c>
      <c r="Q332" s="586">
        <f>282</f>
        <v>282</v>
      </c>
      <c r="R332" s="586">
        <v>55</v>
      </c>
      <c r="S332" s="587">
        <f>SUM(Q332:R332)</f>
        <v>337</v>
      </c>
      <c r="T332" s="391"/>
    </row>
    <row r="333" spans="1:43" s="390" customFormat="1" ht="18.75" customHeight="1" thickBot="1">
      <c r="A333" s="2063"/>
      <c r="B333" s="582" t="s">
        <v>883</v>
      </c>
      <c r="C333" s="1026" t="s">
        <v>884</v>
      </c>
      <c r="D333" s="1026"/>
      <c r="E333" s="1218">
        <f>E328</f>
        <v>100</v>
      </c>
      <c r="F333" s="420">
        <f t="shared" ref="F333:I333" si="159">F328</f>
        <v>100</v>
      </c>
      <c r="G333" s="420">
        <f t="shared" si="159"/>
        <v>100</v>
      </c>
      <c r="H333" s="420">
        <f t="shared" si="159"/>
        <v>100</v>
      </c>
      <c r="I333" s="420">
        <f t="shared" si="159"/>
        <v>100</v>
      </c>
      <c r="J333" s="1432">
        <f t="shared" si="155"/>
        <v>500</v>
      </c>
      <c r="K333" s="1437">
        <f>E333</f>
        <v>100</v>
      </c>
      <c r="L333" s="1438">
        <f t="shared" ref="L333:O333" si="160">F333</f>
        <v>100</v>
      </c>
      <c r="M333" s="1438">
        <f t="shared" si="160"/>
        <v>100</v>
      </c>
      <c r="N333" s="1438">
        <f t="shared" si="160"/>
        <v>100</v>
      </c>
      <c r="O333" s="1439">
        <f t="shared" si="160"/>
        <v>100</v>
      </c>
      <c r="P333" s="566">
        <f t="shared" si="157"/>
        <v>500</v>
      </c>
      <c r="Q333" s="586">
        <f>Q317</f>
        <v>190</v>
      </c>
      <c r="R333" s="586">
        <f>R317</f>
        <v>108</v>
      </c>
      <c r="S333" s="587">
        <f>SUM(Q333:R333)</f>
        <v>298</v>
      </c>
      <c r="T333" s="391"/>
    </row>
    <row r="334" spans="1:43" ht="18.75" customHeight="1" thickBot="1">
      <c r="A334" s="2064"/>
      <c r="B334" s="532" t="s">
        <v>864</v>
      </c>
      <c r="C334" s="443"/>
      <c r="D334" s="443"/>
      <c r="E334" s="533"/>
      <c r="F334" s="533"/>
      <c r="G334" s="533"/>
      <c r="H334" s="533"/>
      <c r="I334" s="533"/>
      <c r="J334" s="536"/>
      <c r="K334" s="1440">
        <f>SUM(K331:K333)</f>
        <v>19365.400000000001</v>
      </c>
      <c r="L334" s="1441">
        <f t="shared" ref="L334:O334" si="161">SUM(L331:L333)</f>
        <v>21271.15</v>
      </c>
      <c r="M334" s="1441">
        <f t="shared" si="161"/>
        <v>23176.9</v>
      </c>
      <c r="N334" s="1441">
        <f t="shared" si="161"/>
        <v>25082.650000000005</v>
      </c>
      <c r="O334" s="1442">
        <f t="shared" si="161"/>
        <v>27018.430000000004</v>
      </c>
      <c r="P334" s="588">
        <f>SUM(P331:P333)</f>
        <v>115914.53000000001</v>
      </c>
      <c r="Q334" s="533"/>
      <c r="R334" s="589">
        <f>AVERAGE(R331:R333)</f>
        <v>72.666666666666671</v>
      </c>
      <c r="S334" s="590"/>
      <c r="T334" s="389"/>
    </row>
    <row r="335" spans="1:43" s="390" customFormat="1" ht="27" customHeight="1" thickBot="1">
      <c r="A335" s="2062" t="s">
        <v>1269</v>
      </c>
      <c r="B335" s="553" t="s">
        <v>855</v>
      </c>
      <c r="C335" s="554"/>
      <c r="D335" s="554"/>
      <c r="E335" s="1200">
        <v>2021</v>
      </c>
      <c r="F335" s="554">
        <v>2022</v>
      </c>
      <c r="G335" s="554">
        <v>2023</v>
      </c>
      <c r="H335" s="554">
        <v>2024</v>
      </c>
      <c r="I335" s="554">
        <v>2025</v>
      </c>
      <c r="J335" s="1215" t="s">
        <v>101</v>
      </c>
      <c r="K335" s="1433">
        <v>2021</v>
      </c>
      <c r="L335" s="1433">
        <v>2022</v>
      </c>
      <c r="M335" s="1433">
        <v>2023</v>
      </c>
      <c r="N335" s="1433">
        <v>2024</v>
      </c>
      <c r="O335" s="1433">
        <v>2025</v>
      </c>
      <c r="P335" s="1215" t="s">
        <v>101</v>
      </c>
      <c r="Q335" s="555" t="s">
        <v>826</v>
      </c>
      <c r="R335" s="556" t="s">
        <v>828</v>
      </c>
      <c r="S335" s="583" t="s">
        <v>829</v>
      </c>
    </row>
    <row r="336" spans="1:43" s="390" customFormat="1" ht="18.75" customHeight="1">
      <c r="A336" s="2063"/>
      <c r="B336" s="551" t="s">
        <v>324</v>
      </c>
      <c r="C336" s="581" t="s">
        <v>1268</v>
      </c>
      <c r="D336" s="1026"/>
      <c r="E336" s="1217">
        <f>E331*0.7</f>
        <v>6421.7999999999993</v>
      </c>
      <c r="F336" s="408">
        <f t="shared" ref="F336:I337" si="162">F331*0.7</f>
        <v>7057.0499999999993</v>
      </c>
      <c r="G336" s="408">
        <f t="shared" si="162"/>
        <v>7692.2999999999993</v>
      </c>
      <c r="H336" s="408">
        <f t="shared" si="162"/>
        <v>8327.5500000000011</v>
      </c>
      <c r="I336" s="408">
        <f t="shared" si="162"/>
        <v>8972.81</v>
      </c>
      <c r="J336" s="1431">
        <f t="shared" ref="J336:J338" si="163">SUM(E336:I336)</f>
        <v>38471.509999999995</v>
      </c>
      <c r="K336" s="785">
        <f>E336*1.05</f>
        <v>6742.8899999999994</v>
      </c>
      <c r="L336" s="786">
        <f t="shared" ref="L336:O337" si="164">F336*1.05</f>
        <v>7409.9024999999992</v>
      </c>
      <c r="M336" s="786">
        <f t="shared" si="164"/>
        <v>8076.915</v>
      </c>
      <c r="N336" s="786">
        <f t="shared" si="164"/>
        <v>8743.9275000000016</v>
      </c>
      <c r="O336" s="1434">
        <f t="shared" si="164"/>
        <v>9421.450499999999</v>
      </c>
      <c r="P336" s="560">
        <f t="shared" ref="P336:P338" si="165">SUM(K336:O336)</f>
        <v>40395.085500000001</v>
      </c>
      <c r="Q336" s="584">
        <f>Q270</f>
        <v>316</v>
      </c>
      <c r="R336" s="584">
        <f>R270</f>
        <v>55</v>
      </c>
      <c r="S336" s="585">
        <f>SUM(Q336:R336)</f>
        <v>371</v>
      </c>
      <c r="T336" s="391"/>
    </row>
    <row r="337" spans="1:20" s="390" customFormat="1" ht="18.75" customHeight="1">
      <c r="A337" s="2063"/>
      <c r="B337" s="551" t="s">
        <v>325</v>
      </c>
      <c r="C337" s="581" t="s">
        <v>1268</v>
      </c>
      <c r="D337" s="1026"/>
      <c r="E337" s="1217">
        <f>E332*0.7</f>
        <v>6421.7999999999993</v>
      </c>
      <c r="F337" s="408">
        <f t="shared" si="162"/>
        <v>7057.0499999999993</v>
      </c>
      <c r="G337" s="408">
        <f t="shared" si="162"/>
        <v>7692.2999999999993</v>
      </c>
      <c r="H337" s="408">
        <f t="shared" si="162"/>
        <v>8327.5500000000011</v>
      </c>
      <c r="I337" s="408">
        <f t="shared" si="162"/>
        <v>8972.81</v>
      </c>
      <c r="J337" s="1431">
        <f t="shared" si="163"/>
        <v>38471.509999999995</v>
      </c>
      <c r="K337" s="790">
        <f>E337*1.05</f>
        <v>6742.8899999999994</v>
      </c>
      <c r="L337" s="791">
        <f t="shared" si="164"/>
        <v>7409.9024999999992</v>
      </c>
      <c r="M337" s="791">
        <f t="shared" si="164"/>
        <v>8076.915</v>
      </c>
      <c r="N337" s="791">
        <f t="shared" si="164"/>
        <v>8743.9275000000016</v>
      </c>
      <c r="O337" s="1435">
        <f t="shared" si="164"/>
        <v>9421.450499999999</v>
      </c>
      <c r="P337" s="566">
        <f t="shared" si="165"/>
        <v>40395.085500000001</v>
      </c>
      <c r="Q337" s="586">
        <f>282</f>
        <v>282</v>
      </c>
      <c r="R337" s="586">
        <v>55</v>
      </c>
      <c r="S337" s="587">
        <f>SUM(Q337:R337)</f>
        <v>337</v>
      </c>
      <c r="T337" s="391"/>
    </row>
    <row r="338" spans="1:20" s="390" customFormat="1" ht="18.75" customHeight="1" thickBot="1">
      <c r="A338" s="2063"/>
      <c r="B338" s="582" t="s">
        <v>883</v>
      </c>
      <c r="C338" s="1026" t="s">
        <v>884</v>
      </c>
      <c r="D338" s="1026"/>
      <c r="E338" s="1218">
        <f>E333</f>
        <v>100</v>
      </c>
      <c r="F338" s="420">
        <f t="shared" ref="F338:I338" si="166">F333</f>
        <v>100</v>
      </c>
      <c r="G338" s="420">
        <f t="shared" si="166"/>
        <v>100</v>
      </c>
      <c r="H338" s="420">
        <f t="shared" si="166"/>
        <v>100</v>
      </c>
      <c r="I338" s="420">
        <f t="shared" si="166"/>
        <v>100</v>
      </c>
      <c r="J338" s="1432">
        <f t="shared" si="163"/>
        <v>500</v>
      </c>
      <c r="K338" s="1437">
        <f>E338</f>
        <v>100</v>
      </c>
      <c r="L338" s="1438">
        <f t="shared" ref="L338:O338" si="167">F338</f>
        <v>100</v>
      </c>
      <c r="M338" s="1438">
        <f t="shared" si="167"/>
        <v>100</v>
      </c>
      <c r="N338" s="1438">
        <f t="shared" si="167"/>
        <v>100</v>
      </c>
      <c r="O338" s="1439">
        <f t="shared" si="167"/>
        <v>100</v>
      </c>
      <c r="P338" s="566">
        <f t="shared" si="165"/>
        <v>500</v>
      </c>
      <c r="Q338" s="586">
        <f>Q333</f>
        <v>190</v>
      </c>
      <c r="R338" s="586">
        <f>R333</f>
        <v>108</v>
      </c>
      <c r="S338" s="587">
        <f>SUM(Q338:R338)</f>
        <v>298</v>
      </c>
      <c r="T338" s="391"/>
    </row>
    <row r="339" spans="1:20" ht="18.75" customHeight="1" thickBot="1">
      <c r="A339" s="2064"/>
      <c r="B339" s="532" t="s">
        <v>864</v>
      </c>
      <c r="C339" s="443"/>
      <c r="D339" s="443"/>
      <c r="E339" s="533"/>
      <c r="F339" s="533"/>
      <c r="G339" s="533"/>
      <c r="H339" s="533"/>
      <c r="I339" s="533"/>
      <c r="J339" s="536"/>
      <c r="K339" s="1440">
        <f>SUM(K336:K338)</f>
        <v>13585.779999999999</v>
      </c>
      <c r="L339" s="1441">
        <f t="shared" ref="L339:O339" si="168">SUM(L336:L338)</f>
        <v>14919.804999999998</v>
      </c>
      <c r="M339" s="1441">
        <f t="shared" si="168"/>
        <v>16253.83</v>
      </c>
      <c r="N339" s="1441">
        <f t="shared" si="168"/>
        <v>17587.855000000003</v>
      </c>
      <c r="O339" s="1442">
        <f t="shared" si="168"/>
        <v>18942.900999999998</v>
      </c>
      <c r="P339" s="588">
        <f>SUM(P336:P338)</f>
        <v>81290.171000000002</v>
      </c>
      <c r="Q339" s="533"/>
      <c r="R339" s="589">
        <f>AVERAGE(R336:R338)</f>
        <v>72.666666666666671</v>
      </c>
      <c r="S339" s="590"/>
      <c r="T339" s="389"/>
    </row>
    <row r="340" spans="1:20" s="390" customFormat="1" ht="27" customHeight="1" thickBot="1">
      <c r="A340" s="2062" t="s">
        <v>1270</v>
      </c>
      <c r="B340" s="553" t="s">
        <v>855</v>
      </c>
      <c r="C340" s="554"/>
      <c r="D340" s="554"/>
      <c r="E340" s="1200">
        <v>2021</v>
      </c>
      <c r="F340" s="554">
        <v>2022</v>
      </c>
      <c r="G340" s="554">
        <v>2023</v>
      </c>
      <c r="H340" s="554">
        <v>2024</v>
      </c>
      <c r="I340" s="554">
        <v>2025</v>
      </c>
      <c r="J340" s="1215" t="s">
        <v>101</v>
      </c>
      <c r="K340" s="1433">
        <v>2021</v>
      </c>
      <c r="L340" s="1433">
        <v>2022</v>
      </c>
      <c r="M340" s="1433">
        <v>2023</v>
      </c>
      <c r="N340" s="1433">
        <v>2024</v>
      </c>
      <c r="O340" s="1433">
        <v>2025</v>
      </c>
      <c r="P340" s="1215" t="s">
        <v>101</v>
      </c>
      <c r="Q340" s="555" t="s">
        <v>826</v>
      </c>
      <c r="R340" s="556" t="s">
        <v>828</v>
      </c>
      <c r="S340" s="583" t="s">
        <v>829</v>
      </c>
    </row>
    <row r="341" spans="1:20" s="390" customFormat="1" ht="18.75" customHeight="1">
      <c r="A341" s="2063"/>
      <c r="B341" s="551" t="s">
        <v>324</v>
      </c>
      <c r="C341" s="581" t="s">
        <v>1268</v>
      </c>
      <c r="D341" s="1026"/>
      <c r="E341" s="1217">
        <f>E331*0.3</f>
        <v>2752.2</v>
      </c>
      <c r="F341" s="408">
        <f t="shared" ref="F341:I342" si="169">F331*0.3</f>
        <v>3024.45</v>
      </c>
      <c r="G341" s="408">
        <f t="shared" si="169"/>
        <v>3296.7</v>
      </c>
      <c r="H341" s="408">
        <f t="shared" si="169"/>
        <v>3568.9500000000003</v>
      </c>
      <c r="I341" s="408">
        <f t="shared" si="169"/>
        <v>3845.4900000000002</v>
      </c>
      <c r="J341" s="1431">
        <f t="shared" ref="J341:J343" si="170">SUM(E341:I341)</f>
        <v>16487.79</v>
      </c>
      <c r="K341" s="785">
        <f>E341*1.05</f>
        <v>2889.81</v>
      </c>
      <c r="L341" s="786">
        <f t="shared" ref="L341:O342" si="171">F341*1.05</f>
        <v>3175.6725000000001</v>
      </c>
      <c r="M341" s="786">
        <f t="shared" si="171"/>
        <v>3461.5349999999999</v>
      </c>
      <c r="N341" s="786">
        <f t="shared" si="171"/>
        <v>3747.3975000000005</v>
      </c>
      <c r="O341" s="1434">
        <f t="shared" si="171"/>
        <v>4037.7645000000002</v>
      </c>
      <c r="P341" s="560">
        <f t="shared" ref="P341:P343" si="172">SUM(K341:O341)</f>
        <v>17312.179500000002</v>
      </c>
      <c r="Q341" s="584">
        <f>Q280</f>
        <v>316</v>
      </c>
      <c r="R341" s="584">
        <f>R280</f>
        <v>55</v>
      </c>
      <c r="S341" s="585">
        <f>SUM(Q341:R341)</f>
        <v>371</v>
      </c>
      <c r="T341" s="391"/>
    </row>
    <row r="342" spans="1:20" s="390" customFormat="1" ht="18.75" customHeight="1">
      <c r="A342" s="2063"/>
      <c r="B342" s="551" t="s">
        <v>325</v>
      </c>
      <c r="C342" s="581" t="s">
        <v>1268</v>
      </c>
      <c r="D342" s="1026"/>
      <c r="E342" s="1217">
        <f>E332*0.3</f>
        <v>2752.2</v>
      </c>
      <c r="F342" s="408">
        <f t="shared" si="169"/>
        <v>3024.45</v>
      </c>
      <c r="G342" s="408">
        <f t="shared" si="169"/>
        <v>3296.7</v>
      </c>
      <c r="H342" s="408">
        <f t="shared" si="169"/>
        <v>3568.9500000000003</v>
      </c>
      <c r="I342" s="408">
        <f t="shared" si="169"/>
        <v>3845.4900000000002</v>
      </c>
      <c r="J342" s="1431">
        <f t="shared" si="170"/>
        <v>16487.79</v>
      </c>
      <c r="K342" s="790">
        <f>E342*1.05</f>
        <v>2889.81</v>
      </c>
      <c r="L342" s="791">
        <f t="shared" si="171"/>
        <v>3175.6725000000001</v>
      </c>
      <c r="M342" s="791">
        <f t="shared" si="171"/>
        <v>3461.5349999999999</v>
      </c>
      <c r="N342" s="791">
        <f t="shared" si="171"/>
        <v>3747.3975000000005</v>
      </c>
      <c r="O342" s="1435">
        <f t="shared" si="171"/>
        <v>4037.7645000000002</v>
      </c>
      <c r="P342" s="566">
        <f t="shared" si="172"/>
        <v>17312.179500000002</v>
      </c>
      <c r="Q342" s="586">
        <f>282</f>
        <v>282</v>
      </c>
      <c r="R342" s="586">
        <v>55</v>
      </c>
      <c r="S342" s="587">
        <f>SUM(Q342:R342)</f>
        <v>337</v>
      </c>
      <c r="T342" s="391"/>
    </row>
    <row r="343" spans="1:20" s="390" customFormat="1" ht="18.75" customHeight="1" thickBot="1">
      <c r="A343" s="2063"/>
      <c r="B343" s="582" t="s">
        <v>883</v>
      </c>
      <c r="C343" s="1026" t="s">
        <v>884</v>
      </c>
      <c r="D343" s="1026"/>
      <c r="E343" s="1218">
        <v>0</v>
      </c>
      <c r="F343" s="420">
        <v>0</v>
      </c>
      <c r="G343" s="420">
        <v>0</v>
      </c>
      <c r="H343" s="420">
        <v>0</v>
      </c>
      <c r="I343" s="420">
        <v>0</v>
      </c>
      <c r="J343" s="1432">
        <f t="shared" si="170"/>
        <v>0</v>
      </c>
      <c r="K343" s="1437">
        <f>E343</f>
        <v>0</v>
      </c>
      <c r="L343" s="1438">
        <f t="shared" ref="L343:O343" si="173">F343</f>
        <v>0</v>
      </c>
      <c r="M343" s="1438">
        <f t="shared" si="173"/>
        <v>0</v>
      </c>
      <c r="N343" s="1438">
        <f t="shared" si="173"/>
        <v>0</v>
      </c>
      <c r="O343" s="1439">
        <f t="shared" si="173"/>
        <v>0</v>
      </c>
      <c r="P343" s="566">
        <f t="shared" si="172"/>
        <v>0</v>
      </c>
      <c r="Q343" s="586">
        <f>Q327</f>
        <v>0</v>
      </c>
      <c r="R343" s="586">
        <f>R327</f>
        <v>0</v>
      </c>
      <c r="S343" s="587">
        <f>SUM(Q343:R343)</f>
        <v>0</v>
      </c>
      <c r="T343" s="391"/>
    </row>
    <row r="344" spans="1:20" ht="18.75" customHeight="1" thickBot="1">
      <c r="A344" s="2064"/>
      <c r="B344" s="532" t="s">
        <v>864</v>
      </c>
      <c r="C344" s="443"/>
      <c r="D344" s="443"/>
      <c r="E344" s="533"/>
      <c r="F344" s="533"/>
      <c r="G344" s="533"/>
      <c r="H344" s="533"/>
      <c r="I344" s="533"/>
      <c r="J344" s="533"/>
      <c r="K344" s="1440">
        <f>SUM(K341:K343)</f>
        <v>5779.62</v>
      </c>
      <c r="L344" s="1441">
        <f t="shared" ref="L344:O344" si="174">SUM(L341:L343)</f>
        <v>6351.3450000000003</v>
      </c>
      <c r="M344" s="1441">
        <f t="shared" si="174"/>
        <v>6923.07</v>
      </c>
      <c r="N344" s="1441">
        <f t="shared" si="174"/>
        <v>7494.795000000001</v>
      </c>
      <c r="O344" s="1442">
        <f t="shared" si="174"/>
        <v>8075.5290000000005</v>
      </c>
      <c r="P344" s="588">
        <f>SUM(P341:P343)</f>
        <v>34624.359000000004</v>
      </c>
      <c r="Q344" s="533"/>
      <c r="R344" s="589">
        <f>AVERAGE(R341:R342)</f>
        <v>55</v>
      </c>
      <c r="S344" s="590"/>
      <c r="T344" s="389"/>
    </row>
    <row r="346" spans="1:20" ht="19.5" thickBot="1">
      <c r="B346" s="388" t="s">
        <v>885</v>
      </c>
    </row>
    <row r="347" spans="1:20" s="592" customFormat="1" ht="42" customHeight="1" thickBot="1">
      <c r="A347" s="591"/>
      <c r="B347" s="2125" t="s">
        <v>886</v>
      </c>
      <c r="C347" s="2126"/>
      <c r="D347" s="2126"/>
      <c r="E347" s="2127"/>
      <c r="F347" s="651"/>
      <c r="G347" s="648"/>
      <c r="H347" s="648"/>
      <c r="I347" s="648"/>
      <c r="M347" s="593"/>
    </row>
    <row r="348" spans="1:20" s="598" customFormat="1" ht="24.75" customHeight="1" thickBot="1">
      <c r="A348" s="594"/>
      <c r="B348" s="595" t="s">
        <v>887</v>
      </c>
      <c r="C348" s="596" t="s">
        <v>101</v>
      </c>
      <c r="D348" s="597" t="s">
        <v>1271</v>
      </c>
      <c r="E348" s="662" t="s">
        <v>888</v>
      </c>
      <c r="F348" s="663"/>
      <c r="G348" s="664"/>
      <c r="H348" s="664"/>
      <c r="I348" s="664"/>
      <c r="M348" s="599"/>
    </row>
    <row r="349" spans="1:20">
      <c r="A349" s="600" t="s">
        <v>889</v>
      </c>
      <c r="B349" s="601" t="s">
        <v>890</v>
      </c>
      <c r="C349" s="602"/>
      <c r="D349" s="602"/>
      <c r="E349" s="603"/>
    </row>
    <row r="350" spans="1:20">
      <c r="A350" s="604"/>
      <c r="B350" s="605" t="s">
        <v>891</v>
      </c>
      <c r="C350" s="606"/>
      <c r="D350" s="606"/>
      <c r="E350" s="607"/>
    </row>
    <row r="351" spans="1:20">
      <c r="A351" s="608">
        <v>1</v>
      </c>
      <c r="B351" s="609" t="s">
        <v>892</v>
      </c>
      <c r="C351" s="610">
        <f>D351*E351</f>
        <v>360000</v>
      </c>
      <c r="D351" s="610">
        <v>30000</v>
      </c>
      <c r="E351" s="665">
        <v>12</v>
      </c>
    </row>
    <row r="352" spans="1:20">
      <c r="A352" s="608">
        <v>2</v>
      </c>
      <c r="B352" s="609" t="s">
        <v>893</v>
      </c>
      <c r="C352" s="610">
        <f>D352*E352</f>
        <v>300000</v>
      </c>
      <c r="D352" s="610">
        <v>25000</v>
      </c>
      <c r="E352" s="665">
        <v>12</v>
      </c>
    </row>
    <row r="353" spans="1:5">
      <c r="A353" s="608">
        <v>3</v>
      </c>
      <c r="B353" s="609" t="s">
        <v>894</v>
      </c>
      <c r="C353" s="610">
        <f>D353*E353</f>
        <v>150000</v>
      </c>
      <c r="D353" s="610">
        <v>25000</v>
      </c>
      <c r="E353" s="665">
        <v>6</v>
      </c>
    </row>
    <row r="354" spans="1:5">
      <c r="A354" s="608">
        <v>4</v>
      </c>
      <c r="B354" s="609" t="s">
        <v>895</v>
      </c>
      <c r="C354" s="610">
        <f>D354*E354</f>
        <v>180000</v>
      </c>
      <c r="D354" s="610">
        <v>15000</v>
      </c>
      <c r="E354" s="665">
        <v>12</v>
      </c>
    </row>
    <row r="355" spans="1:5">
      <c r="A355" s="608">
        <v>5</v>
      </c>
      <c r="B355" s="609" t="s">
        <v>896</v>
      </c>
      <c r="C355" s="610">
        <f>D355*E355</f>
        <v>90000</v>
      </c>
      <c r="D355" s="610">
        <v>15000</v>
      </c>
      <c r="E355" s="665">
        <v>6</v>
      </c>
    </row>
    <row r="356" spans="1:5" ht="15.75" thickBot="1">
      <c r="A356" s="611"/>
      <c r="B356" s="612" t="s">
        <v>897</v>
      </c>
      <c r="C356" s="613">
        <f>SUM(C351:C355)</f>
        <v>1080000</v>
      </c>
      <c r="D356" s="613"/>
      <c r="E356" s="666"/>
    </row>
    <row r="357" spans="1:5">
      <c r="A357" s="614"/>
      <c r="B357" s="615" t="s">
        <v>898</v>
      </c>
      <c r="C357" s="616"/>
      <c r="D357" s="616"/>
      <c r="E357" s="617"/>
    </row>
    <row r="358" spans="1:5">
      <c r="A358" s="604">
        <v>1</v>
      </c>
      <c r="B358" s="609" t="s">
        <v>899</v>
      </c>
      <c r="C358" s="610">
        <f>D358*E358</f>
        <v>420000</v>
      </c>
      <c r="D358" s="610">
        <v>7000</v>
      </c>
      <c r="E358" s="665">
        <v>60</v>
      </c>
    </row>
    <row r="359" spans="1:5">
      <c r="A359" s="604">
        <v>2</v>
      </c>
      <c r="B359" s="609" t="s">
        <v>1146</v>
      </c>
      <c r="C359" s="610">
        <f>D359*E359</f>
        <v>252000</v>
      </c>
      <c r="D359" s="610">
        <v>7000</v>
      </c>
      <c r="E359" s="665">
        <v>36</v>
      </c>
    </row>
    <row r="360" spans="1:5" ht="15.75" thickBot="1">
      <c r="A360" s="611"/>
      <c r="B360" s="612" t="s">
        <v>900</v>
      </c>
      <c r="C360" s="618">
        <f>SUM(C358:C359)</f>
        <v>672000</v>
      </c>
      <c r="D360" s="619"/>
      <c r="E360" s="667"/>
    </row>
    <row r="361" spans="1:5">
      <c r="A361" s="614" t="s">
        <v>901</v>
      </c>
      <c r="B361" s="620" t="s">
        <v>902</v>
      </c>
      <c r="C361" s="621"/>
      <c r="D361" s="622"/>
      <c r="E361" s="668"/>
    </row>
    <row r="362" spans="1:5">
      <c r="A362" s="608">
        <v>1</v>
      </c>
      <c r="B362" s="609" t="s">
        <v>1147</v>
      </c>
      <c r="C362" s="610">
        <f t="shared" ref="C362:C371" si="175">D362*E362</f>
        <v>3000000</v>
      </c>
      <c r="D362" s="623">
        <f>300000*20</f>
        <v>6000000</v>
      </c>
      <c r="E362" s="669">
        <v>0.5</v>
      </c>
    </row>
    <row r="363" spans="1:5">
      <c r="A363" s="608">
        <v>2</v>
      </c>
      <c r="B363" s="609" t="s">
        <v>1148</v>
      </c>
      <c r="C363" s="610">
        <f t="shared" si="175"/>
        <v>100000</v>
      </c>
      <c r="D363" s="623">
        <f>10000*20</f>
        <v>200000</v>
      </c>
      <c r="E363" s="669">
        <v>0.5</v>
      </c>
    </row>
    <row r="364" spans="1:5">
      <c r="A364" s="608">
        <v>3</v>
      </c>
      <c r="B364" s="609" t="s">
        <v>903</v>
      </c>
      <c r="C364" s="610">
        <f t="shared" si="175"/>
        <v>400000</v>
      </c>
      <c r="D364" s="623">
        <f>100*20</f>
        <v>2000</v>
      </c>
      <c r="E364" s="669">
        <v>200</v>
      </c>
    </row>
    <row r="365" spans="1:5">
      <c r="A365" s="608">
        <v>4</v>
      </c>
      <c r="B365" s="609" t="s">
        <v>1149</v>
      </c>
      <c r="C365" s="610">
        <f t="shared" si="175"/>
        <v>586370</v>
      </c>
      <c r="D365" s="623">
        <f>58637*20</f>
        <v>1172740</v>
      </c>
      <c r="E365" s="669">
        <v>0.5</v>
      </c>
    </row>
    <row r="366" spans="1:5">
      <c r="A366" s="608">
        <v>5</v>
      </c>
      <c r="B366" s="609" t="s">
        <v>1150</v>
      </c>
      <c r="C366" s="610">
        <f t="shared" si="175"/>
        <v>800000</v>
      </c>
      <c r="D366" s="623">
        <f>80000*20</f>
        <v>1600000</v>
      </c>
      <c r="E366" s="669">
        <v>0.5</v>
      </c>
    </row>
    <row r="367" spans="1:5">
      <c r="A367" s="608">
        <v>6</v>
      </c>
      <c r="B367" s="609" t="s">
        <v>1151</v>
      </c>
      <c r="C367" s="610">
        <f t="shared" si="175"/>
        <v>50000</v>
      </c>
      <c r="D367" s="623">
        <f>5000*20</f>
        <v>100000</v>
      </c>
      <c r="E367" s="669">
        <v>0.5</v>
      </c>
    </row>
    <row r="368" spans="1:5">
      <c r="A368" s="608">
        <v>7</v>
      </c>
      <c r="B368" s="609" t="s">
        <v>904</v>
      </c>
      <c r="C368" s="610">
        <f t="shared" si="175"/>
        <v>40000</v>
      </c>
      <c r="D368" s="623">
        <f>2000*20</f>
        <v>40000</v>
      </c>
      <c r="E368" s="669">
        <v>1</v>
      </c>
    </row>
    <row r="369" spans="1:5">
      <c r="A369" s="608">
        <v>8</v>
      </c>
      <c r="B369" s="609" t="s">
        <v>905</v>
      </c>
      <c r="C369" s="610">
        <f t="shared" si="175"/>
        <v>200000</v>
      </c>
      <c r="D369" s="623">
        <f>50*20</f>
        <v>1000</v>
      </c>
      <c r="E369" s="669">
        <v>200</v>
      </c>
    </row>
    <row r="370" spans="1:5">
      <c r="A370" s="608">
        <v>9</v>
      </c>
      <c r="B370" s="609" t="s">
        <v>906</v>
      </c>
      <c r="C370" s="610">
        <f t="shared" si="175"/>
        <v>40000</v>
      </c>
      <c r="D370" s="623">
        <f>1000*20</f>
        <v>20000</v>
      </c>
      <c r="E370" s="669">
        <v>2</v>
      </c>
    </row>
    <row r="371" spans="1:5">
      <c r="A371" s="608">
        <v>10</v>
      </c>
      <c r="B371" s="609" t="s">
        <v>907</v>
      </c>
      <c r="C371" s="610">
        <f t="shared" si="175"/>
        <v>240000</v>
      </c>
      <c r="D371" s="623">
        <f>6000*20</f>
        <v>120000</v>
      </c>
      <c r="E371" s="669">
        <v>2</v>
      </c>
    </row>
    <row r="372" spans="1:5" ht="15.75" thickBot="1">
      <c r="A372" s="624"/>
      <c r="B372" s="612" t="s">
        <v>908</v>
      </c>
      <c r="C372" s="625">
        <f>SUM(C362:C371)</f>
        <v>5456370</v>
      </c>
      <c r="D372" s="626"/>
      <c r="E372" s="670"/>
    </row>
    <row r="373" spans="1:5">
      <c r="A373" s="614" t="s">
        <v>909</v>
      </c>
      <c r="B373" s="620" t="s">
        <v>910</v>
      </c>
      <c r="C373" s="621"/>
      <c r="D373" s="622"/>
      <c r="E373" s="668"/>
    </row>
    <row r="374" spans="1:5">
      <c r="A374" s="627">
        <v>1</v>
      </c>
      <c r="B374" s="609" t="s">
        <v>911</v>
      </c>
      <c r="C374" s="610">
        <f>D374*E374</f>
        <v>75302.5</v>
      </c>
      <c r="D374" s="623">
        <v>7530.25</v>
      </c>
      <c r="E374" s="669">
        <v>10</v>
      </c>
    </row>
    <row r="375" spans="1:5">
      <c r="A375" s="627">
        <v>2</v>
      </c>
      <c r="B375" s="609" t="s">
        <v>912</v>
      </c>
      <c r="C375" s="610">
        <f>D375*E375</f>
        <v>75302.5</v>
      </c>
      <c r="D375" s="623">
        <v>7530.25</v>
      </c>
      <c r="E375" s="669">
        <v>10</v>
      </c>
    </row>
    <row r="376" spans="1:5" ht="15.75" thickBot="1">
      <c r="A376" s="611"/>
      <c r="B376" s="612" t="s">
        <v>913</v>
      </c>
      <c r="C376" s="628">
        <f>SUM(C374:C375)</f>
        <v>150605</v>
      </c>
      <c r="D376" s="629"/>
      <c r="E376" s="671"/>
    </row>
    <row r="377" spans="1:5">
      <c r="A377" s="614" t="s">
        <v>914</v>
      </c>
      <c r="B377" s="620" t="s">
        <v>915</v>
      </c>
      <c r="C377" s="630"/>
      <c r="D377" s="630"/>
      <c r="E377" s="672"/>
    </row>
    <row r="378" spans="1:5">
      <c r="A378" s="627">
        <v>1</v>
      </c>
      <c r="B378" s="609" t="s">
        <v>916</v>
      </c>
      <c r="C378" s="610">
        <f>D378*E378</f>
        <v>60000</v>
      </c>
      <c r="D378" s="610">
        <f>3000*20</f>
        <v>60000</v>
      </c>
      <c r="E378" s="673">
        <v>1</v>
      </c>
    </row>
    <row r="379" spans="1:5">
      <c r="A379" s="627">
        <v>2</v>
      </c>
      <c r="B379" s="609" t="s">
        <v>917</v>
      </c>
      <c r="C379" s="610">
        <f>D379*E379</f>
        <v>40000</v>
      </c>
      <c r="D379" s="610">
        <f>2000*20</f>
        <v>40000</v>
      </c>
      <c r="E379" s="673">
        <v>1</v>
      </c>
    </row>
    <row r="380" spans="1:5">
      <c r="A380" s="627">
        <v>3</v>
      </c>
      <c r="B380" s="609" t="s">
        <v>918</v>
      </c>
      <c r="C380" s="610">
        <f>D380*E380</f>
        <v>40000</v>
      </c>
      <c r="D380" s="610">
        <f>2000*20</f>
        <v>40000</v>
      </c>
      <c r="E380" s="669">
        <v>1</v>
      </c>
    </row>
    <row r="381" spans="1:5">
      <c r="A381" s="627">
        <v>4</v>
      </c>
      <c r="B381" s="609" t="s">
        <v>919</v>
      </c>
      <c r="C381" s="610">
        <f>D381*E381</f>
        <v>24000</v>
      </c>
      <c r="D381" s="610">
        <f>300*20</f>
        <v>6000</v>
      </c>
      <c r="E381" s="669">
        <v>4</v>
      </c>
    </row>
    <row r="382" spans="1:5">
      <c r="A382" s="627">
        <v>5</v>
      </c>
      <c r="B382" s="609" t="s">
        <v>920</v>
      </c>
      <c r="C382" s="610">
        <f>D382*E382</f>
        <v>30000</v>
      </c>
      <c r="D382" s="610">
        <f>3000*10</f>
        <v>30000</v>
      </c>
      <c r="E382" s="669">
        <v>1</v>
      </c>
    </row>
    <row r="383" spans="1:5" ht="15.75" thickBot="1">
      <c r="A383" s="611"/>
      <c r="B383" s="631" t="s">
        <v>921</v>
      </c>
      <c r="C383" s="632">
        <f>SUM(C378:C382)</f>
        <v>194000</v>
      </c>
      <c r="D383" s="626"/>
      <c r="E383" s="670"/>
    </row>
    <row r="384" spans="1:5">
      <c r="A384" s="633"/>
      <c r="B384" s="634"/>
      <c r="C384" s="635"/>
      <c r="D384" s="635"/>
      <c r="E384" s="636"/>
    </row>
    <row r="385" spans="1:42" ht="19.5" thickBot="1">
      <c r="A385" s="637"/>
      <c r="B385" s="638" t="s">
        <v>922</v>
      </c>
      <c r="C385" s="639">
        <f>C356+C360+C372+C376+C383</f>
        <v>7552975</v>
      </c>
      <c r="D385" s="640"/>
      <c r="E385" s="641"/>
    </row>
    <row r="386" spans="1:42">
      <c r="A386" s="633"/>
      <c r="B386" s="642"/>
      <c r="C386" s="635">
        <f>C385/20</f>
        <v>377648.75</v>
      </c>
      <c r="D386" s="635"/>
      <c r="E386" s="643"/>
    </row>
    <row r="387" spans="1:42">
      <c r="A387" s="633"/>
      <c r="C387" s="635"/>
      <c r="D387" s="635"/>
      <c r="E387" s="643"/>
    </row>
    <row r="388" spans="1:42" ht="19.5" thickBot="1">
      <c r="B388" s="388" t="s">
        <v>1091</v>
      </c>
      <c r="AL388" s="390"/>
      <c r="AM388" s="390"/>
      <c r="AN388" s="390"/>
    </row>
    <row r="389" spans="1:42" ht="24" customHeight="1">
      <c r="A389" s="2128" t="s">
        <v>1272</v>
      </c>
      <c r="B389" s="2129"/>
      <c r="C389" s="2129" t="s">
        <v>545</v>
      </c>
      <c r="D389" s="2129" t="s">
        <v>1273</v>
      </c>
      <c r="E389" s="2132" t="s">
        <v>1274</v>
      </c>
      <c r="F389" s="2121">
        <v>2021</v>
      </c>
      <c r="G389" s="2122"/>
      <c r="H389" s="2121">
        <v>2022</v>
      </c>
      <c r="I389" s="2122"/>
      <c r="J389" s="2121">
        <v>2023</v>
      </c>
      <c r="K389" s="2122"/>
      <c r="L389" s="2121">
        <v>2024</v>
      </c>
      <c r="M389" s="2122"/>
      <c r="N389" s="2121">
        <v>2025</v>
      </c>
      <c r="O389" s="2122"/>
      <c r="P389" s="2123" t="s">
        <v>546</v>
      </c>
    </row>
    <row r="390" spans="1:42" ht="24" customHeight="1" thickBot="1">
      <c r="A390" s="2130"/>
      <c r="B390" s="2131"/>
      <c r="C390" s="2131"/>
      <c r="D390" s="2131"/>
      <c r="E390" s="2133"/>
      <c r="F390" s="1219" t="s">
        <v>1275</v>
      </c>
      <c r="G390" s="1220" t="s">
        <v>1276</v>
      </c>
      <c r="H390" s="1219" t="s">
        <v>1275</v>
      </c>
      <c r="I390" s="1220" t="s">
        <v>1276</v>
      </c>
      <c r="J390" s="1219" t="s">
        <v>1275</v>
      </c>
      <c r="K390" s="1220" t="s">
        <v>1276</v>
      </c>
      <c r="L390" s="1219" t="s">
        <v>1275</v>
      </c>
      <c r="M390" s="1220" t="s">
        <v>1276</v>
      </c>
      <c r="N390" s="1219" t="s">
        <v>1275</v>
      </c>
      <c r="O390" s="1220" t="s">
        <v>1276</v>
      </c>
      <c r="P390" s="2124"/>
    </row>
    <row r="391" spans="1:42" s="807" customFormat="1" ht="24" customHeight="1">
      <c r="A391" s="2134" t="s">
        <v>1092</v>
      </c>
      <c r="B391" s="2137" t="s">
        <v>1015</v>
      </c>
      <c r="C391" s="2140" t="s">
        <v>866</v>
      </c>
      <c r="D391" s="1221" t="s">
        <v>548</v>
      </c>
      <c r="E391" s="2142">
        <v>7000</v>
      </c>
      <c r="F391" s="1222">
        <v>0</v>
      </c>
      <c r="G391" s="2144">
        <f>F391*F392*E391</f>
        <v>0</v>
      </c>
      <c r="H391" s="1222">
        <v>0</v>
      </c>
      <c r="I391" s="2144">
        <f>H391*H392*E391</f>
        <v>0</v>
      </c>
      <c r="J391" s="1222">
        <v>0</v>
      </c>
      <c r="K391" s="2144">
        <f>J391*J392*E391</f>
        <v>0</v>
      </c>
      <c r="L391" s="1222">
        <v>0</v>
      </c>
      <c r="M391" s="2144">
        <f>L391*L392*E391</f>
        <v>0</v>
      </c>
      <c r="N391" s="1222">
        <v>0</v>
      </c>
      <c r="O391" s="2144">
        <f>N391*N392*E391</f>
        <v>0</v>
      </c>
      <c r="P391" s="2123">
        <f>G391+I391+K391+M391+O391</f>
        <v>0</v>
      </c>
      <c r="AP391" s="1036"/>
    </row>
    <row r="392" spans="1:42" s="807" customFormat="1" ht="24" customHeight="1">
      <c r="A392" s="2135"/>
      <c r="B392" s="2138"/>
      <c r="C392" s="2141"/>
      <c r="D392" s="1223" t="s">
        <v>1277</v>
      </c>
      <c r="E392" s="2143"/>
      <c r="F392" s="1224">
        <v>0</v>
      </c>
      <c r="G392" s="2145"/>
      <c r="H392" s="1224">
        <v>0</v>
      </c>
      <c r="I392" s="2145"/>
      <c r="J392" s="1224">
        <v>0</v>
      </c>
      <c r="K392" s="2145"/>
      <c r="L392" s="1224">
        <v>0</v>
      </c>
      <c r="M392" s="2145"/>
      <c r="N392" s="1224">
        <v>0</v>
      </c>
      <c r="O392" s="2145"/>
      <c r="P392" s="2150"/>
      <c r="AP392" s="1036"/>
    </row>
    <row r="393" spans="1:42" s="807" customFormat="1" ht="24" customHeight="1">
      <c r="A393" s="2135"/>
      <c r="B393" s="2138"/>
      <c r="C393" s="2146" t="s">
        <v>1278</v>
      </c>
      <c r="D393" s="1225" t="s">
        <v>548</v>
      </c>
      <c r="E393" s="2151">
        <v>2000</v>
      </c>
      <c r="F393" s="1226">
        <v>2</v>
      </c>
      <c r="G393" s="2149">
        <f>F393*F394*E393</f>
        <v>20000</v>
      </c>
      <c r="H393" s="1226">
        <v>1</v>
      </c>
      <c r="I393" s="2149">
        <f>H393*H394*E393</f>
        <v>10000</v>
      </c>
      <c r="J393" s="1226"/>
      <c r="K393" s="2149">
        <f>J393*J394*E393</f>
        <v>0</v>
      </c>
      <c r="L393" s="1226"/>
      <c r="M393" s="2149">
        <f>L393*L394*E393</f>
        <v>0</v>
      </c>
      <c r="N393" s="1226"/>
      <c r="O393" s="2149">
        <f>N393*N394*E393</f>
        <v>0</v>
      </c>
      <c r="P393" s="2152">
        <f>G393+I393+K393+M393+O393</f>
        <v>30000</v>
      </c>
      <c r="AP393" s="1036"/>
    </row>
    <row r="394" spans="1:42" s="807" customFormat="1" ht="24" customHeight="1">
      <c r="A394" s="2135"/>
      <c r="B394" s="2138"/>
      <c r="C394" s="2141"/>
      <c r="D394" s="1223" t="s">
        <v>1277</v>
      </c>
      <c r="E394" s="2143"/>
      <c r="F394" s="1224">
        <v>5</v>
      </c>
      <c r="G394" s="2145"/>
      <c r="H394" s="1224">
        <v>5</v>
      </c>
      <c r="I394" s="2145"/>
      <c r="J394" s="1224"/>
      <c r="K394" s="2145"/>
      <c r="L394" s="1224"/>
      <c r="M394" s="2145"/>
      <c r="N394" s="1224"/>
      <c r="O394" s="2145"/>
      <c r="P394" s="2150"/>
      <c r="AP394" s="1036"/>
    </row>
    <row r="395" spans="1:42" s="807" customFormat="1" ht="24" customHeight="1">
      <c r="A395" s="2135"/>
      <c r="B395" s="2138"/>
      <c r="C395" s="1227" t="s">
        <v>867</v>
      </c>
      <c r="D395" s="1228" t="s">
        <v>548</v>
      </c>
      <c r="E395" s="1229">
        <v>0</v>
      </c>
      <c r="F395" s="1230">
        <v>1</v>
      </c>
      <c r="G395" s="1231">
        <f>F395*E395</f>
        <v>0</v>
      </c>
      <c r="H395" s="1230">
        <v>0</v>
      </c>
      <c r="I395" s="1231">
        <f>H395*E395</f>
        <v>0</v>
      </c>
      <c r="J395" s="1230">
        <v>0</v>
      </c>
      <c r="K395" s="1231">
        <f>J395*E395</f>
        <v>0</v>
      </c>
      <c r="L395" s="1230">
        <v>0</v>
      </c>
      <c r="M395" s="1231">
        <f>L395*E395</f>
        <v>0</v>
      </c>
      <c r="N395" s="1230">
        <v>0</v>
      </c>
      <c r="O395" s="1231">
        <f>N395*E395</f>
        <v>0</v>
      </c>
      <c r="P395" s="1232">
        <f>G395+I395+K395+M395+O395</f>
        <v>0</v>
      </c>
      <c r="AP395" s="1036"/>
    </row>
    <row r="396" spans="1:42" s="807" customFormat="1" ht="24" customHeight="1">
      <c r="A396" s="2135"/>
      <c r="B396" s="2138"/>
      <c r="C396" s="1227" t="s">
        <v>868</v>
      </c>
      <c r="D396" s="1228" t="s">
        <v>1279</v>
      </c>
      <c r="E396" s="1229">
        <v>5000</v>
      </c>
      <c r="F396" s="1230">
        <v>2</v>
      </c>
      <c r="G396" s="1231">
        <f t="shared" ref="G396:G398" si="176">F396*E396</f>
        <v>10000</v>
      </c>
      <c r="H396" s="1230">
        <v>0</v>
      </c>
      <c r="I396" s="1231">
        <f>H396*E396</f>
        <v>0</v>
      </c>
      <c r="J396" s="1230">
        <v>0</v>
      </c>
      <c r="K396" s="1231">
        <f>J396*E396</f>
        <v>0</v>
      </c>
      <c r="L396" s="1230">
        <v>0</v>
      </c>
      <c r="M396" s="1231">
        <f>L396*E396</f>
        <v>0</v>
      </c>
      <c r="N396" s="1230">
        <v>0</v>
      </c>
      <c r="O396" s="1231">
        <f>N396*E396</f>
        <v>0</v>
      </c>
      <c r="P396" s="1232">
        <f>G396+I396+K396+M396+O396</f>
        <v>10000</v>
      </c>
      <c r="AP396" s="1036"/>
    </row>
    <row r="397" spans="1:42" s="807" customFormat="1" ht="24" customHeight="1">
      <c r="A397" s="2135"/>
      <c r="B397" s="2138"/>
      <c r="C397" s="1227" t="s">
        <v>1280</v>
      </c>
      <c r="D397" s="1228" t="s">
        <v>956</v>
      </c>
      <c r="E397" s="1229">
        <v>54</v>
      </c>
      <c r="F397" s="1230">
        <v>0</v>
      </c>
      <c r="G397" s="1231">
        <f t="shared" si="176"/>
        <v>0</v>
      </c>
      <c r="H397" s="1230">
        <v>0</v>
      </c>
      <c r="I397" s="1231">
        <f>H397*E397</f>
        <v>0</v>
      </c>
      <c r="J397" s="1230">
        <v>0</v>
      </c>
      <c r="K397" s="1231">
        <f>J397*E397</f>
        <v>0</v>
      </c>
      <c r="L397" s="1230">
        <v>0</v>
      </c>
      <c r="M397" s="1231">
        <f>L397*E397</f>
        <v>0</v>
      </c>
      <c r="N397" s="1230">
        <v>0</v>
      </c>
      <c r="O397" s="1231">
        <f>N397*E397</f>
        <v>0</v>
      </c>
      <c r="P397" s="1232">
        <f>G397+I397+K397+M397+O397</f>
        <v>0</v>
      </c>
      <c r="AP397" s="1036"/>
    </row>
    <row r="398" spans="1:42" s="807" customFormat="1" ht="24" customHeight="1">
      <c r="A398" s="2135"/>
      <c r="B398" s="2138"/>
      <c r="C398" s="1227" t="s">
        <v>955</v>
      </c>
      <c r="D398" s="1228" t="s">
        <v>598</v>
      </c>
      <c r="E398" s="1229">
        <v>2</v>
      </c>
      <c r="F398" s="1230">
        <v>5000</v>
      </c>
      <c r="G398" s="1231">
        <f t="shared" si="176"/>
        <v>10000</v>
      </c>
      <c r="H398" s="1230">
        <v>0</v>
      </c>
      <c r="I398" s="1231">
        <f>H398*E398</f>
        <v>0</v>
      </c>
      <c r="J398" s="1230">
        <v>0</v>
      </c>
      <c r="K398" s="1231">
        <f>J398*E398</f>
        <v>0</v>
      </c>
      <c r="L398" s="1230">
        <v>0</v>
      </c>
      <c r="M398" s="1231">
        <f>L398*E398</f>
        <v>0</v>
      </c>
      <c r="N398" s="1230">
        <v>0</v>
      </c>
      <c r="O398" s="1231">
        <f>N398*E398</f>
        <v>0</v>
      </c>
      <c r="P398" s="1232">
        <f>G398+I398+K398+M398+O398</f>
        <v>10000</v>
      </c>
      <c r="AP398" s="1036"/>
    </row>
    <row r="399" spans="1:42" s="807" customFormat="1" ht="24" customHeight="1">
      <c r="A399" s="2135"/>
      <c r="B399" s="2138"/>
      <c r="C399" s="2146" t="s">
        <v>1281</v>
      </c>
      <c r="D399" s="1233" t="s">
        <v>603</v>
      </c>
      <c r="E399" s="2147">
        <v>2</v>
      </c>
      <c r="F399" s="1226">
        <v>2</v>
      </c>
      <c r="G399" s="2149">
        <f>F399*F400*E399</f>
        <v>20000</v>
      </c>
      <c r="H399" s="1226">
        <v>2</v>
      </c>
      <c r="I399" s="2149">
        <f>H399*H400*E399</f>
        <v>24000</v>
      </c>
      <c r="J399" s="1226">
        <v>2</v>
      </c>
      <c r="K399" s="2149">
        <f>J399*J400*E399</f>
        <v>28000</v>
      </c>
      <c r="L399" s="1226">
        <v>2</v>
      </c>
      <c r="M399" s="2149">
        <f>L399*L400*E399</f>
        <v>32000</v>
      </c>
      <c r="N399" s="1226">
        <v>2</v>
      </c>
      <c r="O399" s="2149">
        <f>N399*N400*E399</f>
        <v>36000</v>
      </c>
      <c r="P399" s="2152">
        <f>G399+I399+K399+M399+O399</f>
        <v>140000</v>
      </c>
      <c r="AP399" s="1036"/>
    </row>
    <row r="400" spans="1:42" s="807" customFormat="1" ht="24" customHeight="1">
      <c r="A400" s="2135"/>
      <c r="B400" s="2138"/>
      <c r="C400" s="2141"/>
      <c r="D400" s="1234" t="s">
        <v>605</v>
      </c>
      <c r="E400" s="2148"/>
      <c r="F400" s="1224">
        <v>5000</v>
      </c>
      <c r="G400" s="2145"/>
      <c r="H400" s="1224">
        <v>6000</v>
      </c>
      <c r="I400" s="2145"/>
      <c r="J400" s="1224">
        <v>7000</v>
      </c>
      <c r="K400" s="2145"/>
      <c r="L400" s="1224">
        <v>8000</v>
      </c>
      <c r="M400" s="2145"/>
      <c r="N400" s="1224">
        <v>9000</v>
      </c>
      <c r="O400" s="2145"/>
      <c r="P400" s="2150"/>
      <c r="AP400" s="1036"/>
    </row>
    <row r="401" spans="1:42" s="807" customFormat="1" ht="24" customHeight="1">
      <c r="A401" s="2135"/>
      <c r="B401" s="2138"/>
      <c r="C401" s="1227" t="s">
        <v>1282</v>
      </c>
      <c r="D401" s="1235" t="s">
        <v>1283</v>
      </c>
      <c r="E401" s="1229">
        <v>5</v>
      </c>
      <c r="F401" s="1230">
        <v>5000</v>
      </c>
      <c r="G401" s="1231">
        <f>F401*E401</f>
        <v>25000</v>
      </c>
      <c r="H401" s="1230">
        <v>5000</v>
      </c>
      <c r="I401" s="1231">
        <f>H401*E401</f>
        <v>25000</v>
      </c>
      <c r="J401" s="1230">
        <v>0</v>
      </c>
      <c r="K401" s="1231">
        <f>J401*E401</f>
        <v>0</v>
      </c>
      <c r="L401" s="1230">
        <v>0</v>
      </c>
      <c r="M401" s="1231">
        <f>L401*E401</f>
        <v>0</v>
      </c>
      <c r="N401" s="1230">
        <v>0</v>
      </c>
      <c r="O401" s="1231">
        <f>N401*E401</f>
        <v>0</v>
      </c>
      <c r="P401" s="1232">
        <f>G401+I401+K401+M401+O401</f>
        <v>50000</v>
      </c>
      <c r="AP401" s="1036"/>
    </row>
    <row r="402" spans="1:42" s="807" customFormat="1" ht="24" customHeight="1">
      <c r="A402" s="2135"/>
      <c r="B402" s="2138"/>
      <c r="C402" s="1227" t="s">
        <v>957</v>
      </c>
      <c r="D402" s="1228" t="s">
        <v>548</v>
      </c>
      <c r="E402" s="1229">
        <v>0</v>
      </c>
      <c r="F402" s="1230">
        <v>1</v>
      </c>
      <c r="G402" s="1231">
        <f>F402*E402</f>
        <v>0</v>
      </c>
      <c r="H402" s="1230">
        <v>1</v>
      </c>
      <c r="I402" s="1231">
        <f>H402*E402</f>
        <v>0</v>
      </c>
      <c r="J402" s="1230">
        <v>0</v>
      </c>
      <c r="K402" s="1231">
        <f>J402*E402</f>
        <v>0</v>
      </c>
      <c r="L402" s="1230">
        <v>0</v>
      </c>
      <c r="M402" s="1231">
        <f>L402*E402</f>
        <v>0</v>
      </c>
      <c r="N402" s="1230">
        <v>0</v>
      </c>
      <c r="O402" s="1231">
        <f>N402*E402</f>
        <v>0</v>
      </c>
      <c r="P402" s="1232">
        <f>G402+I402+K402+M402+O402</f>
        <v>0</v>
      </c>
      <c r="AP402" s="1036"/>
    </row>
    <row r="403" spans="1:42" s="807" customFormat="1" ht="24" customHeight="1">
      <c r="A403" s="2135"/>
      <c r="B403" s="2138"/>
      <c r="C403" s="1227" t="s">
        <v>1284</v>
      </c>
      <c r="D403" s="1228" t="s">
        <v>548</v>
      </c>
      <c r="E403" s="1229">
        <v>0</v>
      </c>
      <c r="F403" s="1230">
        <v>1</v>
      </c>
      <c r="G403" s="1231">
        <f>F403*E403</f>
        <v>0</v>
      </c>
      <c r="H403" s="1230">
        <v>1</v>
      </c>
      <c r="I403" s="1231">
        <f>H403*E403</f>
        <v>0</v>
      </c>
      <c r="J403" s="1230">
        <v>0</v>
      </c>
      <c r="K403" s="1231">
        <f>J403*E403</f>
        <v>0</v>
      </c>
      <c r="L403" s="1230">
        <v>0</v>
      </c>
      <c r="M403" s="1231">
        <f>L403*E403</f>
        <v>0</v>
      </c>
      <c r="N403" s="1230">
        <v>0</v>
      </c>
      <c r="O403" s="1231">
        <f>N403*E403</f>
        <v>0</v>
      </c>
      <c r="P403" s="1232">
        <f>G403+I403+K403+M403+O403</f>
        <v>0</v>
      </c>
      <c r="AP403" s="1036"/>
    </row>
    <row r="404" spans="1:42" s="807" customFormat="1" ht="24" customHeight="1">
      <c r="A404" s="2135"/>
      <c r="B404" s="2138"/>
      <c r="C404" s="1227" t="s">
        <v>958</v>
      </c>
      <c r="D404" s="1228" t="s">
        <v>548</v>
      </c>
      <c r="E404" s="1229">
        <v>0</v>
      </c>
      <c r="F404" s="1230">
        <v>1</v>
      </c>
      <c r="G404" s="1231">
        <f>F404*E404</f>
        <v>0</v>
      </c>
      <c r="H404" s="1230">
        <v>1</v>
      </c>
      <c r="I404" s="1231">
        <f>H404*E404</f>
        <v>0</v>
      </c>
      <c r="J404" s="1230">
        <v>0</v>
      </c>
      <c r="K404" s="1231">
        <f>J404*E404</f>
        <v>0</v>
      </c>
      <c r="L404" s="1230">
        <v>0</v>
      </c>
      <c r="M404" s="1231">
        <f>L404*E404</f>
        <v>0</v>
      </c>
      <c r="N404" s="1230">
        <v>0</v>
      </c>
      <c r="O404" s="1231">
        <f>N404*E404</f>
        <v>0</v>
      </c>
      <c r="P404" s="1232">
        <f>G404+I404+K404+M404+O404</f>
        <v>0</v>
      </c>
      <c r="AP404" s="1036"/>
    </row>
    <row r="405" spans="1:42" s="807" customFormat="1" ht="24" customHeight="1">
      <c r="A405" s="2135"/>
      <c r="B405" s="2138"/>
      <c r="C405" s="1236" t="s">
        <v>1285</v>
      </c>
      <c r="D405" s="1237"/>
      <c r="E405" s="1238">
        <v>7.0000000000000007E-2</v>
      </c>
      <c r="F405" s="1239"/>
      <c r="G405" s="1240">
        <f>(SUM(G391:G404))*E405</f>
        <v>5950.0000000000009</v>
      </c>
      <c r="H405" s="1241"/>
      <c r="I405" s="1240">
        <f>(SUM(I391:I404))*E405</f>
        <v>4130</v>
      </c>
      <c r="J405" s="1239"/>
      <c r="K405" s="1240">
        <f>(SUM(K391:K404))*E405</f>
        <v>1960.0000000000002</v>
      </c>
      <c r="L405" s="1239"/>
      <c r="M405" s="1240">
        <f>(SUM(M391:M404))*E405</f>
        <v>2240</v>
      </c>
      <c r="N405" s="1239"/>
      <c r="O405" s="1240">
        <f>(SUM(O391:O404))*E405</f>
        <v>2520.0000000000005</v>
      </c>
      <c r="P405" s="1242">
        <f>G405+I405+K405+M405+O405</f>
        <v>16800</v>
      </c>
      <c r="AP405" s="1036"/>
    </row>
    <row r="406" spans="1:42" s="807" customFormat="1" ht="24" customHeight="1">
      <c r="A406" s="2135"/>
      <c r="B406" s="2138"/>
      <c r="C406" s="1243" t="s">
        <v>550</v>
      </c>
      <c r="D406" s="1243"/>
      <c r="E406" s="1244"/>
      <c r="F406" s="1245"/>
      <c r="G406" s="1246">
        <f>SUM(G391:G405)</f>
        <v>90950</v>
      </c>
      <c r="H406" s="1247"/>
      <c r="I406" s="1246">
        <f t="shared" ref="I406:O406" si="177">SUM(I391:I405)</f>
        <v>63130</v>
      </c>
      <c r="J406" s="1247"/>
      <c r="K406" s="1246">
        <f t="shared" si="177"/>
        <v>29960</v>
      </c>
      <c r="L406" s="1247"/>
      <c r="M406" s="1246">
        <f t="shared" si="177"/>
        <v>34240</v>
      </c>
      <c r="N406" s="1247"/>
      <c r="O406" s="1246">
        <f t="shared" si="177"/>
        <v>38520</v>
      </c>
      <c r="P406" s="1248">
        <f>SUM(P391:P405)</f>
        <v>256800</v>
      </c>
      <c r="AP406" s="1036"/>
    </row>
    <row r="407" spans="1:42" s="807" customFormat="1" ht="24" customHeight="1" thickBot="1">
      <c r="A407" s="2136"/>
      <c r="B407" s="2139"/>
      <c r="C407" s="1249" t="s">
        <v>932</v>
      </c>
      <c r="D407" s="1249"/>
      <c r="E407" s="1250"/>
      <c r="F407" s="1251"/>
      <c r="G407" s="1252">
        <f>G406/P406</f>
        <v>0.35416666666666669</v>
      </c>
      <c r="H407" s="1251"/>
      <c r="I407" s="1252">
        <f>I406/P406</f>
        <v>0.24583333333333332</v>
      </c>
      <c r="J407" s="1251"/>
      <c r="K407" s="1252">
        <f>K406/P406</f>
        <v>0.11666666666666667</v>
      </c>
      <c r="L407" s="1251"/>
      <c r="M407" s="1252">
        <f>M406/P406</f>
        <v>0.13333333333333333</v>
      </c>
      <c r="N407" s="1251"/>
      <c r="O407" s="1252">
        <f>O406/P406</f>
        <v>0.15</v>
      </c>
      <c r="P407" s="1253"/>
      <c r="AP407" s="1036"/>
    </row>
    <row r="408" spans="1:42" ht="18.75">
      <c r="A408" s="633"/>
      <c r="B408" s="388"/>
      <c r="C408" s="635"/>
      <c r="D408" s="635"/>
      <c r="E408" s="643"/>
    </row>
    <row r="409" spans="1:42" ht="19.5" thickBot="1">
      <c r="A409" s="633"/>
      <c r="B409" s="388" t="s">
        <v>1410</v>
      </c>
      <c r="C409" s="635"/>
      <c r="D409" s="635"/>
      <c r="E409" s="643"/>
    </row>
    <row r="410" spans="1:42" ht="16.5" thickBot="1">
      <c r="A410" s="2094"/>
      <c r="B410" s="2095"/>
      <c r="C410" s="2095"/>
      <c r="D410" s="2096"/>
      <c r="E410" s="2057" t="s">
        <v>881</v>
      </c>
      <c r="F410" s="2058"/>
      <c r="G410" s="2058"/>
      <c r="H410" s="2058"/>
      <c r="I410" s="2058"/>
      <c r="J410" s="2059"/>
      <c r="K410" s="2060" t="s">
        <v>961</v>
      </c>
      <c r="L410" s="2061"/>
      <c r="M410" s="2061"/>
      <c r="N410" s="2061"/>
      <c r="O410" s="2061"/>
      <c r="P410" s="2061"/>
      <c r="Q410" s="2061"/>
      <c r="R410" s="2061"/>
      <c r="S410" s="2097"/>
    </row>
    <row r="411" spans="1:42" ht="30.75" customHeight="1" thickBot="1">
      <c r="A411" s="2233" t="s">
        <v>1267</v>
      </c>
      <c r="B411" s="1450"/>
      <c r="C411" s="819"/>
      <c r="D411" s="819"/>
      <c r="E411" s="818">
        <v>2021</v>
      </c>
      <c r="F411" s="819">
        <v>2022</v>
      </c>
      <c r="G411" s="819">
        <v>2023</v>
      </c>
      <c r="H411" s="819">
        <v>2024</v>
      </c>
      <c r="I411" s="819">
        <v>2025</v>
      </c>
      <c r="J411" s="1215" t="s">
        <v>101</v>
      </c>
      <c r="K411" s="819">
        <v>2021</v>
      </c>
      <c r="L411" s="819">
        <v>2022</v>
      </c>
      <c r="M411" s="819">
        <v>2023</v>
      </c>
      <c r="N411" s="819">
        <v>2024</v>
      </c>
      <c r="O411" s="1216">
        <v>2025</v>
      </c>
      <c r="P411" s="1215" t="s">
        <v>101</v>
      </c>
      <c r="Q411" s="555" t="s">
        <v>826</v>
      </c>
      <c r="R411" s="556" t="s">
        <v>828</v>
      </c>
      <c r="S411" s="583" t="s">
        <v>829</v>
      </c>
    </row>
    <row r="412" spans="1:42" ht="16.5" thickBot="1">
      <c r="A412" s="2234"/>
      <c r="B412" s="1451" t="s">
        <v>1408</v>
      </c>
      <c r="C412" s="1063" t="s">
        <v>1409</v>
      </c>
      <c r="D412" s="1064">
        <v>100</v>
      </c>
      <c r="E412" s="1448">
        <f>D412*1.15</f>
        <v>114.99999999999999</v>
      </c>
      <c r="F412" s="1445">
        <f t="shared" ref="F412:I412" si="178">E412*1.15</f>
        <v>132.24999999999997</v>
      </c>
      <c r="G412" s="1445">
        <f t="shared" si="178"/>
        <v>152.08749999999995</v>
      </c>
      <c r="H412" s="1445">
        <f t="shared" si="178"/>
        <v>174.90062499999993</v>
      </c>
      <c r="I412" s="1446">
        <f t="shared" si="178"/>
        <v>201.13571874999991</v>
      </c>
      <c r="J412" s="570">
        <f t="shared" ref="J412:J413" si="179">SUM(E412:I412)</f>
        <v>775.37384374999976</v>
      </c>
      <c r="K412" s="785">
        <v>200</v>
      </c>
      <c r="L412" s="786">
        <v>200</v>
      </c>
      <c r="M412" s="786">
        <v>200</v>
      </c>
      <c r="N412" s="786">
        <v>200</v>
      </c>
      <c r="O412" s="1434">
        <v>200</v>
      </c>
      <c r="P412" s="573">
        <f t="shared" ref="P412:P413" si="180">SUM(K412:O412)</f>
        <v>1000</v>
      </c>
      <c r="Q412" s="1443">
        <v>100</v>
      </c>
      <c r="R412" s="1443">
        <f>R398</f>
        <v>0</v>
      </c>
      <c r="S412" s="1444">
        <f>SUM(Q412:R412)</f>
        <v>100</v>
      </c>
    </row>
    <row r="413" spans="1:42" ht="16.5" thickBot="1">
      <c r="A413" s="2234"/>
      <c r="B413" s="1452" t="s">
        <v>1411</v>
      </c>
      <c r="C413" s="1453" t="s">
        <v>1409</v>
      </c>
      <c r="D413" s="1454">
        <v>101</v>
      </c>
      <c r="E413" s="1449">
        <v>300</v>
      </c>
      <c r="F413" s="523">
        <v>300</v>
      </c>
      <c r="G413" s="523">
        <v>300</v>
      </c>
      <c r="H413" s="523">
        <v>300</v>
      </c>
      <c r="I413" s="1447">
        <v>300</v>
      </c>
      <c r="J413" s="570">
        <f t="shared" si="179"/>
        <v>1500</v>
      </c>
      <c r="K413" s="793">
        <v>300</v>
      </c>
      <c r="L413" s="794">
        <v>300</v>
      </c>
      <c r="M413" s="794">
        <v>300</v>
      </c>
      <c r="N413" s="794">
        <v>300</v>
      </c>
      <c r="O413" s="1436">
        <v>300</v>
      </c>
      <c r="P413" s="573">
        <f t="shared" si="180"/>
        <v>1500</v>
      </c>
      <c r="Q413" s="1443">
        <v>100</v>
      </c>
      <c r="R413" s="1443">
        <f>R399</f>
        <v>0</v>
      </c>
      <c r="S413" s="1444">
        <f>SUM(Q413:R413)</f>
        <v>100</v>
      </c>
    </row>
    <row r="414" spans="1:42" ht="18.75">
      <c r="A414" s="633"/>
      <c r="B414" s="388"/>
      <c r="C414" s="635"/>
      <c r="D414" s="635"/>
      <c r="E414" s="643"/>
    </row>
    <row r="415" spans="1:42" ht="19.5" thickBot="1">
      <c r="A415" s="633"/>
      <c r="B415" s="388" t="s">
        <v>923</v>
      </c>
      <c r="C415" s="635"/>
      <c r="D415" s="635"/>
      <c r="E415" s="643"/>
      <c r="R415" s="388" t="s">
        <v>923</v>
      </c>
    </row>
    <row r="416" spans="1:42" ht="24" customHeight="1">
      <c r="A416" s="2128" t="s">
        <v>1272</v>
      </c>
      <c r="B416" s="2129"/>
      <c r="C416" s="2129" t="s">
        <v>545</v>
      </c>
      <c r="D416" s="2129" t="s">
        <v>1273</v>
      </c>
      <c r="E416" s="2132" t="s">
        <v>1274</v>
      </c>
      <c r="F416" s="2121">
        <v>2021</v>
      </c>
      <c r="G416" s="2122"/>
      <c r="H416" s="2121">
        <v>2022</v>
      </c>
      <c r="I416" s="2122"/>
      <c r="J416" s="2121">
        <v>2023</v>
      </c>
      <c r="K416" s="2122"/>
      <c r="L416" s="2121">
        <v>2024</v>
      </c>
      <c r="M416" s="2122"/>
      <c r="N416" s="2121">
        <v>2025</v>
      </c>
      <c r="O416" s="2122"/>
      <c r="P416" s="2123" t="s">
        <v>546</v>
      </c>
      <c r="R416" s="1254" t="s">
        <v>1286</v>
      </c>
      <c r="S416" s="1255"/>
      <c r="T416" s="1256"/>
      <c r="U416" s="1257">
        <v>0</v>
      </c>
      <c r="V416" s="1258"/>
      <c r="W416" s="1259"/>
      <c r="X416" s="1258"/>
      <c r="Y416" s="1260"/>
    </row>
    <row r="417" spans="1:42" ht="24" customHeight="1" thickBot="1">
      <c r="A417" s="2130"/>
      <c r="B417" s="2131"/>
      <c r="C417" s="2131"/>
      <c r="D417" s="2131"/>
      <c r="E417" s="2133"/>
      <c r="F417" s="1219" t="s">
        <v>1275</v>
      </c>
      <c r="G417" s="1220" t="s">
        <v>1276</v>
      </c>
      <c r="H417" s="1219" t="s">
        <v>1275</v>
      </c>
      <c r="I417" s="1220" t="s">
        <v>1276</v>
      </c>
      <c r="J417" s="1219" t="s">
        <v>1275</v>
      </c>
      <c r="K417" s="1220" t="s">
        <v>1276</v>
      </c>
      <c r="L417" s="1219" t="s">
        <v>1275</v>
      </c>
      <c r="M417" s="1220" t="s">
        <v>1276</v>
      </c>
      <c r="N417" s="1219" t="s">
        <v>1275</v>
      </c>
      <c r="O417" s="1220" t="s">
        <v>1276</v>
      </c>
      <c r="P417" s="2124"/>
      <c r="R417" s="1261" t="s">
        <v>1287</v>
      </c>
      <c r="S417" s="1262"/>
      <c r="T417" s="1263"/>
      <c r="U417" s="1264">
        <v>2</v>
      </c>
      <c r="V417" s="1265"/>
      <c r="W417" s="1265"/>
      <c r="X417" s="1265"/>
      <c r="Y417" s="1266"/>
    </row>
    <row r="418" spans="1:42" s="807" customFormat="1" ht="24" customHeight="1">
      <c r="A418" s="2134" t="s">
        <v>924</v>
      </c>
      <c r="B418" s="2137" t="s">
        <v>1288</v>
      </c>
      <c r="C418" s="2140" t="s">
        <v>964</v>
      </c>
      <c r="D418" s="1221" t="s">
        <v>548</v>
      </c>
      <c r="E418" s="2142">
        <v>7000</v>
      </c>
      <c r="F418" s="1267">
        <v>1</v>
      </c>
      <c r="G418" s="2153">
        <f>F418*F419*E418</f>
        <v>70000</v>
      </c>
      <c r="H418" s="1267"/>
      <c r="I418" s="2153">
        <f>H418*H419*E418</f>
        <v>0</v>
      </c>
      <c r="J418" s="1267"/>
      <c r="K418" s="2153">
        <f>J418*J419*E418</f>
        <v>0</v>
      </c>
      <c r="L418" s="1267"/>
      <c r="M418" s="2153">
        <f>L418*L419*E418</f>
        <v>0</v>
      </c>
      <c r="N418" s="1267">
        <v>1</v>
      </c>
      <c r="O418" s="2153">
        <f>N418*N419*E418</f>
        <v>70000</v>
      </c>
      <c r="P418" s="2154">
        <f>G418+I418+K418+M418+O418</f>
        <v>140000</v>
      </c>
      <c r="R418" s="1261" t="s">
        <v>1289</v>
      </c>
      <c r="S418" s="1262"/>
      <c r="T418" s="1263"/>
      <c r="U418" s="1264">
        <v>70</v>
      </c>
      <c r="V418" s="1265"/>
      <c r="W418" s="1265"/>
      <c r="X418" s="1265"/>
      <c r="Y418" s="1266"/>
      <c r="AP418" s="1036"/>
    </row>
    <row r="419" spans="1:42" s="807" customFormat="1" ht="24" customHeight="1">
      <c r="A419" s="2135"/>
      <c r="B419" s="2138"/>
      <c r="C419" s="2141"/>
      <c r="D419" s="1223" t="s">
        <v>1277</v>
      </c>
      <c r="E419" s="2143"/>
      <c r="F419" s="1268">
        <v>10</v>
      </c>
      <c r="G419" s="2148"/>
      <c r="H419" s="1268"/>
      <c r="I419" s="2148"/>
      <c r="J419" s="1268"/>
      <c r="K419" s="2148"/>
      <c r="L419" s="1268"/>
      <c r="M419" s="2148"/>
      <c r="N419" s="1268">
        <v>10</v>
      </c>
      <c r="O419" s="2148"/>
      <c r="P419" s="2155"/>
      <c r="R419" s="1261" t="s">
        <v>1290</v>
      </c>
      <c r="S419" s="1262"/>
      <c r="T419" s="1263"/>
      <c r="U419" s="1264">
        <v>1</v>
      </c>
      <c r="V419" s="1265"/>
      <c r="W419" s="1265"/>
      <c r="X419" s="1265"/>
      <c r="Y419" s="1266"/>
      <c r="AP419" s="1036"/>
    </row>
    <row r="420" spans="1:42" s="807" customFormat="1" ht="24" customHeight="1">
      <c r="A420" s="2135"/>
      <c r="B420" s="2138"/>
      <c r="C420" s="2146" t="s">
        <v>925</v>
      </c>
      <c r="D420" s="1225" t="s">
        <v>548</v>
      </c>
      <c r="E420" s="2151">
        <v>2000</v>
      </c>
      <c r="F420" s="1269">
        <v>8</v>
      </c>
      <c r="G420" s="2147">
        <f>F420*F421*E420</f>
        <v>384000</v>
      </c>
      <c r="H420" s="1269"/>
      <c r="I420" s="2147">
        <f>H420*H421*E420</f>
        <v>0</v>
      </c>
      <c r="J420" s="1269"/>
      <c r="K420" s="2147">
        <f>J420*J421*E420</f>
        <v>0</v>
      </c>
      <c r="L420" s="1269"/>
      <c r="M420" s="2147">
        <f>L420*L421*E420</f>
        <v>0</v>
      </c>
      <c r="N420" s="1269">
        <v>8</v>
      </c>
      <c r="O420" s="2147">
        <f>N420*N421*E420</f>
        <v>320000</v>
      </c>
      <c r="P420" s="2156">
        <f>G420+I420+K420+M420+O420</f>
        <v>704000</v>
      </c>
      <c r="R420" s="1261" t="s">
        <v>1291</v>
      </c>
      <c r="S420" s="1262"/>
      <c r="T420" s="1270">
        <v>0</v>
      </c>
      <c r="U420" s="1271">
        <f>ROUND(U418*T420,0)</f>
        <v>0</v>
      </c>
      <c r="V420" s="1265"/>
      <c r="W420" s="1265"/>
      <c r="X420" s="1265"/>
      <c r="Y420" s="1266"/>
      <c r="AP420" s="1036"/>
    </row>
    <row r="421" spans="1:42" s="807" customFormat="1" ht="24" customHeight="1">
      <c r="A421" s="2135"/>
      <c r="B421" s="2138"/>
      <c r="C421" s="2141"/>
      <c r="D421" s="1223" t="s">
        <v>1277</v>
      </c>
      <c r="E421" s="2143"/>
      <c r="F421" s="1268">
        <v>24</v>
      </c>
      <c r="G421" s="2148"/>
      <c r="H421" s="1268"/>
      <c r="I421" s="2148"/>
      <c r="J421" s="1268"/>
      <c r="K421" s="2148"/>
      <c r="L421" s="1268"/>
      <c r="M421" s="2148"/>
      <c r="N421" s="1268">
        <v>20</v>
      </c>
      <c r="O421" s="2148"/>
      <c r="P421" s="2155"/>
      <c r="R421" s="1261" t="s">
        <v>1292</v>
      </c>
      <c r="S421" s="1262"/>
      <c r="T421" s="1270">
        <v>1</v>
      </c>
      <c r="U421" s="1271">
        <v>50</v>
      </c>
      <c r="V421" s="1265"/>
      <c r="W421" s="1265"/>
      <c r="X421" s="1265"/>
      <c r="Y421" s="1266"/>
      <c r="AP421" s="1036"/>
    </row>
    <row r="422" spans="1:42" s="807" customFormat="1" ht="24" customHeight="1" thickBot="1">
      <c r="A422" s="2135"/>
      <c r="B422" s="2138"/>
      <c r="C422" s="1227" t="s">
        <v>1293</v>
      </c>
      <c r="D422" s="1272" t="s">
        <v>548</v>
      </c>
      <c r="E422" s="1273">
        <v>0</v>
      </c>
      <c r="F422" s="1274">
        <v>1</v>
      </c>
      <c r="G422" s="1275">
        <f>F422*E422</f>
        <v>0</v>
      </c>
      <c r="H422" s="1274"/>
      <c r="I422" s="1275">
        <f>H422*E422</f>
        <v>0</v>
      </c>
      <c r="J422" s="1274"/>
      <c r="K422" s="1275">
        <f>J422*E422</f>
        <v>0</v>
      </c>
      <c r="L422" s="1274"/>
      <c r="M422" s="1275">
        <f>L422*E422</f>
        <v>0</v>
      </c>
      <c r="N422" s="1274">
        <v>1</v>
      </c>
      <c r="O422" s="1275">
        <f>N422*E422</f>
        <v>0</v>
      </c>
      <c r="P422" s="1033">
        <f>G422+I422+K422+M422+O422</f>
        <v>0</v>
      </c>
      <c r="R422" s="1276" t="s">
        <v>1294</v>
      </c>
      <c r="S422" s="1277"/>
      <c r="T422" s="1278"/>
      <c r="U422" s="1271">
        <f>U419-1</f>
        <v>0</v>
      </c>
      <c r="V422" s="1265"/>
      <c r="W422" s="1265"/>
      <c r="X422" s="1265"/>
      <c r="Y422" s="1266"/>
      <c r="AP422" s="1036"/>
    </row>
    <row r="423" spans="1:42" s="807" customFormat="1" ht="32.25" customHeight="1">
      <c r="A423" s="2135"/>
      <c r="B423" s="2138"/>
      <c r="C423" s="2157" t="s">
        <v>926</v>
      </c>
      <c r="D423" s="1225" t="s">
        <v>548</v>
      </c>
      <c r="E423" s="2151">
        <v>2000</v>
      </c>
      <c r="F423" s="1269">
        <v>1</v>
      </c>
      <c r="G423" s="2147">
        <f>F423*F424*E423</f>
        <v>20000</v>
      </c>
      <c r="H423" s="1269"/>
      <c r="I423" s="2147">
        <f>H423*H424*E423</f>
        <v>0</v>
      </c>
      <c r="J423" s="1269"/>
      <c r="K423" s="2147">
        <f>J423*J424*E423</f>
        <v>0</v>
      </c>
      <c r="L423" s="1269"/>
      <c r="M423" s="2147">
        <f>L423*L424*E423</f>
        <v>0</v>
      </c>
      <c r="N423" s="1269">
        <v>1</v>
      </c>
      <c r="O423" s="2147">
        <f>N423*N424*E423</f>
        <v>20000</v>
      </c>
      <c r="P423" s="2156">
        <f>G423+I423+K423+M423+O423</f>
        <v>40000</v>
      </c>
      <c r="R423" s="2163" t="s">
        <v>1295</v>
      </c>
      <c r="S423" s="2165" t="s">
        <v>1296</v>
      </c>
      <c r="T423" s="2159" t="s">
        <v>1297</v>
      </c>
      <c r="U423" s="2159" t="s">
        <v>1298</v>
      </c>
      <c r="V423" s="2159" t="s">
        <v>1299</v>
      </c>
      <c r="W423" s="2165" t="s">
        <v>1300</v>
      </c>
      <c r="X423" s="2159" t="s">
        <v>1301</v>
      </c>
      <c r="Y423" s="2161" t="s">
        <v>939</v>
      </c>
      <c r="AP423" s="1036"/>
    </row>
    <row r="424" spans="1:42" s="807" customFormat="1" ht="24" customHeight="1" thickBot="1">
      <c r="A424" s="2135"/>
      <c r="B424" s="2138"/>
      <c r="C424" s="2158"/>
      <c r="D424" s="1223" t="s">
        <v>1277</v>
      </c>
      <c r="E424" s="2143"/>
      <c r="F424" s="1268">
        <v>10</v>
      </c>
      <c r="G424" s="2148"/>
      <c r="H424" s="1268"/>
      <c r="I424" s="2148"/>
      <c r="J424" s="1268"/>
      <c r="K424" s="2148"/>
      <c r="L424" s="1268"/>
      <c r="M424" s="2148"/>
      <c r="N424" s="1268">
        <v>10</v>
      </c>
      <c r="O424" s="2148"/>
      <c r="P424" s="2155"/>
      <c r="R424" s="2164"/>
      <c r="S424" s="2166"/>
      <c r="T424" s="2160"/>
      <c r="U424" s="2160"/>
      <c r="V424" s="2160"/>
      <c r="W424" s="2166"/>
      <c r="X424" s="2160"/>
      <c r="Y424" s="2162"/>
      <c r="AP424" s="1036"/>
    </row>
    <row r="425" spans="1:42" s="807" customFormat="1" ht="24" customHeight="1">
      <c r="A425" s="2135"/>
      <c r="B425" s="2138"/>
      <c r="C425" s="2157" t="s">
        <v>965</v>
      </c>
      <c r="D425" s="1225" t="s">
        <v>548</v>
      </c>
      <c r="E425" s="2151">
        <v>2000</v>
      </c>
      <c r="F425" s="1269">
        <v>3</v>
      </c>
      <c r="G425" s="2147"/>
      <c r="H425" s="1269"/>
      <c r="I425" s="2147">
        <f>H425*H426*E425</f>
        <v>0</v>
      </c>
      <c r="J425" s="1269"/>
      <c r="K425" s="2147">
        <f>J425*J426*E425</f>
        <v>0</v>
      </c>
      <c r="L425" s="1269"/>
      <c r="M425" s="2147">
        <f>L425*L426*E425</f>
        <v>0</v>
      </c>
      <c r="N425" s="1269">
        <v>3</v>
      </c>
      <c r="O425" s="2147">
        <f>N425*N426*E425</f>
        <v>240000</v>
      </c>
      <c r="P425" s="2156">
        <f>G425+I425+K425+M425+O425</f>
        <v>240000</v>
      </c>
      <c r="R425" s="1279" t="s">
        <v>1302</v>
      </c>
      <c r="S425" s="1280" t="s">
        <v>1427</v>
      </c>
      <c r="T425" s="1281" t="s">
        <v>1428</v>
      </c>
      <c r="U425" s="1282">
        <v>2000</v>
      </c>
      <c r="V425" s="1282" t="s">
        <v>1315</v>
      </c>
      <c r="W425" s="1283">
        <f ca="1">ROUND(IFERROR(IF(V425="MDL",U425,U425*INDIRECT(V425)),0),2)</f>
        <v>2000</v>
      </c>
      <c r="X425" s="1282">
        <f>U417</f>
        <v>2</v>
      </c>
      <c r="Y425" s="1284">
        <f ca="1">U417*W425*X425</f>
        <v>8000</v>
      </c>
      <c r="AP425" s="1036"/>
    </row>
    <row r="426" spans="1:42" s="807" customFormat="1" ht="24" customHeight="1">
      <c r="A426" s="2135"/>
      <c r="B426" s="2138"/>
      <c r="C426" s="2158"/>
      <c r="D426" s="1223" t="s">
        <v>1303</v>
      </c>
      <c r="E426" s="2143"/>
      <c r="F426" s="1268">
        <v>40</v>
      </c>
      <c r="G426" s="2148"/>
      <c r="H426" s="1268"/>
      <c r="I426" s="2148"/>
      <c r="J426" s="1268"/>
      <c r="K426" s="2148"/>
      <c r="L426" s="1268"/>
      <c r="M426" s="2148"/>
      <c r="N426" s="1268">
        <v>40</v>
      </c>
      <c r="O426" s="2148"/>
      <c r="P426" s="2155"/>
      <c r="R426" s="1285" t="s">
        <v>1304</v>
      </c>
      <c r="S426" s="1286" t="s">
        <v>1429</v>
      </c>
      <c r="T426" s="236" t="s">
        <v>1430</v>
      </c>
      <c r="U426" s="1287">
        <v>75</v>
      </c>
      <c r="V426" s="1287" t="s">
        <v>1315</v>
      </c>
      <c r="W426" s="185">
        <f t="shared" ref="W426:W427" ca="1" si="181">ROUND(IFERROR(IF(V426="MDL",U426,U426*INDIRECT(V426)),0),2)</f>
        <v>75</v>
      </c>
      <c r="X426" s="1287">
        <v>2</v>
      </c>
      <c r="Y426" s="1288">
        <f ca="1">X426*W426*U418*U419</f>
        <v>10500</v>
      </c>
      <c r="AP426" s="1036"/>
    </row>
    <row r="427" spans="1:42" s="807" customFormat="1" ht="24" customHeight="1">
      <c r="A427" s="2135"/>
      <c r="B427" s="2138"/>
      <c r="C427" s="2157" t="s">
        <v>1305</v>
      </c>
      <c r="D427" s="1228" t="s">
        <v>1306</v>
      </c>
      <c r="E427" s="2147">
        <v>3.6</v>
      </c>
      <c r="F427" s="1289">
        <v>120</v>
      </c>
      <c r="G427" s="2147">
        <f>F427*F428*E427</f>
        <v>18144</v>
      </c>
      <c r="H427" s="1269"/>
      <c r="I427" s="2147">
        <f>H427*H428*E427</f>
        <v>0</v>
      </c>
      <c r="J427" s="1269"/>
      <c r="K427" s="2147">
        <f>J427*J428*E427</f>
        <v>0</v>
      </c>
      <c r="L427" s="1269"/>
      <c r="M427" s="2147">
        <f>L427*L428*E427</f>
        <v>0</v>
      </c>
      <c r="N427" s="1289">
        <v>120</v>
      </c>
      <c r="O427" s="2147">
        <f>N427*N428*E427</f>
        <v>16416</v>
      </c>
      <c r="P427" s="2156">
        <f>G427+I427+K427+M427+O427</f>
        <v>34560</v>
      </c>
      <c r="R427" s="1285" t="s">
        <v>1307</v>
      </c>
      <c r="S427" s="1286" t="s">
        <v>1431</v>
      </c>
      <c r="T427" s="236" t="s">
        <v>1430</v>
      </c>
      <c r="U427" s="1287">
        <v>220</v>
      </c>
      <c r="V427" s="1287" t="s">
        <v>1315</v>
      </c>
      <c r="W427" s="185">
        <f t="shared" ca="1" si="181"/>
        <v>220</v>
      </c>
      <c r="X427" s="1287">
        <f>U419</f>
        <v>1</v>
      </c>
      <c r="Y427" s="1288">
        <f ca="1">U418*X427*W427</f>
        <v>15400</v>
      </c>
      <c r="AP427" s="1036"/>
    </row>
    <row r="428" spans="1:42" s="807" customFormat="1" ht="24" customHeight="1">
      <c r="A428" s="2135"/>
      <c r="B428" s="2138"/>
      <c r="C428" s="2158"/>
      <c r="D428" s="1272" t="s">
        <v>1303</v>
      </c>
      <c r="E428" s="2148"/>
      <c r="F428" s="1274">
        <v>42</v>
      </c>
      <c r="G428" s="2148"/>
      <c r="H428" s="1268"/>
      <c r="I428" s="2148"/>
      <c r="J428" s="1268"/>
      <c r="K428" s="2148"/>
      <c r="L428" s="1268"/>
      <c r="M428" s="2148"/>
      <c r="N428" s="1274">
        <v>38</v>
      </c>
      <c r="O428" s="2148"/>
      <c r="P428" s="2155"/>
      <c r="R428" s="1285" t="s">
        <v>1308</v>
      </c>
      <c r="S428" s="1286" t="s">
        <v>1432</v>
      </c>
      <c r="T428" s="236" t="s">
        <v>1433</v>
      </c>
      <c r="U428" s="1287">
        <v>80</v>
      </c>
      <c r="V428" s="1287" t="s">
        <v>1315</v>
      </c>
      <c r="W428" s="185">
        <f ca="1">ROUND(IFERROR(IF(V428="MDL",U428,U428*INDIRECT(V428)),0),2)</f>
        <v>80</v>
      </c>
      <c r="X428" s="1290">
        <v>2</v>
      </c>
      <c r="Y428" s="1288">
        <f ca="1">X428*U421*W428</f>
        <v>8000</v>
      </c>
      <c r="AP428" s="1036"/>
    </row>
    <row r="429" spans="1:42" s="807" customFormat="1" ht="24" customHeight="1">
      <c r="A429" s="2135"/>
      <c r="B429" s="2138"/>
      <c r="C429" s="1291" t="s">
        <v>966</v>
      </c>
      <c r="D429" s="1233" t="s">
        <v>548</v>
      </c>
      <c r="E429" s="1292">
        <v>0</v>
      </c>
      <c r="F429" s="1269">
        <v>1</v>
      </c>
      <c r="G429" s="1275">
        <f>F429*E429</f>
        <v>0</v>
      </c>
      <c r="H429" s="1269"/>
      <c r="I429" s="1275">
        <f>H429*E429</f>
        <v>0</v>
      </c>
      <c r="J429" s="1274"/>
      <c r="K429" s="1275">
        <f>J429*E429</f>
        <v>0</v>
      </c>
      <c r="L429" s="1274"/>
      <c r="M429" s="1275">
        <f>L429*E429</f>
        <v>0</v>
      </c>
      <c r="N429" s="1274">
        <v>1</v>
      </c>
      <c r="O429" s="1275">
        <f>N429*E429</f>
        <v>0</v>
      </c>
      <c r="P429" s="1033">
        <f>G429+I429+K429+M429+O429</f>
        <v>0</v>
      </c>
      <c r="R429" s="1285" t="s">
        <v>1309</v>
      </c>
      <c r="S429" s="1286" t="s">
        <v>1434</v>
      </c>
      <c r="T429" s="236" t="s">
        <v>1435</v>
      </c>
      <c r="U429" s="1287">
        <v>140</v>
      </c>
      <c r="V429" s="1287" t="s">
        <v>1315</v>
      </c>
      <c r="W429" s="185">
        <f ca="1">ROUND(IFERROR(IF(V429="MDL",U429,U429*INDIRECT(V429)),0),2)</f>
        <v>140</v>
      </c>
      <c r="X429" s="1287">
        <v>1</v>
      </c>
      <c r="Y429" s="1288">
        <f ca="1">U418*X429*W429</f>
        <v>9800</v>
      </c>
      <c r="AP429" s="1036"/>
    </row>
    <row r="430" spans="1:42" s="807" customFormat="1" ht="24" customHeight="1">
      <c r="A430" s="2135"/>
      <c r="B430" s="2138"/>
      <c r="C430" s="2167" t="s">
        <v>1310</v>
      </c>
      <c r="D430" s="1233" t="s">
        <v>604</v>
      </c>
      <c r="E430" s="2147">
        <v>2</v>
      </c>
      <c r="F430" s="1269">
        <v>80</v>
      </c>
      <c r="G430" s="2147">
        <f>E430*F430*F431</f>
        <v>16000</v>
      </c>
      <c r="H430" s="1269"/>
      <c r="I430" s="2147">
        <f>H430*H431*E430</f>
        <v>0</v>
      </c>
      <c r="J430" s="1269"/>
      <c r="K430" s="2147">
        <f>J430*J431*E430</f>
        <v>0</v>
      </c>
      <c r="L430" s="1269"/>
      <c r="M430" s="2147">
        <f>L430*L431*E430</f>
        <v>0</v>
      </c>
      <c r="N430" s="1269">
        <v>60</v>
      </c>
      <c r="O430" s="2147">
        <f>N430*N431*E430</f>
        <v>9600</v>
      </c>
      <c r="P430" s="2156">
        <f>G430+I430+K430+M430+O430</f>
        <v>25600</v>
      </c>
      <c r="R430" s="1285" t="s">
        <v>1311</v>
      </c>
      <c r="S430" s="1286" t="s">
        <v>1436</v>
      </c>
      <c r="T430" s="236" t="s">
        <v>1428</v>
      </c>
      <c r="U430" s="1287">
        <v>1800</v>
      </c>
      <c r="V430" s="1287" t="s">
        <v>1315</v>
      </c>
      <c r="W430" s="185">
        <f ca="1">ROUND(IFERROR(IF(V430="MDL",U430,U430*INDIRECT(V430)),0),2)</f>
        <v>1800</v>
      </c>
      <c r="X430" s="1287">
        <f>U419</f>
        <v>1</v>
      </c>
      <c r="Y430" s="1288">
        <f ca="1">X430*W430</f>
        <v>1800</v>
      </c>
      <c r="AP430" s="1036"/>
    </row>
    <row r="431" spans="1:42" s="807" customFormat="1" ht="24" customHeight="1">
      <c r="A431" s="2135"/>
      <c r="B431" s="2138"/>
      <c r="C431" s="2168"/>
      <c r="D431" s="1234" t="s">
        <v>605</v>
      </c>
      <c r="E431" s="2148"/>
      <c r="F431" s="1268">
        <v>100</v>
      </c>
      <c r="G431" s="2148"/>
      <c r="H431" s="1268"/>
      <c r="I431" s="2148"/>
      <c r="J431" s="1268"/>
      <c r="K431" s="2148"/>
      <c r="L431" s="1268"/>
      <c r="M431" s="2148"/>
      <c r="N431" s="1268">
        <v>80</v>
      </c>
      <c r="O431" s="2148"/>
      <c r="P431" s="2155"/>
      <c r="R431" s="1285"/>
      <c r="S431" s="185">
        <v>0</v>
      </c>
      <c r="T431" s="185">
        <v>0</v>
      </c>
      <c r="U431" s="1287">
        <v>0</v>
      </c>
      <c r="V431" s="1287">
        <v>0</v>
      </c>
      <c r="W431" s="185"/>
      <c r="X431" s="1287" t="str">
        <f>IFERROR(VLOOKUP(AG443,R428:T430,3,0),"")</f>
        <v/>
      </c>
      <c r="Y431" s="1293">
        <f ca="1">SUM(Y425:Y430)</f>
        <v>53500</v>
      </c>
      <c r="AP431" s="1036"/>
    </row>
    <row r="432" spans="1:42" s="807" customFormat="1" ht="24" customHeight="1" thickBot="1">
      <c r="A432" s="2135"/>
      <c r="B432" s="2138"/>
      <c r="C432" s="1034" t="s">
        <v>1312</v>
      </c>
      <c r="D432" s="1225" t="s">
        <v>1313</v>
      </c>
      <c r="E432" s="1294">
        <f ca="1">Y433</f>
        <v>57245</v>
      </c>
      <c r="F432" s="1269">
        <v>1</v>
      </c>
      <c r="G432" s="1275">
        <f ca="1">F432*E432</f>
        <v>57245</v>
      </c>
      <c r="H432" s="1269"/>
      <c r="I432" s="1275">
        <f ca="1">H432*E432</f>
        <v>0</v>
      </c>
      <c r="J432" s="1274"/>
      <c r="K432" s="1275">
        <f ca="1">J432*E432</f>
        <v>0</v>
      </c>
      <c r="L432" s="1274"/>
      <c r="M432" s="1275">
        <f ca="1">L432*E432</f>
        <v>0</v>
      </c>
      <c r="N432" s="1274">
        <v>1</v>
      </c>
      <c r="O432" s="1275">
        <f t="shared" ref="O432:O434" ca="1" si="182">N432*E432</f>
        <v>57245</v>
      </c>
      <c r="P432" s="1033">
        <f ca="1">G432+I432+K432+M432+O432</f>
        <v>114490</v>
      </c>
      <c r="R432" s="1295" t="s">
        <v>1314</v>
      </c>
      <c r="S432" s="1296" t="s">
        <v>621</v>
      </c>
      <c r="T432" s="1297"/>
      <c r="U432" s="1298">
        <v>7.0000000000000007E-2</v>
      </c>
      <c r="V432" s="1297" t="s">
        <v>1315</v>
      </c>
      <c r="W432" s="1297"/>
      <c r="X432" s="1297"/>
      <c r="Y432" s="1299">
        <f ca="1">ROUND(Y431*U432,2)</f>
        <v>3745</v>
      </c>
      <c r="AP432" s="1036"/>
    </row>
    <row r="433" spans="1:42" s="807" customFormat="1" ht="24" customHeight="1" thickBot="1">
      <c r="A433" s="2135"/>
      <c r="B433" s="2138"/>
      <c r="C433" s="801" t="s">
        <v>1316</v>
      </c>
      <c r="D433" s="1228" t="s">
        <v>548</v>
      </c>
      <c r="E433" s="1229">
        <v>0</v>
      </c>
      <c r="F433" s="1289">
        <v>1</v>
      </c>
      <c r="G433" s="1300">
        <f>F433*E433</f>
        <v>0</v>
      </c>
      <c r="H433" s="1289">
        <v>1</v>
      </c>
      <c r="I433" s="1300">
        <f>H433*E433</f>
        <v>0</v>
      </c>
      <c r="J433" s="1289"/>
      <c r="K433" s="1300">
        <f>J433*E433</f>
        <v>0</v>
      </c>
      <c r="L433" s="1289"/>
      <c r="M433" s="1300">
        <f>L433*E433</f>
        <v>0</v>
      </c>
      <c r="N433" s="1289">
        <v>1</v>
      </c>
      <c r="O433" s="1275">
        <f t="shared" si="182"/>
        <v>0</v>
      </c>
      <c r="P433" s="809">
        <f>G433+I433+K433+M433+O433</f>
        <v>0</v>
      </c>
      <c r="R433" s="1301" t="s">
        <v>1317</v>
      </c>
      <c r="S433" s="1302"/>
      <c r="T433" s="1302"/>
      <c r="U433" s="1302"/>
      <c r="V433" s="1302"/>
      <c r="W433" s="1302"/>
      <c r="X433" s="1302"/>
      <c r="Y433" s="1303">
        <f ca="1">Y432+Y431</f>
        <v>57245</v>
      </c>
      <c r="AP433" s="1036"/>
    </row>
    <row r="434" spans="1:42" s="807" customFormat="1" ht="24" customHeight="1">
      <c r="A434" s="2135"/>
      <c r="B434" s="2138"/>
      <c r="C434" s="801" t="s">
        <v>1318</v>
      </c>
      <c r="D434" s="1228" t="s">
        <v>548</v>
      </c>
      <c r="E434" s="1229">
        <v>0</v>
      </c>
      <c r="F434" s="1289">
        <v>1</v>
      </c>
      <c r="G434" s="1300">
        <f>F434*E434</f>
        <v>0</v>
      </c>
      <c r="H434" s="1289">
        <v>1</v>
      </c>
      <c r="I434" s="1300">
        <f>H434*E434</f>
        <v>0</v>
      </c>
      <c r="J434" s="1289"/>
      <c r="K434" s="1300">
        <f>J434*E434</f>
        <v>0</v>
      </c>
      <c r="L434" s="1289"/>
      <c r="M434" s="1300">
        <f>L434*E434</f>
        <v>0</v>
      </c>
      <c r="N434" s="1289">
        <v>1</v>
      </c>
      <c r="O434" s="1300">
        <f t="shared" si="182"/>
        <v>0</v>
      </c>
      <c r="P434" s="809">
        <f>G434+I434+K434+M434+O434</f>
        <v>0</v>
      </c>
      <c r="AP434" s="1036"/>
    </row>
    <row r="435" spans="1:42" s="807" customFormat="1" ht="24" customHeight="1">
      <c r="A435" s="2135"/>
      <c r="B435" s="2138"/>
      <c r="C435" s="1236" t="s">
        <v>1319</v>
      </c>
      <c r="D435" s="1237"/>
      <c r="E435" s="1238">
        <v>7.0000000000000007E-2</v>
      </c>
      <c r="F435" s="1239"/>
      <c r="G435" s="1240">
        <f ca="1">(SUM(G418:G434))*E435</f>
        <v>39577.230000000003</v>
      </c>
      <c r="H435" s="1241"/>
      <c r="I435" s="1240">
        <f ca="1">(SUM(I418:I434))*E435</f>
        <v>0</v>
      </c>
      <c r="J435" s="1239"/>
      <c r="K435" s="1240">
        <f ca="1">(SUM(K418:K434))*E435</f>
        <v>0</v>
      </c>
      <c r="L435" s="1239"/>
      <c r="M435" s="1240">
        <f ca="1">(SUM(M418:M434))*E435</f>
        <v>0</v>
      </c>
      <c r="N435" s="1239"/>
      <c r="O435" s="1240">
        <f ca="1">(SUM(O418:O434))*E435</f>
        <v>51328.270000000004</v>
      </c>
      <c r="P435" s="1304">
        <f ca="1">G435+I435+K435+M435+O435</f>
        <v>90905.5</v>
      </c>
      <c r="AP435" s="1036"/>
    </row>
    <row r="436" spans="1:42" s="807" customFormat="1" ht="24" customHeight="1">
      <c r="A436" s="2135"/>
      <c r="B436" s="2138"/>
      <c r="C436" s="1243" t="s">
        <v>550</v>
      </c>
      <c r="D436" s="1243"/>
      <c r="E436" s="1244"/>
      <c r="F436" s="1305"/>
      <c r="G436" s="1306">
        <f ca="1">SUM(G418:G435)</f>
        <v>604966.23</v>
      </c>
      <c r="H436" s="1307"/>
      <c r="I436" s="1306">
        <f ca="1">SUM(I418:I435)</f>
        <v>0</v>
      </c>
      <c r="J436" s="1307"/>
      <c r="K436" s="1306">
        <f ca="1">SUM(K418:K435)</f>
        <v>0</v>
      </c>
      <c r="L436" s="1307"/>
      <c r="M436" s="1306">
        <f ca="1">SUM(M418:M435)</f>
        <v>0</v>
      </c>
      <c r="N436" s="1307"/>
      <c r="O436" s="1306">
        <f ca="1">SUM(O418:O435)</f>
        <v>784589.27</v>
      </c>
      <c r="P436" s="1308">
        <f ca="1">SUM(P418:P435)</f>
        <v>1389555.5</v>
      </c>
      <c r="AP436" s="1036"/>
    </row>
    <row r="437" spans="1:42" s="807" customFormat="1" ht="24" customHeight="1" thickBot="1">
      <c r="A437" s="2136"/>
      <c r="B437" s="2139"/>
      <c r="C437" s="1249" t="s">
        <v>932</v>
      </c>
      <c r="D437" s="1249"/>
      <c r="E437" s="1250"/>
      <c r="F437" s="1309"/>
      <c r="G437" s="1310">
        <f ca="1">G436/P436</f>
        <v>0.43536672698571593</v>
      </c>
      <c r="H437" s="1309"/>
      <c r="I437" s="1310">
        <f ca="1">I436/P436</f>
        <v>0</v>
      </c>
      <c r="J437" s="1309"/>
      <c r="K437" s="1310">
        <f ca="1">K436/P436*100</f>
        <v>0</v>
      </c>
      <c r="L437" s="1309"/>
      <c r="M437" s="1310">
        <f ca="1">M436/P436*100</f>
        <v>0</v>
      </c>
      <c r="N437" s="1309"/>
      <c r="O437" s="1310">
        <f ca="1">O436/P436</f>
        <v>0.56463327301428412</v>
      </c>
      <c r="P437" s="1311"/>
      <c r="AP437" s="1036"/>
    </row>
    <row r="438" spans="1:42" ht="18.75">
      <c r="A438" s="633"/>
      <c r="B438" s="388"/>
      <c r="C438" s="635"/>
      <c r="D438" s="635"/>
      <c r="E438" s="643"/>
      <c r="G438" s="1312"/>
      <c r="R438" s="807"/>
      <c r="S438" s="807"/>
      <c r="T438" s="807"/>
      <c r="U438" s="807"/>
      <c r="V438" s="807"/>
      <c r="W438" s="807"/>
      <c r="X438" s="807"/>
    </row>
    <row r="439" spans="1:42" ht="19.5" thickBot="1">
      <c r="A439" s="633"/>
      <c r="B439" s="388" t="s">
        <v>1320</v>
      </c>
      <c r="C439" s="635"/>
      <c r="D439" s="635"/>
      <c r="E439" s="643"/>
    </row>
    <row r="440" spans="1:42" ht="24" customHeight="1">
      <c r="A440" s="2128" t="s">
        <v>1272</v>
      </c>
      <c r="B440" s="2129"/>
      <c r="C440" s="2129" t="s">
        <v>545</v>
      </c>
      <c r="D440" s="2129" t="s">
        <v>1273</v>
      </c>
      <c r="E440" s="2132" t="s">
        <v>1274</v>
      </c>
      <c r="F440" s="2121">
        <v>2021</v>
      </c>
      <c r="G440" s="2122"/>
      <c r="H440" s="2121">
        <v>2022</v>
      </c>
      <c r="I440" s="2122"/>
      <c r="J440" s="2121">
        <v>2023</v>
      </c>
      <c r="K440" s="2122"/>
      <c r="L440" s="2121">
        <v>2024</v>
      </c>
      <c r="M440" s="2122"/>
      <c r="N440" s="2121">
        <v>2025</v>
      </c>
      <c r="O440" s="2122"/>
      <c r="P440" s="2123" t="s">
        <v>546</v>
      </c>
    </row>
    <row r="441" spans="1:42" ht="24" customHeight="1" thickBot="1">
      <c r="A441" s="2130"/>
      <c r="B441" s="2131"/>
      <c r="C441" s="2131"/>
      <c r="D441" s="2131"/>
      <c r="E441" s="2133"/>
      <c r="F441" s="1219" t="s">
        <v>1275</v>
      </c>
      <c r="G441" s="1220" t="s">
        <v>1276</v>
      </c>
      <c r="H441" s="1219" t="s">
        <v>1275</v>
      </c>
      <c r="I441" s="1220" t="s">
        <v>1276</v>
      </c>
      <c r="J441" s="1219" t="s">
        <v>1275</v>
      </c>
      <c r="K441" s="1220" t="s">
        <v>1276</v>
      </c>
      <c r="L441" s="1219" t="s">
        <v>1275</v>
      </c>
      <c r="M441" s="1220" t="s">
        <v>1276</v>
      </c>
      <c r="N441" s="1219" t="s">
        <v>1275</v>
      </c>
      <c r="O441" s="1220" t="s">
        <v>1276</v>
      </c>
      <c r="P441" s="2124"/>
    </row>
    <row r="442" spans="1:42" s="807" customFormat="1" ht="24" customHeight="1">
      <c r="A442" s="2134" t="s">
        <v>928</v>
      </c>
      <c r="B442" s="2137" t="s">
        <v>1321</v>
      </c>
      <c r="C442" s="2169" t="s">
        <v>967</v>
      </c>
      <c r="D442" s="1221" t="s">
        <v>548</v>
      </c>
      <c r="E442" s="2142">
        <v>7000</v>
      </c>
      <c r="F442" s="1267">
        <v>2</v>
      </c>
      <c r="G442" s="2153">
        <f>F442*F443*E442</f>
        <v>84000</v>
      </c>
      <c r="H442" s="1267">
        <v>1</v>
      </c>
      <c r="I442" s="2153">
        <f>H442*H443*E442</f>
        <v>28000</v>
      </c>
      <c r="J442" s="1267">
        <v>1</v>
      </c>
      <c r="K442" s="2153">
        <f>J442*J443*E442</f>
        <v>28000</v>
      </c>
      <c r="L442" s="1267"/>
      <c r="M442" s="2153">
        <f>L442*L443*E442</f>
        <v>0</v>
      </c>
      <c r="N442" s="1267">
        <v>0</v>
      </c>
      <c r="O442" s="2153">
        <f>N442*N443*E442</f>
        <v>0</v>
      </c>
      <c r="P442" s="2154">
        <f>G442+I442+K442+M442+O442</f>
        <v>140000</v>
      </c>
      <c r="R442" s="1042"/>
      <c r="S442" s="1042"/>
      <c r="T442" s="1042"/>
      <c r="U442" s="1042"/>
      <c r="V442" s="1042"/>
      <c r="W442" s="1042"/>
      <c r="X442" s="1042"/>
      <c r="Y442" s="1042"/>
      <c r="Z442" s="1042"/>
      <c r="AP442" s="1036"/>
    </row>
    <row r="443" spans="1:42" s="807" customFormat="1" ht="24" customHeight="1">
      <c r="A443" s="2135"/>
      <c r="B443" s="2138"/>
      <c r="C443" s="2170"/>
      <c r="D443" s="1223" t="s">
        <v>1277</v>
      </c>
      <c r="E443" s="2143"/>
      <c r="F443" s="1268">
        <v>6</v>
      </c>
      <c r="G443" s="2148"/>
      <c r="H443" s="1268">
        <v>4</v>
      </c>
      <c r="I443" s="2148"/>
      <c r="J443" s="1268">
        <v>4</v>
      </c>
      <c r="K443" s="2148"/>
      <c r="L443" s="1268"/>
      <c r="M443" s="2148"/>
      <c r="N443" s="1268">
        <v>0</v>
      </c>
      <c r="O443" s="2148"/>
      <c r="P443" s="2155"/>
      <c r="R443" s="1042"/>
      <c r="S443" s="1042"/>
      <c r="T443" s="1042"/>
      <c r="U443" s="1042"/>
      <c r="V443" s="1042"/>
      <c r="W443" s="1042"/>
      <c r="X443" s="1042"/>
      <c r="Y443" s="1042"/>
      <c r="Z443" s="1042"/>
      <c r="AP443" s="1036"/>
    </row>
    <row r="444" spans="1:42" s="807" customFormat="1" ht="24" customHeight="1">
      <c r="A444" s="2135"/>
      <c r="B444" s="2138"/>
      <c r="C444" s="2171" t="s">
        <v>929</v>
      </c>
      <c r="D444" s="1225" t="s">
        <v>548</v>
      </c>
      <c r="E444" s="2151">
        <v>2000</v>
      </c>
      <c r="F444" s="1269">
        <v>2</v>
      </c>
      <c r="G444" s="2147">
        <f>F444*F445*E444</f>
        <v>180000</v>
      </c>
      <c r="H444" s="1269">
        <v>1</v>
      </c>
      <c r="I444" s="2147">
        <f>H444*H445*E444</f>
        <v>90000</v>
      </c>
      <c r="J444" s="1269">
        <v>1</v>
      </c>
      <c r="K444" s="2147">
        <f>J444*J445*E444</f>
        <v>60000</v>
      </c>
      <c r="L444" s="1269"/>
      <c r="M444" s="2147">
        <f>L444*L445*E444</f>
        <v>0</v>
      </c>
      <c r="N444" s="1269">
        <v>0</v>
      </c>
      <c r="O444" s="2147">
        <f t="shared" ref="O444" si="183">N444*N445*E444</f>
        <v>0</v>
      </c>
      <c r="P444" s="2156">
        <f>G444+I444+K444+M444+O444</f>
        <v>330000</v>
      </c>
      <c r="R444" s="1042"/>
      <c r="S444" s="1042"/>
      <c r="T444" s="1042"/>
      <c r="U444" s="1042"/>
      <c r="V444" s="1042"/>
      <c r="W444" s="1042"/>
      <c r="X444" s="1042"/>
      <c r="Y444" s="1042"/>
      <c r="Z444" s="1042"/>
      <c r="AP444" s="1036"/>
    </row>
    <row r="445" spans="1:42" s="807" customFormat="1" ht="24" customHeight="1">
      <c r="A445" s="2135"/>
      <c r="B445" s="2138"/>
      <c r="C445" s="2170"/>
      <c r="D445" s="1223" t="s">
        <v>1277</v>
      </c>
      <c r="E445" s="2143"/>
      <c r="F445" s="1268">
        <v>45</v>
      </c>
      <c r="G445" s="2148"/>
      <c r="H445" s="1268">
        <v>45</v>
      </c>
      <c r="I445" s="2148"/>
      <c r="J445" s="1268">
        <v>30</v>
      </c>
      <c r="K445" s="2148"/>
      <c r="L445" s="1268"/>
      <c r="M445" s="2148"/>
      <c r="N445" s="1268">
        <v>0</v>
      </c>
      <c r="O445" s="2148"/>
      <c r="P445" s="2155"/>
      <c r="R445" s="1042"/>
      <c r="S445" s="1042"/>
      <c r="T445" s="1042"/>
      <c r="U445" s="1042"/>
      <c r="V445" s="1042"/>
      <c r="W445" s="1042"/>
      <c r="X445" s="1042"/>
      <c r="Y445" s="1042"/>
      <c r="Z445" s="1042"/>
      <c r="AP445" s="1036"/>
    </row>
    <row r="446" spans="1:42" s="807" customFormat="1" ht="24" customHeight="1">
      <c r="A446" s="2135"/>
      <c r="B446" s="2138"/>
      <c r="C446" s="2171" t="s">
        <v>968</v>
      </c>
      <c r="D446" s="1225" t="s">
        <v>548</v>
      </c>
      <c r="E446" s="2151">
        <v>19320</v>
      </c>
      <c r="F446" s="1269">
        <v>2</v>
      </c>
      <c r="G446" s="2147">
        <f>F446*F447*E446</f>
        <v>38640</v>
      </c>
      <c r="H446" s="1269">
        <v>1</v>
      </c>
      <c r="I446" s="2147">
        <f>H446*H447*E446</f>
        <v>19320</v>
      </c>
      <c r="J446" s="1269">
        <v>0</v>
      </c>
      <c r="K446" s="2147">
        <f>J446*J447*E446</f>
        <v>0</v>
      </c>
      <c r="L446" s="1269"/>
      <c r="M446" s="2147">
        <f>L446*L447*E446</f>
        <v>0</v>
      </c>
      <c r="N446" s="1269">
        <v>0</v>
      </c>
      <c r="O446" s="2172">
        <f>N446*N447*E446</f>
        <v>0</v>
      </c>
      <c r="P446" s="2156">
        <f>G446+I446+K446+M446+O446</f>
        <v>57960</v>
      </c>
      <c r="R446" s="1042"/>
      <c r="S446" s="1042"/>
      <c r="T446" s="1042"/>
      <c r="U446" s="1042"/>
      <c r="V446" s="1042"/>
      <c r="W446" s="1042"/>
      <c r="X446" s="1042"/>
      <c r="Y446" s="1042"/>
      <c r="Z446" s="1042"/>
      <c r="AP446" s="1036"/>
    </row>
    <row r="447" spans="1:42" s="807" customFormat="1" ht="24" customHeight="1">
      <c r="A447" s="2135"/>
      <c r="B447" s="2138"/>
      <c r="C447" s="2170"/>
      <c r="D447" s="1223" t="s">
        <v>1322</v>
      </c>
      <c r="E447" s="2143"/>
      <c r="F447" s="1268">
        <v>1</v>
      </c>
      <c r="G447" s="2148"/>
      <c r="H447" s="1268">
        <v>1</v>
      </c>
      <c r="I447" s="2148"/>
      <c r="J447" s="1268">
        <v>0</v>
      </c>
      <c r="K447" s="2148"/>
      <c r="L447" s="1268"/>
      <c r="M447" s="2148"/>
      <c r="N447" s="1268">
        <v>0</v>
      </c>
      <c r="O447" s="2148"/>
      <c r="P447" s="2155"/>
      <c r="R447" s="1042"/>
      <c r="S447" s="1042"/>
      <c r="T447" s="1042"/>
      <c r="U447" s="1042"/>
      <c r="V447" s="1042"/>
      <c r="W447" s="1042"/>
      <c r="X447" s="1042"/>
      <c r="Y447" s="1042"/>
      <c r="Z447" s="1042"/>
      <c r="AP447" s="1036"/>
    </row>
    <row r="448" spans="1:42" s="807" customFormat="1" ht="24" customHeight="1">
      <c r="A448" s="2135"/>
      <c r="B448" s="2138"/>
      <c r="C448" s="1020" t="s">
        <v>930</v>
      </c>
      <c r="D448" s="1225" t="s">
        <v>1323</v>
      </c>
      <c r="E448" s="1292">
        <v>100</v>
      </c>
      <c r="F448" s="1269">
        <v>50</v>
      </c>
      <c r="G448" s="1275">
        <f>E448*F448</f>
        <v>5000</v>
      </c>
      <c r="H448" s="1269">
        <v>100</v>
      </c>
      <c r="I448" s="1275">
        <f>H448*E448</f>
        <v>10000</v>
      </c>
      <c r="J448" s="1269">
        <v>50</v>
      </c>
      <c r="K448" s="1275">
        <f>J448*E448</f>
        <v>5000</v>
      </c>
      <c r="L448" s="1269"/>
      <c r="M448" s="1275">
        <f>L448*E448</f>
        <v>0</v>
      </c>
      <c r="N448" s="1269">
        <v>0</v>
      </c>
      <c r="O448" s="1275">
        <f>N448*E448</f>
        <v>0</v>
      </c>
      <c r="P448" s="1313">
        <f>G448+I448+K448+M448+O448</f>
        <v>20000</v>
      </c>
      <c r="R448" s="1042"/>
      <c r="S448" s="1042"/>
      <c r="T448" s="1042"/>
      <c r="U448" s="1042"/>
      <c r="V448" s="1042"/>
      <c r="W448" s="1042"/>
      <c r="X448" s="1042"/>
      <c r="Y448" s="1042"/>
      <c r="Z448" s="1042"/>
      <c r="AP448" s="1036"/>
    </row>
    <row r="449" spans="1:42" s="807" customFormat="1" ht="24" customHeight="1">
      <c r="A449" s="2135"/>
      <c r="B449" s="2138"/>
      <c r="C449" s="2171" t="s">
        <v>1324</v>
      </c>
      <c r="D449" s="1225" t="s">
        <v>548</v>
      </c>
      <c r="E449" s="2151">
        <v>7000</v>
      </c>
      <c r="F449" s="1269">
        <v>1</v>
      </c>
      <c r="G449" s="2147">
        <f>F449*F450*E449</f>
        <v>28000</v>
      </c>
      <c r="H449" s="1269">
        <v>1</v>
      </c>
      <c r="I449" s="2147">
        <f>H449*H450*E449</f>
        <v>21000</v>
      </c>
      <c r="J449" s="1269">
        <v>0</v>
      </c>
      <c r="K449" s="2147">
        <f>J449*J450*E449</f>
        <v>0</v>
      </c>
      <c r="L449" s="1269"/>
      <c r="M449" s="2147">
        <f>L449*L450*E449</f>
        <v>0</v>
      </c>
      <c r="N449" s="1269">
        <v>0</v>
      </c>
      <c r="O449" s="2147">
        <f>N449*N450*E449</f>
        <v>0</v>
      </c>
      <c r="P449" s="2156">
        <f>G449+I449+K449+M449+O449</f>
        <v>49000</v>
      </c>
      <c r="R449" s="1042"/>
      <c r="S449" s="1042"/>
      <c r="T449" s="1042"/>
      <c r="U449" s="1042"/>
      <c r="V449" s="1042"/>
      <c r="W449" s="1042"/>
      <c r="X449" s="1042"/>
      <c r="Y449" s="1042"/>
      <c r="Z449" s="1042"/>
      <c r="AP449" s="1036"/>
    </row>
    <row r="450" spans="1:42" s="807" customFormat="1" ht="24" customHeight="1">
      <c r="A450" s="2135"/>
      <c r="B450" s="2138"/>
      <c r="C450" s="2170"/>
      <c r="D450" s="1223" t="s">
        <v>1277</v>
      </c>
      <c r="E450" s="2143"/>
      <c r="F450" s="1268">
        <v>4</v>
      </c>
      <c r="G450" s="2148"/>
      <c r="H450" s="1268">
        <v>3</v>
      </c>
      <c r="I450" s="2148"/>
      <c r="J450" s="1268">
        <v>0</v>
      </c>
      <c r="K450" s="2148"/>
      <c r="L450" s="1268"/>
      <c r="M450" s="2148"/>
      <c r="N450" s="1268">
        <v>0</v>
      </c>
      <c r="O450" s="2148"/>
      <c r="P450" s="2155"/>
      <c r="R450" s="1042"/>
      <c r="S450" s="1042"/>
      <c r="T450" s="1042"/>
      <c r="U450" s="1042"/>
      <c r="V450" s="1042"/>
      <c r="W450" s="1042"/>
      <c r="X450" s="1042"/>
      <c r="Y450" s="1042"/>
      <c r="Z450" s="1042"/>
      <c r="AP450" s="1036"/>
    </row>
    <row r="451" spans="1:42" s="807" customFormat="1" ht="24" customHeight="1">
      <c r="A451" s="2135"/>
      <c r="B451" s="2138"/>
      <c r="C451" s="801" t="s">
        <v>1325</v>
      </c>
      <c r="D451" s="1228" t="s">
        <v>1326</v>
      </c>
      <c r="E451" s="1229">
        <v>9000</v>
      </c>
      <c r="F451" s="1289">
        <v>0</v>
      </c>
      <c r="G451" s="1300">
        <f>F451*E451</f>
        <v>0</v>
      </c>
      <c r="H451" s="1289">
        <v>3</v>
      </c>
      <c r="I451" s="1300">
        <f>H451*E451</f>
        <v>27000</v>
      </c>
      <c r="J451" s="1289">
        <v>2</v>
      </c>
      <c r="K451" s="1300">
        <f>J451*E451</f>
        <v>18000</v>
      </c>
      <c r="L451" s="1289"/>
      <c r="M451" s="1300">
        <f>L451*E451</f>
        <v>0</v>
      </c>
      <c r="N451" s="1289">
        <v>0</v>
      </c>
      <c r="O451" s="1300">
        <f>N451*E451</f>
        <v>0</v>
      </c>
      <c r="P451" s="809">
        <f>G451+I451+K451+M451+O451</f>
        <v>45000</v>
      </c>
      <c r="R451" s="1042"/>
      <c r="S451" s="1042"/>
      <c r="T451" s="1042"/>
      <c r="U451" s="1042"/>
      <c r="V451" s="1042"/>
      <c r="W451" s="1042"/>
      <c r="X451" s="1042"/>
      <c r="Y451" s="1042"/>
      <c r="AP451" s="1036"/>
    </row>
    <row r="452" spans="1:42" s="807" customFormat="1" ht="24" customHeight="1">
      <c r="A452" s="2135"/>
      <c r="B452" s="2138"/>
      <c r="C452" s="801" t="s">
        <v>1327</v>
      </c>
      <c r="D452" s="1235" t="s">
        <v>1328</v>
      </c>
      <c r="E452" s="1229">
        <v>4000</v>
      </c>
      <c r="F452" s="1289">
        <v>0</v>
      </c>
      <c r="G452" s="1300">
        <f>F452*E452</f>
        <v>0</v>
      </c>
      <c r="H452" s="1289">
        <f>H448</f>
        <v>100</v>
      </c>
      <c r="I452" s="1300">
        <f>H452*E452</f>
        <v>400000</v>
      </c>
      <c r="J452" s="1289">
        <f>J448</f>
        <v>50</v>
      </c>
      <c r="K452" s="1300">
        <f>J452*E452</f>
        <v>200000</v>
      </c>
      <c r="L452" s="1289"/>
      <c r="M452" s="1300">
        <f>L452*E452</f>
        <v>0</v>
      </c>
      <c r="N452" s="1289">
        <v>0</v>
      </c>
      <c r="O452" s="1300">
        <f>N452*E452</f>
        <v>0</v>
      </c>
      <c r="P452" s="809">
        <f>G452+I452+K452+M452+O452</f>
        <v>600000</v>
      </c>
      <c r="R452" s="1042"/>
      <c r="S452" s="1042"/>
      <c r="T452" s="1042"/>
      <c r="U452" s="1042"/>
      <c r="V452" s="1042"/>
      <c r="W452" s="1042"/>
      <c r="X452" s="1042"/>
      <c r="Y452" s="1042"/>
      <c r="AP452" s="1036"/>
    </row>
    <row r="453" spans="1:42" s="807" customFormat="1" ht="24" customHeight="1">
      <c r="A453" s="2135"/>
      <c r="B453" s="2138"/>
      <c r="C453" s="2171" t="s">
        <v>1329</v>
      </c>
      <c r="D453" s="1233" t="s">
        <v>548</v>
      </c>
      <c r="E453" s="2147">
        <v>7000</v>
      </c>
      <c r="F453" s="1269"/>
      <c r="G453" s="2147">
        <f>E453*F453*F454</f>
        <v>0</v>
      </c>
      <c r="H453" s="1269">
        <v>1</v>
      </c>
      <c r="I453" s="2147">
        <f>H453*H454*E453</f>
        <v>35000</v>
      </c>
      <c r="J453" s="1269">
        <v>1</v>
      </c>
      <c r="K453" s="2147">
        <f>J453*J454*E453</f>
        <v>35000</v>
      </c>
      <c r="L453" s="1269"/>
      <c r="M453" s="2147">
        <f>L453*L454*E453</f>
        <v>0</v>
      </c>
      <c r="N453" s="1269">
        <v>0</v>
      </c>
      <c r="O453" s="2147">
        <f>N453*N454*E453</f>
        <v>0</v>
      </c>
      <c r="P453" s="2156">
        <f>G453+I453+K453+M453+O453</f>
        <v>70000</v>
      </c>
      <c r="R453" s="1042"/>
      <c r="S453" s="1042"/>
      <c r="T453" s="1042"/>
      <c r="U453" s="1042"/>
      <c r="V453" s="1042"/>
      <c r="W453" s="1042"/>
      <c r="X453" s="1042"/>
      <c r="Y453" s="1042"/>
      <c r="AP453" s="1036"/>
    </row>
    <row r="454" spans="1:42" s="807" customFormat="1" ht="24" customHeight="1">
      <c r="A454" s="2135"/>
      <c r="B454" s="2138"/>
      <c r="C454" s="2170"/>
      <c r="D454" s="1234" t="s">
        <v>1277</v>
      </c>
      <c r="E454" s="2148"/>
      <c r="F454" s="1268"/>
      <c r="G454" s="2148"/>
      <c r="H454" s="1268">
        <v>5</v>
      </c>
      <c r="I454" s="2148"/>
      <c r="J454" s="1268">
        <v>5</v>
      </c>
      <c r="K454" s="2148"/>
      <c r="L454" s="1268"/>
      <c r="M454" s="2148"/>
      <c r="N454" s="1268">
        <v>0</v>
      </c>
      <c r="O454" s="2148"/>
      <c r="P454" s="2155"/>
      <c r="R454" s="1042"/>
      <c r="S454" s="1042"/>
      <c r="T454" s="1042"/>
      <c r="U454" s="1042"/>
      <c r="V454" s="1042"/>
      <c r="W454" s="1042"/>
      <c r="X454" s="1042"/>
      <c r="Y454" s="1042"/>
      <c r="AP454" s="1036"/>
    </row>
    <row r="455" spans="1:42" s="807" customFormat="1" ht="24" customHeight="1">
      <c r="A455" s="2135"/>
      <c r="B455" s="2138"/>
      <c r="C455" s="801" t="s">
        <v>1330</v>
      </c>
      <c r="D455" s="1228" t="s">
        <v>1331</v>
      </c>
      <c r="E455" s="1229">
        <v>19320</v>
      </c>
      <c r="F455" s="1289">
        <v>1</v>
      </c>
      <c r="G455" s="1300">
        <f>F455*E455</f>
        <v>19320</v>
      </c>
      <c r="H455" s="1289">
        <v>1</v>
      </c>
      <c r="I455" s="1300">
        <f>H455*E455</f>
        <v>19320</v>
      </c>
      <c r="J455" s="1289">
        <v>1</v>
      </c>
      <c r="K455" s="1300">
        <f>J455*E455</f>
        <v>19320</v>
      </c>
      <c r="L455" s="1289"/>
      <c r="M455" s="1300">
        <f>L455*E455</f>
        <v>0</v>
      </c>
      <c r="N455" s="1289">
        <v>0</v>
      </c>
      <c r="O455" s="1300">
        <f>N455*E455</f>
        <v>0</v>
      </c>
      <c r="P455" s="809">
        <f>G455+I455+K455+M455+O455</f>
        <v>57960</v>
      </c>
      <c r="R455" s="1042"/>
      <c r="S455" s="1042"/>
      <c r="T455" s="1042"/>
      <c r="U455" s="1042"/>
      <c r="V455" s="1042"/>
      <c r="W455" s="1042"/>
      <c r="X455" s="1042"/>
      <c r="Y455" s="1042"/>
      <c r="AP455" s="1036"/>
    </row>
    <row r="456" spans="1:42" s="807" customFormat="1" ht="24" customHeight="1">
      <c r="A456" s="2135"/>
      <c r="B456" s="2138"/>
      <c r="C456" s="1314" t="s">
        <v>1285</v>
      </c>
      <c r="D456" s="1314"/>
      <c r="E456" s="1315">
        <v>7.0000000000000007E-2</v>
      </c>
      <c r="F456" s="1316"/>
      <c r="G456" s="1317">
        <f>(SUM(G442:G455))*E456</f>
        <v>24847.200000000001</v>
      </c>
      <c r="H456" s="1318"/>
      <c r="I456" s="1317">
        <f>(SUM(I442:I455))*E456</f>
        <v>45474.8</v>
      </c>
      <c r="J456" s="1316"/>
      <c r="K456" s="1317">
        <f>(SUM(K442:K455))*E456</f>
        <v>25572.400000000001</v>
      </c>
      <c r="L456" s="1316"/>
      <c r="M456" s="1317">
        <f>(SUM(M442:M455))*E456</f>
        <v>0</v>
      </c>
      <c r="N456" s="1316"/>
      <c r="O456" s="1317">
        <f>(SUM(O442:O455))*E456</f>
        <v>0</v>
      </c>
      <c r="P456" s="1319">
        <f>G456+I456+K456+M456+O456</f>
        <v>95894.399999999994</v>
      </c>
      <c r="R456" s="1042"/>
      <c r="S456" s="1042"/>
      <c r="T456" s="1042"/>
      <c r="U456" s="1042"/>
      <c r="V456" s="1042"/>
      <c r="W456" s="1042"/>
      <c r="X456" s="1042"/>
      <c r="Y456" s="1042"/>
      <c r="AP456" s="1036"/>
    </row>
    <row r="457" spans="1:42" s="807" customFormat="1" ht="24" customHeight="1">
      <c r="A457" s="2135"/>
      <c r="B457" s="2138"/>
      <c r="C457" s="1320" t="s">
        <v>550</v>
      </c>
      <c r="D457" s="1320"/>
      <c r="E457" s="1321"/>
      <c r="F457" s="1322"/>
      <c r="G457" s="1323">
        <f>SUM(G442:G456)</f>
        <v>379807.2</v>
      </c>
      <c r="H457" s="1324"/>
      <c r="I457" s="1323">
        <f>SUM(I442:I456)</f>
        <v>695114.8</v>
      </c>
      <c r="J457" s="1324"/>
      <c r="K457" s="1323">
        <f>SUM(K442:K456)</f>
        <v>390892.4</v>
      </c>
      <c r="L457" s="1324"/>
      <c r="M457" s="1323">
        <f>SUM(M442:M456)</f>
        <v>0</v>
      </c>
      <c r="N457" s="1324"/>
      <c r="O457" s="1323">
        <f>SUM(O442:O456)</f>
        <v>0</v>
      </c>
      <c r="P457" s="1325">
        <f>SUM(P442:P456)</f>
        <v>1465814.4</v>
      </c>
      <c r="R457" s="1042"/>
      <c r="S457" s="1042"/>
      <c r="T457" s="1042"/>
      <c r="U457" s="1042"/>
      <c r="V457" s="1042"/>
      <c r="W457" s="1042"/>
      <c r="X457" s="1042"/>
      <c r="Y457" s="1042"/>
      <c r="AP457" s="1036"/>
    </row>
    <row r="458" spans="1:42" s="807" customFormat="1" ht="24" customHeight="1" thickBot="1">
      <c r="A458" s="2136"/>
      <c r="B458" s="2139"/>
      <c r="C458" s="1249" t="s">
        <v>932</v>
      </c>
      <c r="D458" s="1249"/>
      <c r="E458" s="1250"/>
      <c r="F458" s="1309"/>
      <c r="G458" s="1310">
        <f>G457/P457</f>
        <v>0.25911002102312547</v>
      </c>
      <c r="H458" s="1309"/>
      <c r="I458" s="1310">
        <f>I457/P457</f>
        <v>0.47421747255314184</v>
      </c>
      <c r="J458" s="1309"/>
      <c r="K458" s="1310">
        <f>K457/P457</f>
        <v>0.2666725064237328</v>
      </c>
      <c r="L458" s="1309"/>
      <c r="M458" s="1310">
        <f>M457/P457</f>
        <v>0</v>
      </c>
      <c r="N458" s="1309"/>
      <c r="O458" s="1310">
        <f>O457/P457</f>
        <v>0</v>
      </c>
      <c r="P458" s="1311"/>
      <c r="R458" s="1042"/>
      <c r="S458" s="1042"/>
      <c r="T458" s="1042"/>
      <c r="U458" s="1042"/>
      <c r="V458" s="1042"/>
      <c r="W458" s="1042"/>
      <c r="X458" s="1042"/>
      <c r="Y458" s="1042"/>
      <c r="AP458" s="1036"/>
    </row>
    <row r="459" spans="1:42" ht="18.75">
      <c r="A459" s="633"/>
      <c r="B459" s="388"/>
      <c r="C459" s="635"/>
      <c r="D459" s="635"/>
      <c r="E459" s="643"/>
    </row>
    <row r="460" spans="1:42" ht="19.5" thickBot="1">
      <c r="A460" s="633"/>
      <c r="B460" s="388" t="s">
        <v>1332</v>
      </c>
      <c r="C460" s="635"/>
      <c r="D460" s="635"/>
      <c r="E460" s="643"/>
    </row>
    <row r="461" spans="1:42" ht="24" customHeight="1" thickBot="1">
      <c r="A461" s="2128" t="s">
        <v>1272</v>
      </c>
      <c r="B461" s="2132"/>
      <c r="C461" s="2128" t="s">
        <v>545</v>
      </c>
      <c r="D461" s="2129" t="s">
        <v>1273</v>
      </c>
      <c r="E461" s="2180" t="s">
        <v>1274</v>
      </c>
      <c r="F461" s="2121">
        <v>2021</v>
      </c>
      <c r="G461" s="2122"/>
      <c r="H461" s="2121">
        <v>2022</v>
      </c>
      <c r="I461" s="2122"/>
      <c r="J461" s="2121">
        <v>2023</v>
      </c>
      <c r="K461" s="2122"/>
      <c r="L461" s="2121">
        <v>2024</v>
      </c>
      <c r="M461" s="2122"/>
      <c r="N461" s="2121">
        <v>2025</v>
      </c>
      <c r="O461" s="2122"/>
      <c r="P461" s="2123" t="s">
        <v>546</v>
      </c>
      <c r="R461" s="388" t="s">
        <v>1333</v>
      </c>
      <c r="AA461" s="388" t="s">
        <v>1334</v>
      </c>
    </row>
    <row r="462" spans="1:42" ht="24" customHeight="1" thickBot="1">
      <c r="A462" s="2130"/>
      <c r="B462" s="2133"/>
      <c r="C462" s="2130"/>
      <c r="D462" s="2131"/>
      <c r="E462" s="2181"/>
      <c r="F462" s="1219" t="s">
        <v>1275</v>
      </c>
      <c r="G462" s="1220" t="s">
        <v>1276</v>
      </c>
      <c r="H462" s="1219" t="s">
        <v>1275</v>
      </c>
      <c r="I462" s="1220" t="s">
        <v>1276</v>
      </c>
      <c r="J462" s="1219" t="s">
        <v>1275</v>
      </c>
      <c r="K462" s="1220" t="s">
        <v>1276</v>
      </c>
      <c r="L462" s="1219" t="s">
        <v>1275</v>
      </c>
      <c r="M462" s="1220" t="s">
        <v>1276</v>
      </c>
      <c r="N462" s="1219" t="s">
        <v>1275</v>
      </c>
      <c r="O462" s="1220" t="s">
        <v>1276</v>
      </c>
      <c r="P462" s="2124"/>
      <c r="R462" s="1254" t="s">
        <v>1286</v>
      </c>
      <c r="S462" s="1255"/>
      <c r="T462" s="1256"/>
      <c r="U462" s="1257">
        <v>0</v>
      </c>
      <c r="V462" s="1258"/>
      <c r="W462" s="1259"/>
      <c r="X462" s="1258"/>
      <c r="Y462" s="1260"/>
      <c r="AA462" s="1254" t="s">
        <v>1286</v>
      </c>
      <c r="AB462" s="1255"/>
      <c r="AC462" s="1256"/>
      <c r="AD462" s="1257">
        <v>0</v>
      </c>
      <c r="AE462" s="1258"/>
      <c r="AF462" s="1259"/>
      <c r="AG462" s="1258"/>
      <c r="AH462" s="1260"/>
    </row>
    <row r="463" spans="1:42" s="807" customFormat="1" ht="24" customHeight="1">
      <c r="A463" s="2134" t="s">
        <v>1153</v>
      </c>
      <c r="B463" s="2173" t="s">
        <v>1154</v>
      </c>
      <c r="C463" s="2176" t="s">
        <v>1335</v>
      </c>
      <c r="D463" s="1221" t="s">
        <v>548</v>
      </c>
      <c r="E463" s="2178">
        <v>7000</v>
      </c>
      <c r="F463" s="1267">
        <v>0</v>
      </c>
      <c r="G463" s="2153">
        <f>F463*F464*E463</f>
        <v>0</v>
      </c>
      <c r="H463" s="1267">
        <v>0</v>
      </c>
      <c r="I463" s="2153">
        <f>H463*H464*E463</f>
        <v>0</v>
      </c>
      <c r="J463" s="1267">
        <v>0</v>
      </c>
      <c r="K463" s="2153">
        <f>J463*J464*E463</f>
        <v>0</v>
      </c>
      <c r="L463" s="1267"/>
      <c r="M463" s="2153">
        <f>L463*L464*E463</f>
        <v>0</v>
      </c>
      <c r="N463" s="1267">
        <v>0</v>
      </c>
      <c r="O463" s="2153"/>
      <c r="P463" s="2154">
        <f>G463+I463+K463+M463+O463</f>
        <v>0</v>
      </c>
      <c r="R463" s="1261" t="s">
        <v>1287</v>
      </c>
      <c r="S463" s="1262"/>
      <c r="T463" s="1263"/>
      <c r="U463" s="1264">
        <v>2</v>
      </c>
      <c r="V463" s="1265"/>
      <c r="W463" s="1265"/>
      <c r="X463" s="1265"/>
      <c r="Y463" s="1266"/>
      <c r="AA463" s="1261" t="s">
        <v>1287</v>
      </c>
      <c r="AB463" s="1262"/>
      <c r="AC463" s="1263"/>
      <c r="AD463" s="1264">
        <v>2</v>
      </c>
      <c r="AE463" s="1265"/>
      <c r="AF463" s="1265"/>
      <c r="AG463" s="1265"/>
      <c r="AH463" s="1266"/>
      <c r="AP463" s="1036"/>
    </row>
    <row r="464" spans="1:42" s="807" customFormat="1" ht="24" customHeight="1">
      <c r="A464" s="2135"/>
      <c r="B464" s="2174"/>
      <c r="C464" s="2177"/>
      <c r="D464" s="1223" t="s">
        <v>1277</v>
      </c>
      <c r="E464" s="2179"/>
      <c r="F464" s="1268">
        <v>0</v>
      </c>
      <c r="G464" s="2148"/>
      <c r="H464" s="1268">
        <v>0</v>
      </c>
      <c r="I464" s="2148"/>
      <c r="J464" s="1268">
        <v>0</v>
      </c>
      <c r="K464" s="2148"/>
      <c r="L464" s="1268"/>
      <c r="M464" s="2148"/>
      <c r="N464" s="1268">
        <v>0</v>
      </c>
      <c r="O464" s="2148"/>
      <c r="P464" s="2155"/>
      <c r="R464" s="1261" t="s">
        <v>1289</v>
      </c>
      <c r="S464" s="1262"/>
      <c r="T464" s="1263"/>
      <c r="U464" s="1264">
        <v>50</v>
      </c>
      <c r="V464" s="1265"/>
      <c r="W464" s="1265"/>
      <c r="X464" s="1265"/>
      <c r="Y464" s="1266"/>
      <c r="AA464" s="1261" t="s">
        <v>1289</v>
      </c>
      <c r="AB464" s="1262"/>
      <c r="AC464" s="1263"/>
      <c r="AD464" s="1264">
        <v>50</v>
      </c>
      <c r="AE464" s="1265"/>
      <c r="AF464" s="1265"/>
      <c r="AG464" s="1265"/>
      <c r="AH464" s="1266"/>
      <c r="AP464" s="1036"/>
    </row>
    <row r="465" spans="1:42" s="807" customFormat="1" ht="24" customHeight="1">
      <c r="A465" s="2135"/>
      <c r="B465" s="2174"/>
      <c r="C465" s="2182" t="s">
        <v>1336</v>
      </c>
      <c r="D465" s="1225" t="s">
        <v>548</v>
      </c>
      <c r="E465" s="2183">
        <v>2000</v>
      </c>
      <c r="F465" s="1269">
        <v>3</v>
      </c>
      <c r="G465" s="2147">
        <f>F465*F466*E465</f>
        <v>60000</v>
      </c>
      <c r="H465" s="1269">
        <v>1</v>
      </c>
      <c r="I465" s="2147">
        <f>H465*H466*E465</f>
        <v>10000</v>
      </c>
      <c r="J465" s="1269">
        <v>1</v>
      </c>
      <c r="K465" s="2147">
        <f>J465*J466*E465</f>
        <v>10000</v>
      </c>
      <c r="L465" s="1269">
        <v>1</v>
      </c>
      <c r="M465" s="2147">
        <f>L465*L466*E465</f>
        <v>10000</v>
      </c>
      <c r="N465" s="1269">
        <v>1</v>
      </c>
      <c r="O465" s="2147"/>
      <c r="P465" s="2156">
        <f>G465+I465+K465+M465+O465</f>
        <v>90000</v>
      </c>
      <c r="R465" s="1261" t="s">
        <v>1290</v>
      </c>
      <c r="S465" s="1262"/>
      <c r="T465" s="1263"/>
      <c r="U465" s="1264">
        <v>1</v>
      </c>
      <c r="V465" s="1265"/>
      <c r="W465" s="1265"/>
      <c r="X465" s="1265"/>
      <c r="Y465" s="1266"/>
      <c r="AA465" s="1261" t="s">
        <v>1290</v>
      </c>
      <c r="AB465" s="1262"/>
      <c r="AC465" s="1263"/>
      <c r="AD465" s="1264">
        <v>1</v>
      </c>
      <c r="AE465" s="1265"/>
      <c r="AF465" s="1265"/>
      <c r="AG465" s="1265"/>
      <c r="AH465" s="1266"/>
      <c r="AP465" s="1036"/>
    </row>
    <row r="466" spans="1:42" s="807" customFormat="1" ht="24" customHeight="1">
      <c r="A466" s="2135"/>
      <c r="B466" s="2174"/>
      <c r="C466" s="2177"/>
      <c r="D466" s="1223" t="s">
        <v>1277</v>
      </c>
      <c r="E466" s="2179"/>
      <c r="F466" s="1268">
        <v>10</v>
      </c>
      <c r="G466" s="2148"/>
      <c r="H466" s="1268">
        <v>5</v>
      </c>
      <c r="I466" s="2148"/>
      <c r="J466" s="1268">
        <v>5</v>
      </c>
      <c r="K466" s="2148"/>
      <c r="L466" s="1268">
        <v>5</v>
      </c>
      <c r="M466" s="2148"/>
      <c r="N466" s="1268">
        <v>5</v>
      </c>
      <c r="O466" s="2148"/>
      <c r="P466" s="2155"/>
      <c r="R466" s="1261" t="s">
        <v>1291</v>
      </c>
      <c r="S466" s="1262"/>
      <c r="T466" s="1270">
        <v>0</v>
      </c>
      <c r="U466" s="1271">
        <f>ROUND(U464*T466,0)</f>
        <v>0</v>
      </c>
      <c r="V466" s="1265"/>
      <c r="W466" s="1265"/>
      <c r="X466" s="1265"/>
      <c r="Y466" s="1266"/>
      <c r="AA466" s="1261" t="s">
        <v>1291</v>
      </c>
      <c r="AB466" s="1262"/>
      <c r="AC466" s="1270">
        <v>0</v>
      </c>
      <c r="AD466" s="1271">
        <f>ROUND(AD464*AC466,0)</f>
        <v>0</v>
      </c>
      <c r="AE466" s="1265"/>
      <c r="AF466" s="1265"/>
      <c r="AG466" s="1265"/>
      <c r="AH466" s="1266"/>
      <c r="AP466" s="1036"/>
    </row>
    <row r="467" spans="1:42" s="807" customFormat="1" ht="24" customHeight="1">
      <c r="A467" s="2135"/>
      <c r="B467" s="2174"/>
      <c r="C467" s="1326" t="s">
        <v>1155</v>
      </c>
      <c r="D467" s="1225" t="s">
        <v>1337</v>
      </c>
      <c r="E467" s="1327">
        <f ca="1">Y479</f>
        <v>32998.800000000003</v>
      </c>
      <c r="F467" s="1269">
        <v>1</v>
      </c>
      <c r="G467" s="1275">
        <f ca="1">F467*E467</f>
        <v>32998.800000000003</v>
      </c>
      <c r="H467" s="1269">
        <v>0</v>
      </c>
      <c r="I467" s="1275">
        <f ca="1">H467*E467</f>
        <v>0</v>
      </c>
      <c r="J467" s="1269">
        <v>0</v>
      </c>
      <c r="K467" s="1275">
        <f ca="1">J467*E467</f>
        <v>0</v>
      </c>
      <c r="L467" s="1269"/>
      <c r="M467" s="1275">
        <f ca="1">L467*E467</f>
        <v>0</v>
      </c>
      <c r="N467" s="1269">
        <v>0</v>
      </c>
      <c r="O467" s="1275">
        <f ca="1">N467*E467</f>
        <v>0</v>
      </c>
      <c r="P467" s="1313">
        <f ca="1">G467+I467+K467+M467+O467</f>
        <v>32998.800000000003</v>
      </c>
      <c r="R467" s="1261" t="s">
        <v>1292</v>
      </c>
      <c r="S467" s="1262"/>
      <c r="T467" s="1270">
        <v>0</v>
      </c>
      <c r="U467" s="1271">
        <v>15</v>
      </c>
      <c r="V467" s="1265"/>
      <c r="W467" s="1265"/>
      <c r="X467" s="1265"/>
      <c r="Y467" s="1266"/>
      <c r="AA467" s="1261" t="s">
        <v>1292</v>
      </c>
      <c r="AB467" s="1262"/>
      <c r="AC467" s="1270">
        <v>0</v>
      </c>
      <c r="AD467" s="1271">
        <v>25</v>
      </c>
      <c r="AE467" s="1265"/>
      <c r="AF467" s="1265"/>
      <c r="AG467" s="1265"/>
      <c r="AH467" s="1266"/>
      <c r="AP467" s="1036"/>
    </row>
    <row r="468" spans="1:42" s="807" customFormat="1" ht="30.75" customHeight="1" thickBot="1">
      <c r="A468" s="2135"/>
      <c r="B468" s="2174"/>
      <c r="C468" s="1328" t="s">
        <v>1156</v>
      </c>
      <c r="D468" s="1228" t="s">
        <v>1338</v>
      </c>
      <c r="E468" s="1300">
        <v>4500</v>
      </c>
      <c r="F468" s="1289">
        <v>6</v>
      </c>
      <c r="G468" s="1300">
        <f>E468*F468</f>
        <v>27000</v>
      </c>
      <c r="H468" s="1289">
        <v>6</v>
      </c>
      <c r="I468" s="1300">
        <f>H468*E468</f>
        <v>27000</v>
      </c>
      <c r="J468" s="1289">
        <v>6</v>
      </c>
      <c r="K468" s="1300">
        <f>J468*E468</f>
        <v>27000</v>
      </c>
      <c r="L468" s="1289">
        <v>6</v>
      </c>
      <c r="M468" s="1300">
        <f>L468*E468</f>
        <v>27000</v>
      </c>
      <c r="N468" s="1289">
        <v>6</v>
      </c>
      <c r="O468" s="1300">
        <f>N468*E468</f>
        <v>27000</v>
      </c>
      <c r="P468" s="809">
        <f>G468+I468+K468+M468+O468</f>
        <v>135000</v>
      </c>
      <c r="R468" s="1276" t="s">
        <v>1294</v>
      </c>
      <c r="S468" s="1277"/>
      <c r="T468" s="1278"/>
      <c r="U468" s="1271">
        <f>U465-1</f>
        <v>0</v>
      </c>
      <c r="V468" s="1265"/>
      <c r="W468" s="1265"/>
      <c r="X468" s="1265"/>
      <c r="Y468" s="1266"/>
      <c r="AA468" s="1276" t="s">
        <v>1294</v>
      </c>
      <c r="AB468" s="1277"/>
      <c r="AC468" s="1278"/>
      <c r="AD468" s="1271">
        <f>AD465-1</f>
        <v>0</v>
      </c>
      <c r="AE468" s="1265"/>
      <c r="AF468" s="1265"/>
      <c r="AG468" s="1265"/>
      <c r="AH468" s="1266"/>
      <c r="AP468" s="1036"/>
    </row>
    <row r="469" spans="1:42" s="807" customFormat="1" ht="24" customHeight="1">
      <c r="A469" s="2135"/>
      <c r="B469" s="2174"/>
      <c r="C469" s="2184" t="s">
        <v>1157</v>
      </c>
      <c r="D469" s="1329" t="s">
        <v>548</v>
      </c>
      <c r="E469" s="2185">
        <v>2000</v>
      </c>
      <c r="F469" s="1330">
        <v>1</v>
      </c>
      <c r="G469" s="2172">
        <f>F469*F470*E469</f>
        <v>20000</v>
      </c>
      <c r="H469" s="1330">
        <v>1</v>
      </c>
      <c r="I469" s="2172">
        <f>H469*H470*E469</f>
        <v>6000</v>
      </c>
      <c r="J469" s="1330">
        <v>1</v>
      </c>
      <c r="K469" s="2172">
        <f>J469*J470*E469</f>
        <v>6000</v>
      </c>
      <c r="L469" s="1330">
        <v>0</v>
      </c>
      <c r="M469" s="2172">
        <f>L469*L470*E469</f>
        <v>0</v>
      </c>
      <c r="N469" s="1330">
        <v>0</v>
      </c>
      <c r="O469" s="2172"/>
      <c r="P469" s="2186">
        <f>G469+I469+K469+M469+O469</f>
        <v>32000</v>
      </c>
      <c r="R469" s="2163" t="s">
        <v>1295</v>
      </c>
      <c r="S469" s="2165" t="s">
        <v>1296</v>
      </c>
      <c r="T469" s="2159" t="s">
        <v>1297</v>
      </c>
      <c r="U469" s="2159" t="s">
        <v>1298</v>
      </c>
      <c r="V469" s="2159" t="s">
        <v>1299</v>
      </c>
      <c r="W469" s="2165" t="s">
        <v>1300</v>
      </c>
      <c r="X469" s="2159" t="s">
        <v>1301</v>
      </c>
      <c r="Y469" s="2161" t="s">
        <v>939</v>
      </c>
      <c r="AA469" s="2163" t="s">
        <v>1295</v>
      </c>
      <c r="AB469" s="2165" t="s">
        <v>1296</v>
      </c>
      <c r="AC469" s="2159" t="s">
        <v>1297</v>
      </c>
      <c r="AD469" s="2159" t="s">
        <v>1298</v>
      </c>
      <c r="AE469" s="2159" t="s">
        <v>1299</v>
      </c>
      <c r="AF469" s="2165" t="s">
        <v>1300</v>
      </c>
      <c r="AG469" s="2159" t="s">
        <v>1301</v>
      </c>
      <c r="AH469" s="2161" t="s">
        <v>939</v>
      </c>
      <c r="AP469" s="1036"/>
    </row>
    <row r="470" spans="1:42" s="807" customFormat="1" ht="24" customHeight="1" thickBot="1">
      <c r="A470" s="2135"/>
      <c r="B470" s="2174"/>
      <c r="C470" s="2177"/>
      <c r="D470" s="1223" t="s">
        <v>1277</v>
      </c>
      <c r="E470" s="2179"/>
      <c r="F470" s="1268">
        <v>10</v>
      </c>
      <c r="G470" s="2148"/>
      <c r="H470" s="1268">
        <v>3</v>
      </c>
      <c r="I470" s="2148"/>
      <c r="J470" s="1268">
        <v>3</v>
      </c>
      <c r="K470" s="2148"/>
      <c r="L470" s="1268">
        <v>0</v>
      </c>
      <c r="M470" s="2148"/>
      <c r="N470" s="1268">
        <v>0</v>
      </c>
      <c r="O470" s="2148"/>
      <c r="P470" s="2155"/>
      <c r="R470" s="2164"/>
      <c r="S470" s="2166"/>
      <c r="T470" s="2160"/>
      <c r="U470" s="2160"/>
      <c r="V470" s="2160"/>
      <c r="W470" s="2166"/>
      <c r="X470" s="2160"/>
      <c r="Y470" s="2162"/>
      <c r="AA470" s="2164"/>
      <c r="AB470" s="2166"/>
      <c r="AC470" s="2160"/>
      <c r="AD470" s="2160"/>
      <c r="AE470" s="2160"/>
      <c r="AF470" s="2166"/>
      <c r="AG470" s="2160"/>
      <c r="AH470" s="2162"/>
      <c r="AP470" s="1036"/>
    </row>
    <row r="471" spans="1:42" s="807" customFormat="1" ht="24" customHeight="1">
      <c r="A471" s="2135"/>
      <c r="B471" s="2174"/>
      <c r="C471" s="1328" t="s">
        <v>1339</v>
      </c>
      <c r="D471" s="1228" t="s">
        <v>1340</v>
      </c>
      <c r="E471" s="1300">
        <v>40</v>
      </c>
      <c r="F471" s="1331">
        <f>E272</f>
        <v>1014.2</v>
      </c>
      <c r="G471" s="1332">
        <f>F471*E471</f>
        <v>40568</v>
      </c>
      <c r="H471" s="1331">
        <f>F272</f>
        <v>1115.6200000000001</v>
      </c>
      <c r="I471" s="1332">
        <f>H471*E471</f>
        <v>44624.800000000003</v>
      </c>
      <c r="J471" s="1331">
        <f>G272</f>
        <v>1227.1820000000002</v>
      </c>
      <c r="K471" s="1332">
        <f>J471*E471</f>
        <v>49087.280000000013</v>
      </c>
      <c r="L471" s="1331">
        <f>H272</f>
        <v>1349.9002000000003</v>
      </c>
      <c r="M471" s="1332">
        <f>L471*E471</f>
        <v>53996.008000000009</v>
      </c>
      <c r="N471" s="1331">
        <f>I272</f>
        <v>1484.8902200000005</v>
      </c>
      <c r="O471" s="1332">
        <f>N471*E471</f>
        <v>59395.608800000016</v>
      </c>
      <c r="P471" s="810">
        <f>G471+I471+K471+M471+O471</f>
        <v>247671.69680000003</v>
      </c>
      <c r="R471" s="1279" t="s">
        <v>1302</v>
      </c>
      <c r="S471" s="1280" t="s">
        <v>1427</v>
      </c>
      <c r="T471" s="1281" t="s">
        <v>1428</v>
      </c>
      <c r="U471" s="1282">
        <v>2000</v>
      </c>
      <c r="V471" s="1282" t="s">
        <v>1315</v>
      </c>
      <c r="W471" s="1283">
        <f ca="1">ROUND(IFERROR(IF(V471="MDL",U471,U471*INDIRECT(V471)),0),2)</f>
        <v>2000</v>
      </c>
      <c r="X471" s="1282">
        <f>U463</f>
        <v>2</v>
      </c>
      <c r="Y471" s="1284">
        <f ca="1">U463*W471*X471</f>
        <v>8000</v>
      </c>
      <c r="AA471" s="1279" t="s">
        <v>1302</v>
      </c>
      <c r="AB471" s="1280" t="s">
        <v>1427</v>
      </c>
      <c r="AC471" s="1281" t="s">
        <v>1428</v>
      </c>
      <c r="AD471" s="1282">
        <v>2000</v>
      </c>
      <c r="AE471" s="1282" t="s">
        <v>1315</v>
      </c>
      <c r="AF471" s="1283">
        <f ca="1">ROUND(IFERROR(IF(AE471="MDL",AD471,AD471*INDIRECT(AE471)),0),2)</f>
        <v>2000</v>
      </c>
      <c r="AG471" s="1282">
        <f>AD463</f>
        <v>2</v>
      </c>
      <c r="AH471" s="1284">
        <f ca="1">AD463*AF471*AG471</f>
        <v>8000</v>
      </c>
      <c r="AP471" s="1036"/>
    </row>
    <row r="472" spans="1:42" s="807" customFormat="1" ht="24" customHeight="1">
      <c r="A472" s="2135"/>
      <c r="B472" s="2174"/>
      <c r="C472" s="2182" t="s">
        <v>1341</v>
      </c>
      <c r="D472" s="1225" t="s">
        <v>548</v>
      </c>
      <c r="E472" s="2183">
        <f>'Budget assumption'!C4</f>
        <v>2000</v>
      </c>
      <c r="F472" s="1269">
        <v>2</v>
      </c>
      <c r="G472" s="2147">
        <f>F472*F473*E472</f>
        <v>20000</v>
      </c>
      <c r="H472" s="1269">
        <v>2</v>
      </c>
      <c r="I472" s="2147">
        <f>H472*H473*E472</f>
        <v>20000</v>
      </c>
      <c r="J472" s="1269">
        <v>2</v>
      </c>
      <c r="K472" s="2147">
        <f>J472*J473*E472</f>
        <v>20000</v>
      </c>
      <c r="L472" s="1269">
        <v>2</v>
      </c>
      <c r="M472" s="2147">
        <f>L472*L473*E472</f>
        <v>20000</v>
      </c>
      <c r="N472" s="1269">
        <v>2</v>
      </c>
      <c r="O472" s="2147">
        <f>N472*N473*E472</f>
        <v>20000</v>
      </c>
      <c r="P472" s="2156">
        <f>G472+I472+K472+M472+O472</f>
        <v>100000</v>
      </c>
      <c r="R472" s="1285" t="s">
        <v>1304</v>
      </c>
      <c r="S472" s="1286" t="s">
        <v>1429</v>
      </c>
      <c r="T472" s="236" t="s">
        <v>1430</v>
      </c>
      <c r="U472" s="1287">
        <v>75</v>
      </c>
      <c r="V472" s="1287" t="s">
        <v>1315</v>
      </c>
      <c r="W472" s="185">
        <f t="shared" ref="W472:W473" ca="1" si="184">ROUND(IFERROR(IF(V472="MDL",U472,U472*INDIRECT(V472)),0),2)</f>
        <v>75</v>
      </c>
      <c r="X472" s="1287">
        <v>2</v>
      </c>
      <c r="Y472" s="1288">
        <f ca="1">X472*W472*U464*U465</f>
        <v>7500</v>
      </c>
      <c r="AA472" s="1285" t="s">
        <v>1304</v>
      </c>
      <c r="AB472" s="1286" t="s">
        <v>1429</v>
      </c>
      <c r="AC472" s="236" t="s">
        <v>1430</v>
      </c>
      <c r="AD472" s="1287">
        <v>75</v>
      </c>
      <c r="AE472" s="1287" t="s">
        <v>1315</v>
      </c>
      <c r="AF472" s="185">
        <f t="shared" ref="AF472:AF473" ca="1" si="185">ROUND(IFERROR(IF(AE472="MDL",AD472,AD472*INDIRECT(AE472)),0),2)</f>
        <v>75</v>
      </c>
      <c r="AG472" s="1287">
        <v>2</v>
      </c>
      <c r="AH472" s="1288">
        <f ca="1">AG472*AF472*AD464*AD465</f>
        <v>7500</v>
      </c>
      <c r="AP472" s="1036"/>
    </row>
    <row r="473" spans="1:42" s="807" customFormat="1" ht="24" customHeight="1">
      <c r="A473" s="2135"/>
      <c r="B473" s="2174"/>
      <c r="C473" s="2177"/>
      <c r="D473" s="1223" t="s">
        <v>1277</v>
      </c>
      <c r="E473" s="2179"/>
      <c r="F473" s="1268">
        <v>5</v>
      </c>
      <c r="G473" s="2148"/>
      <c r="H473" s="1268">
        <v>5</v>
      </c>
      <c r="I473" s="2148"/>
      <c r="J473" s="1268">
        <v>5</v>
      </c>
      <c r="K473" s="2148"/>
      <c r="L473" s="1268">
        <v>5</v>
      </c>
      <c r="M473" s="2148"/>
      <c r="N473" s="1268">
        <v>5</v>
      </c>
      <c r="O473" s="2148"/>
      <c r="P473" s="2155"/>
      <c r="R473" s="1285" t="s">
        <v>1307</v>
      </c>
      <c r="S473" s="1286" t="s">
        <v>1431</v>
      </c>
      <c r="T473" s="236" t="s">
        <v>1430</v>
      </c>
      <c r="U473" s="1287">
        <v>220</v>
      </c>
      <c r="V473" s="1287" t="s">
        <v>1315</v>
      </c>
      <c r="W473" s="185">
        <f t="shared" ca="1" si="184"/>
        <v>220</v>
      </c>
      <c r="X473" s="1287">
        <f>U465</f>
        <v>1</v>
      </c>
      <c r="Y473" s="1288">
        <f ca="1">U464*X473*W473</f>
        <v>11000</v>
      </c>
      <c r="AA473" s="1285" t="s">
        <v>1307</v>
      </c>
      <c r="AB473" s="1286" t="s">
        <v>1431</v>
      </c>
      <c r="AC473" s="236" t="s">
        <v>1430</v>
      </c>
      <c r="AD473" s="1287">
        <v>220</v>
      </c>
      <c r="AE473" s="1287" t="s">
        <v>1315</v>
      </c>
      <c r="AF473" s="185">
        <f t="shared" ca="1" si="185"/>
        <v>220</v>
      </c>
      <c r="AG473" s="1287">
        <f>AD465</f>
        <v>1</v>
      </c>
      <c r="AH473" s="1288">
        <f ca="1">AD464*AG473*AF473</f>
        <v>11000</v>
      </c>
      <c r="AP473" s="1036"/>
    </row>
    <row r="474" spans="1:42" s="807" customFormat="1" ht="24" customHeight="1">
      <c r="A474" s="2135"/>
      <c r="B474" s="2174"/>
      <c r="C474" s="1333" t="s">
        <v>1342</v>
      </c>
      <c r="D474" s="1228" t="s">
        <v>1313</v>
      </c>
      <c r="E474" s="1334">
        <f ca="1">AH479</f>
        <v>34710.800000000003</v>
      </c>
      <c r="F474" s="1289">
        <v>1</v>
      </c>
      <c r="G474" s="1300">
        <f ca="1">F474*E474</f>
        <v>34710.800000000003</v>
      </c>
      <c r="H474" s="1289">
        <v>0</v>
      </c>
      <c r="I474" s="1300">
        <f ca="1">H474*E474</f>
        <v>0</v>
      </c>
      <c r="J474" s="1289">
        <v>1</v>
      </c>
      <c r="K474" s="1300">
        <f ca="1">J474*E474</f>
        <v>34710.800000000003</v>
      </c>
      <c r="L474" s="1289">
        <v>0</v>
      </c>
      <c r="M474" s="1300">
        <f ca="1">L474*E474</f>
        <v>0</v>
      </c>
      <c r="N474" s="1289">
        <v>1</v>
      </c>
      <c r="O474" s="1300">
        <f t="shared" ref="O474" ca="1" si="186">N474*E474</f>
        <v>34710.800000000003</v>
      </c>
      <c r="P474" s="809">
        <f ca="1">G474+I474+K474+M474+O474</f>
        <v>104132.40000000001</v>
      </c>
      <c r="R474" s="1285" t="s">
        <v>1308</v>
      </c>
      <c r="S474" s="1286" t="s">
        <v>1432</v>
      </c>
      <c r="T474" s="236" t="s">
        <v>1433</v>
      </c>
      <c r="U474" s="1287">
        <v>80</v>
      </c>
      <c r="V474" s="1287" t="s">
        <v>1315</v>
      </c>
      <c r="W474" s="185">
        <f ca="1">ROUND(IFERROR(IF(V474="MDL",U474,U474*INDIRECT(V474)),0),2)</f>
        <v>80</v>
      </c>
      <c r="X474" s="1290">
        <v>2</v>
      </c>
      <c r="Y474" s="1288">
        <f ca="1">X474*U467*W474</f>
        <v>2400</v>
      </c>
      <c r="AA474" s="1285" t="s">
        <v>1308</v>
      </c>
      <c r="AB474" s="1286" t="s">
        <v>1432</v>
      </c>
      <c r="AC474" s="236" t="s">
        <v>1433</v>
      </c>
      <c r="AD474" s="1287">
        <v>80</v>
      </c>
      <c r="AE474" s="1287" t="s">
        <v>1315</v>
      </c>
      <c r="AF474" s="185">
        <f ca="1">ROUND(IFERROR(IF(AE474="MDL",AD474,AD474*INDIRECT(AE474)),0),2)</f>
        <v>80</v>
      </c>
      <c r="AG474" s="1290">
        <v>2</v>
      </c>
      <c r="AH474" s="1288">
        <f ca="1">AG474*AD467*AF474</f>
        <v>4000</v>
      </c>
      <c r="AP474" s="1036"/>
    </row>
    <row r="475" spans="1:42" s="807" customFormat="1" ht="24" customHeight="1">
      <c r="A475" s="2135"/>
      <c r="B475" s="2174"/>
      <c r="C475" s="1335" t="s">
        <v>1285</v>
      </c>
      <c r="D475" s="1236"/>
      <c r="E475" s="1336">
        <v>7.0000000000000007E-2</v>
      </c>
      <c r="F475" s="1337"/>
      <c r="G475" s="1338">
        <f ca="1">(SUM(G463:G474))*E475</f>
        <v>16469.432000000001</v>
      </c>
      <c r="H475" s="1339"/>
      <c r="I475" s="1338">
        <f ca="1">(SUM(I463:I474))*E475</f>
        <v>7533.7360000000008</v>
      </c>
      <c r="J475" s="1337"/>
      <c r="K475" s="1338">
        <f ca="1">(SUM(K463:K474))*E475</f>
        <v>10275.865600000003</v>
      </c>
      <c r="L475" s="1337"/>
      <c r="M475" s="1338">
        <f ca="1">(SUM(M463:M474))*E475</f>
        <v>7769.7205600000007</v>
      </c>
      <c r="N475" s="1337"/>
      <c r="O475" s="1338">
        <f ca="1">(SUM(O463:O474))*E475</f>
        <v>9877.4486160000033</v>
      </c>
      <c r="P475" s="1340">
        <f ca="1">G475+I475+K475+M475+O475</f>
        <v>51926.202776000006</v>
      </c>
      <c r="R475" s="1285" t="s">
        <v>1311</v>
      </c>
      <c r="S475" s="1286" t="s">
        <v>1436</v>
      </c>
      <c r="T475" s="236" t="s">
        <v>1428</v>
      </c>
      <c r="U475" s="1287">
        <v>1800</v>
      </c>
      <c r="V475" s="1287" t="s">
        <v>1315</v>
      </c>
      <c r="W475" s="185">
        <f ca="1">ROUND(IFERROR(IF(V475="MDL",U475,U475*INDIRECT(V475)),0),2)</f>
        <v>1800</v>
      </c>
      <c r="X475" s="1287">
        <f>U465</f>
        <v>1</v>
      </c>
      <c r="Y475" s="1288">
        <f ca="1">X475*W475</f>
        <v>1800</v>
      </c>
      <c r="AA475" s="1285" t="s">
        <v>1311</v>
      </c>
      <c r="AB475" s="1286" t="s">
        <v>1436</v>
      </c>
      <c r="AC475" s="236" t="s">
        <v>1428</v>
      </c>
      <c r="AD475" s="1287">
        <v>1800</v>
      </c>
      <c r="AE475" s="1287" t="s">
        <v>1315</v>
      </c>
      <c r="AF475" s="185">
        <f ca="1">ROUND(IFERROR(IF(AE475="MDL",AD475,AD475*INDIRECT(AE475)),0),2)</f>
        <v>1800</v>
      </c>
      <c r="AG475" s="1287">
        <f>AD465</f>
        <v>1</v>
      </c>
      <c r="AH475" s="1288">
        <f ca="1">AG475*AF475</f>
        <v>1800</v>
      </c>
      <c r="AP475" s="1036"/>
    </row>
    <row r="476" spans="1:42" s="807" customFormat="1" ht="24" customHeight="1">
      <c r="A476" s="2135"/>
      <c r="B476" s="2174"/>
      <c r="C476" s="1324" t="s">
        <v>550</v>
      </c>
      <c r="D476" s="1320"/>
      <c r="E476" s="1323"/>
      <c r="F476" s="1341"/>
      <c r="G476" s="1342">
        <f ca="1">SUM(G463:G475)</f>
        <v>251747.03199999998</v>
      </c>
      <c r="H476" s="1343"/>
      <c r="I476" s="1342">
        <f ca="1">SUM(I463:I475)</f>
        <v>115158.53600000001</v>
      </c>
      <c r="J476" s="1343"/>
      <c r="K476" s="1342">
        <f ca="1">SUM(K463:K475)</f>
        <v>157073.94560000001</v>
      </c>
      <c r="L476" s="1343"/>
      <c r="M476" s="1342">
        <f ca="1">SUM(M463:M475)</f>
        <v>118765.72856</v>
      </c>
      <c r="N476" s="1343"/>
      <c r="O476" s="1342">
        <f ca="1">SUM(O463:O475)</f>
        <v>150983.85741600004</v>
      </c>
      <c r="P476" s="1344">
        <f ca="1">SUM(P463:P475)</f>
        <v>793729.09957600012</v>
      </c>
      <c r="R476" s="1285" t="s">
        <v>1309</v>
      </c>
      <c r="S476" s="1286" t="s">
        <v>1434</v>
      </c>
      <c r="T476" s="236" t="s">
        <v>1435</v>
      </c>
      <c r="U476" s="1287">
        <v>140</v>
      </c>
      <c r="V476" s="1287" t="s">
        <v>1315</v>
      </c>
      <c r="W476" s="185">
        <f ca="1">ROUND(IFERROR(IF(V476="MDL",U476,U476*INDIRECT(V476)),0),2)</f>
        <v>140</v>
      </c>
      <c r="X476" s="1287">
        <v>1</v>
      </c>
      <c r="Y476" s="1288">
        <f ca="1">U465*X476*W476</f>
        <v>140</v>
      </c>
      <c r="AA476" s="1285" t="s">
        <v>1309</v>
      </c>
      <c r="AB476" s="1286" t="s">
        <v>1434</v>
      </c>
      <c r="AC476" s="236" t="s">
        <v>1435</v>
      </c>
      <c r="AD476" s="1287">
        <v>140</v>
      </c>
      <c r="AE476" s="1287" t="s">
        <v>1315</v>
      </c>
      <c r="AF476" s="185">
        <f ca="1">ROUND(IFERROR(IF(AE476="MDL",AD476,AD476*INDIRECT(AE476)),0),2)</f>
        <v>140</v>
      </c>
      <c r="AG476" s="1287">
        <v>1</v>
      </c>
      <c r="AH476" s="1288">
        <f ca="1">AD465*AG476*AF476</f>
        <v>140</v>
      </c>
      <c r="AP476" s="1036"/>
    </row>
    <row r="477" spans="1:42" s="807" customFormat="1" ht="24" customHeight="1" thickBot="1">
      <c r="A477" s="2136"/>
      <c r="B477" s="2175"/>
      <c r="C477" s="1345" t="s">
        <v>932</v>
      </c>
      <c r="D477" s="1249"/>
      <c r="E477" s="1346"/>
      <c r="F477" s="1347"/>
      <c r="G477" s="1310">
        <f ca="1">G476/P476</f>
        <v>0.3171699665975205</v>
      </c>
      <c r="H477" s="1309"/>
      <c r="I477" s="1310">
        <f ca="1">I476/P476</f>
        <v>0.14508544043744423</v>
      </c>
      <c r="J477" s="1347"/>
      <c r="K477" s="1310">
        <f ca="1">K476/P476</f>
        <v>0.19789364618722796</v>
      </c>
      <c r="L477" s="1347"/>
      <c r="M477" s="1310">
        <f ca="1">M476/P476</f>
        <v>0.14963005466656462</v>
      </c>
      <c r="N477" s="1347"/>
      <c r="O477" s="1310">
        <f ca="1">O476/P476</f>
        <v>0.19022089211124257</v>
      </c>
      <c r="P477" s="1311"/>
      <c r="R477" s="1285"/>
      <c r="S477" s="185">
        <v>0</v>
      </c>
      <c r="T477" s="185">
        <v>0</v>
      </c>
      <c r="U477" s="1287">
        <v>0</v>
      </c>
      <c r="V477" s="1287">
        <v>0</v>
      </c>
      <c r="W477" s="185"/>
      <c r="X477" s="1287" t="str">
        <f>IFERROR(VLOOKUP(AG489,R474:T475,3,0),"")</f>
        <v/>
      </c>
      <c r="Y477" s="1293">
        <f ca="1">SUM(Y471:Y476)</f>
        <v>30840</v>
      </c>
      <c r="AA477" s="1285"/>
      <c r="AB477" s="185">
        <v>0</v>
      </c>
      <c r="AC477" s="185">
        <v>0</v>
      </c>
      <c r="AD477" s="1287">
        <v>0</v>
      </c>
      <c r="AE477" s="1287">
        <v>0</v>
      </c>
      <c r="AF477" s="185"/>
      <c r="AG477" s="1287" t="str">
        <f>IFERROR(VLOOKUP(AP489,AA474:AC475,3,0),"")</f>
        <v/>
      </c>
      <c r="AH477" s="1293">
        <f ca="1">SUM(AH471:AH476)</f>
        <v>32440</v>
      </c>
      <c r="AP477" s="1036"/>
    </row>
    <row r="478" spans="1:42" ht="39" thickBot="1">
      <c r="A478" s="633"/>
      <c r="B478" s="388"/>
      <c r="C478" s="635"/>
      <c r="D478" s="635"/>
      <c r="E478" s="643"/>
      <c r="R478" s="1295" t="s">
        <v>1314</v>
      </c>
      <c r="S478" s="1296" t="s">
        <v>621</v>
      </c>
      <c r="T478" s="1297"/>
      <c r="U478" s="1298">
        <v>7.0000000000000007E-2</v>
      </c>
      <c r="V478" s="1297" t="s">
        <v>1315</v>
      </c>
      <c r="W478" s="1297"/>
      <c r="X478" s="1297"/>
      <c r="Y478" s="1299">
        <f ca="1">ROUND(Y477*U478,2)</f>
        <v>2158.8000000000002</v>
      </c>
      <c r="AA478" s="1295" t="s">
        <v>1314</v>
      </c>
      <c r="AB478" s="1296" t="s">
        <v>621</v>
      </c>
      <c r="AC478" s="1297"/>
      <c r="AD478" s="1298">
        <v>7.0000000000000007E-2</v>
      </c>
      <c r="AE478" s="1297" t="s">
        <v>1315</v>
      </c>
      <c r="AF478" s="1297"/>
      <c r="AG478" s="1297"/>
      <c r="AH478" s="1299">
        <f ca="1">ROUND(AH477*AD478,2)</f>
        <v>2270.8000000000002</v>
      </c>
    </row>
    <row r="479" spans="1:42" ht="19.5" thickBot="1">
      <c r="A479" s="633"/>
      <c r="B479" s="388" t="s">
        <v>1343</v>
      </c>
      <c r="C479" s="635"/>
      <c r="D479" s="635"/>
      <c r="E479" s="643"/>
      <c r="R479" s="1301" t="s">
        <v>1317</v>
      </c>
      <c r="S479" s="1302"/>
      <c r="T479" s="1302"/>
      <c r="U479" s="1302"/>
      <c r="V479" s="1302"/>
      <c r="W479" s="1302"/>
      <c r="X479" s="1302"/>
      <c r="Y479" s="1303">
        <f ca="1">Y478+Y477</f>
        <v>32998.800000000003</v>
      </c>
      <c r="AA479" s="1301" t="s">
        <v>1317</v>
      </c>
      <c r="AB479" s="1302"/>
      <c r="AC479" s="1302"/>
      <c r="AD479" s="1302"/>
      <c r="AE479" s="1302"/>
      <c r="AF479" s="1302"/>
      <c r="AG479" s="1302"/>
      <c r="AH479" s="1303">
        <f ca="1">AH478+AH477</f>
        <v>34710.800000000003</v>
      </c>
    </row>
    <row r="480" spans="1:42" ht="24" customHeight="1">
      <c r="A480" s="2128" t="s">
        <v>1272</v>
      </c>
      <c r="B480" s="2132"/>
      <c r="C480" s="2128" t="s">
        <v>545</v>
      </c>
      <c r="D480" s="2129" t="s">
        <v>1273</v>
      </c>
      <c r="E480" s="2180" t="s">
        <v>1274</v>
      </c>
      <c r="F480" s="2121">
        <v>2021</v>
      </c>
      <c r="G480" s="2122"/>
      <c r="H480" s="2121">
        <v>2022</v>
      </c>
      <c r="I480" s="2122"/>
      <c r="J480" s="2121">
        <v>2023</v>
      </c>
      <c r="K480" s="2122"/>
      <c r="L480" s="2121">
        <v>2024</v>
      </c>
      <c r="M480" s="2122"/>
      <c r="N480" s="2121">
        <v>2025</v>
      </c>
      <c r="O480" s="2122"/>
      <c r="P480" s="2123" t="s">
        <v>546</v>
      </c>
    </row>
    <row r="481" spans="1:42" ht="24" customHeight="1" thickBot="1">
      <c r="A481" s="2130"/>
      <c r="B481" s="2133"/>
      <c r="C481" s="2130"/>
      <c r="D481" s="2131"/>
      <c r="E481" s="2181"/>
      <c r="F481" s="1219" t="s">
        <v>1275</v>
      </c>
      <c r="G481" s="1220" t="s">
        <v>1276</v>
      </c>
      <c r="H481" s="1219" t="s">
        <v>1275</v>
      </c>
      <c r="I481" s="1220" t="s">
        <v>1276</v>
      </c>
      <c r="J481" s="1219" t="s">
        <v>1275</v>
      </c>
      <c r="K481" s="1220" t="s">
        <v>1276</v>
      </c>
      <c r="L481" s="1219" t="s">
        <v>1275</v>
      </c>
      <c r="M481" s="1220" t="s">
        <v>1276</v>
      </c>
      <c r="N481" s="1219" t="s">
        <v>1275</v>
      </c>
      <c r="O481" s="1220" t="s">
        <v>1276</v>
      </c>
      <c r="P481" s="2124"/>
    </row>
    <row r="482" spans="1:42" s="807" customFormat="1" ht="24" customHeight="1">
      <c r="A482" s="2187" t="s">
        <v>547</v>
      </c>
      <c r="B482" s="2174" t="s">
        <v>1344</v>
      </c>
      <c r="C482" s="2189" t="s">
        <v>1345</v>
      </c>
      <c r="D482" s="1348" t="s">
        <v>548</v>
      </c>
      <c r="E482" s="2185">
        <v>2000</v>
      </c>
      <c r="F482" s="1330">
        <v>2</v>
      </c>
      <c r="G482" s="2172">
        <f>F482*F483*E482</f>
        <v>40000</v>
      </c>
      <c r="H482" s="1330">
        <v>0</v>
      </c>
      <c r="I482" s="2172">
        <f>H482*H483*E482</f>
        <v>0</v>
      </c>
      <c r="J482" s="1330">
        <v>0</v>
      </c>
      <c r="K482" s="2172">
        <f>J482*J483*E482</f>
        <v>0</v>
      </c>
      <c r="L482" s="1330"/>
      <c r="M482" s="2172">
        <f>L482*L483*E482</f>
        <v>0</v>
      </c>
      <c r="N482" s="1330">
        <v>0</v>
      </c>
      <c r="O482" s="2172">
        <f>N482*N483*E482</f>
        <v>0</v>
      </c>
      <c r="P482" s="2186">
        <f>G482+I482+K482+M482+O482</f>
        <v>40000</v>
      </c>
      <c r="R482" s="1042"/>
      <c r="S482" s="1042"/>
      <c r="T482" s="1042"/>
      <c r="U482" s="1042"/>
      <c r="V482" s="1042"/>
      <c r="W482" s="1042"/>
      <c r="X482" s="1042"/>
      <c r="Y482" s="1042"/>
      <c r="AP482" s="1036"/>
    </row>
    <row r="483" spans="1:42" s="807" customFormat="1" ht="24" customHeight="1">
      <c r="A483" s="2187"/>
      <c r="B483" s="2174"/>
      <c r="C483" s="2190"/>
      <c r="D483" s="1349" t="s">
        <v>1277</v>
      </c>
      <c r="E483" s="2179"/>
      <c r="F483" s="1268">
        <v>10</v>
      </c>
      <c r="G483" s="2148"/>
      <c r="H483" s="1268">
        <v>0</v>
      </c>
      <c r="I483" s="2148"/>
      <c r="J483" s="1268">
        <v>0</v>
      </c>
      <c r="K483" s="2148"/>
      <c r="L483" s="1268"/>
      <c r="M483" s="2148"/>
      <c r="N483" s="1268">
        <v>0</v>
      </c>
      <c r="O483" s="2148"/>
      <c r="P483" s="2155"/>
      <c r="R483" s="1042"/>
      <c r="S483" s="1042"/>
      <c r="T483" s="1042"/>
      <c r="U483" s="1042"/>
      <c r="V483" s="1042"/>
      <c r="W483" s="1042"/>
      <c r="X483" s="1042"/>
      <c r="Y483" s="1042"/>
      <c r="AP483" s="1036"/>
    </row>
    <row r="484" spans="1:42" s="807" customFormat="1" ht="24" customHeight="1">
      <c r="A484" s="2187"/>
      <c r="B484" s="2174"/>
      <c r="C484" s="2191" t="s">
        <v>1346</v>
      </c>
      <c r="D484" s="1350" t="s">
        <v>548</v>
      </c>
      <c r="E484" s="2183">
        <v>2000</v>
      </c>
      <c r="F484" s="1269">
        <v>0</v>
      </c>
      <c r="G484" s="2147">
        <f>F484*F485*E484</f>
        <v>0</v>
      </c>
      <c r="H484" s="1269">
        <v>0</v>
      </c>
      <c r="I484" s="2147">
        <f>H484*H485*E484</f>
        <v>0</v>
      </c>
      <c r="J484" s="1269">
        <v>0</v>
      </c>
      <c r="K484" s="2147">
        <f>J484*J485*E484</f>
        <v>0</v>
      </c>
      <c r="L484" s="1269">
        <v>0</v>
      </c>
      <c r="M484" s="2147">
        <f>L484*L485*E484</f>
        <v>0</v>
      </c>
      <c r="N484" s="1269">
        <v>0</v>
      </c>
      <c r="O484" s="2172">
        <f>N484*N485*E484</f>
        <v>0</v>
      </c>
      <c r="P484" s="2156">
        <f>G484+I484+K484+M484+O484</f>
        <v>0</v>
      </c>
      <c r="R484" s="1042"/>
      <c r="S484" s="1042"/>
      <c r="T484" s="1042"/>
      <c r="U484" s="1042"/>
      <c r="V484" s="1042"/>
      <c r="W484" s="1042"/>
      <c r="X484" s="1042"/>
      <c r="Y484" s="1042"/>
      <c r="AP484" s="1036"/>
    </row>
    <row r="485" spans="1:42" s="807" customFormat="1" ht="24" customHeight="1">
      <c r="A485" s="2187"/>
      <c r="B485" s="2174"/>
      <c r="C485" s="2190"/>
      <c r="D485" s="1349" t="s">
        <v>1277</v>
      </c>
      <c r="E485" s="2179"/>
      <c r="F485" s="1268">
        <v>0</v>
      </c>
      <c r="G485" s="2148"/>
      <c r="H485" s="1268">
        <v>0</v>
      </c>
      <c r="I485" s="2148"/>
      <c r="J485" s="1268">
        <v>0</v>
      </c>
      <c r="K485" s="2148"/>
      <c r="L485" s="1268">
        <v>0</v>
      </c>
      <c r="M485" s="2148"/>
      <c r="N485" s="1268">
        <v>0</v>
      </c>
      <c r="O485" s="2148"/>
      <c r="P485" s="2155"/>
      <c r="R485" s="1042"/>
      <c r="S485" s="1042"/>
      <c r="T485" s="1042"/>
      <c r="U485" s="1042"/>
      <c r="V485" s="1042"/>
      <c r="W485" s="1042"/>
      <c r="X485" s="1042"/>
      <c r="Y485" s="1042"/>
      <c r="AP485" s="1036"/>
    </row>
    <row r="486" spans="1:42" s="807" customFormat="1" ht="24" customHeight="1">
      <c r="A486" s="2187"/>
      <c r="B486" s="2174"/>
      <c r="C486" s="805" t="s">
        <v>1347</v>
      </c>
      <c r="D486" s="1351" t="s">
        <v>560</v>
      </c>
      <c r="E486" s="1352">
        <v>0</v>
      </c>
      <c r="F486" s="1353">
        <v>0</v>
      </c>
      <c r="G486" s="1352">
        <f>F486*E486</f>
        <v>0</v>
      </c>
      <c r="H486" s="1353">
        <v>0</v>
      </c>
      <c r="I486" s="1352">
        <f>H486*E486</f>
        <v>0</v>
      </c>
      <c r="J486" s="1353">
        <v>0</v>
      </c>
      <c r="K486" s="1352">
        <f>J486*E486</f>
        <v>0</v>
      </c>
      <c r="L486" s="1353">
        <v>0</v>
      </c>
      <c r="M486" s="1352">
        <f>L486*E486</f>
        <v>0</v>
      </c>
      <c r="N486" s="1353">
        <v>0</v>
      </c>
      <c r="O486" s="1352">
        <f>N486*E486</f>
        <v>0</v>
      </c>
      <c r="P486" s="1354">
        <f>G486+I486+K486+M486+O486</f>
        <v>0</v>
      </c>
      <c r="R486" s="1042"/>
      <c r="S486" s="1042"/>
      <c r="T486" s="1042"/>
      <c r="U486" s="1042"/>
      <c r="V486" s="1042"/>
      <c r="W486" s="1042"/>
      <c r="X486" s="1042"/>
      <c r="Y486" s="1042"/>
      <c r="AP486" s="1036"/>
    </row>
    <row r="487" spans="1:42" s="807" customFormat="1" ht="24" customHeight="1">
      <c r="A487" s="2187"/>
      <c r="B487" s="2174"/>
      <c r="C487" s="1335" t="s">
        <v>1285</v>
      </c>
      <c r="D487" s="1236"/>
      <c r="E487" s="1336">
        <v>7.0000000000000007E-2</v>
      </c>
      <c r="F487" s="1337"/>
      <c r="G487" s="1338">
        <f>(SUM(G482:G486))*E487</f>
        <v>2800.0000000000005</v>
      </c>
      <c r="H487" s="1339"/>
      <c r="I487" s="1338">
        <f>(SUM(I482:I486))*E487</f>
        <v>0</v>
      </c>
      <c r="J487" s="1337"/>
      <c r="K487" s="1338">
        <f>(SUM(K482:K486))*E487</f>
        <v>0</v>
      </c>
      <c r="L487" s="1337"/>
      <c r="M487" s="1338">
        <f>(SUM(M482:M486))*E487</f>
        <v>0</v>
      </c>
      <c r="N487" s="1337"/>
      <c r="O487" s="1338">
        <f>(SUM(O482:O486))*E487</f>
        <v>0</v>
      </c>
      <c r="P487" s="1319">
        <f>G487+I487+K487+M487+O487</f>
        <v>2800.0000000000005</v>
      </c>
      <c r="R487" s="1042"/>
      <c r="S487" s="1042"/>
      <c r="T487" s="1042"/>
      <c r="U487" s="1042"/>
      <c r="V487" s="1042"/>
      <c r="W487" s="1042"/>
      <c r="X487" s="1042"/>
      <c r="Y487" s="1042"/>
      <c r="AP487" s="1036"/>
    </row>
    <row r="488" spans="1:42" s="807" customFormat="1" ht="24" customHeight="1">
      <c r="A488" s="2187"/>
      <c r="B488" s="2174"/>
      <c r="C488" s="1324" t="s">
        <v>550</v>
      </c>
      <c r="D488" s="1320"/>
      <c r="E488" s="1323"/>
      <c r="F488" s="1322"/>
      <c r="G488" s="1323">
        <f>SUM(G482:G487)</f>
        <v>42800</v>
      </c>
      <c r="H488" s="1324"/>
      <c r="I488" s="1323">
        <f>SUM(I482:I487)</f>
        <v>0</v>
      </c>
      <c r="J488" s="1324"/>
      <c r="K488" s="1323">
        <f>SUM(K482:K487)</f>
        <v>0</v>
      </c>
      <c r="L488" s="1324"/>
      <c r="M488" s="1323">
        <f>SUM(M482:M487)</f>
        <v>0</v>
      </c>
      <c r="N488" s="1324"/>
      <c r="O488" s="1323">
        <f>SUM(O482:O487)</f>
        <v>0</v>
      </c>
      <c r="P488" s="1325">
        <f>SUM(P482:P487)</f>
        <v>42800</v>
      </c>
      <c r="R488" s="1042"/>
      <c r="S488" s="1042"/>
      <c r="T488" s="1042"/>
      <c r="U488" s="1042"/>
      <c r="V488" s="1042"/>
      <c r="W488" s="1042"/>
      <c r="X488" s="1042"/>
      <c r="Y488" s="1042"/>
      <c r="AP488" s="1036"/>
    </row>
    <row r="489" spans="1:42" s="807" customFormat="1" ht="24" customHeight="1" thickBot="1">
      <c r="A489" s="2188"/>
      <c r="B489" s="2175"/>
      <c r="C489" s="1355" t="s">
        <v>932</v>
      </c>
      <c r="D489" s="1356"/>
      <c r="E489" s="1357"/>
      <c r="F489" s="1358"/>
      <c r="G489" s="1359">
        <f>G488/P488</f>
        <v>1</v>
      </c>
      <c r="H489" s="1358"/>
      <c r="I489" s="1359">
        <f>I488/P488</f>
        <v>0</v>
      </c>
      <c r="J489" s="1358"/>
      <c r="K489" s="1359">
        <f>K488/P488</f>
        <v>0</v>
      </c>
      <c r="L489" s="1358"/>
      <c r="M489" s="1359">
        <f>M488/P488</f>
        <v>0</v>
      </c>
      <c r="N489" s="1358"/>
      <c r="O489" s="1359">
        <f>O488/P488</f>
        <v>0</v>
      </c>
      <c r="P489" s="1311"/>
      <c r="R489" s="1042"/>
      <c r="S489" s="1042"/>
      <c r="T489" s="1042"/>
      <c r="U489" s="1042"/>
      <c r="V489" s="1042"/>
      <c r="W489" s="1042"/>
      <c r="X489" s="1042"/>
      <c r="Y489" s="1042"/>
      <c r="AP489" s="1036"/>
    </row>
    <row r="490" spans="1:42" ht="24" customHeight="1">
      <c r="A490" s="2128" t="s">
        <v>1272</v>
      </c>
      <c r="B490" s="2132"/>
      <c r="C490" s="2128" t="s">
        <v>545</v>
      </c>
      <c r="D490" s="2129" t="s">
        <v>1273</v>
      </c>
      <c r="E490" s="2180" t="s">
        <v>1274</v>
      </c>
      <c r="F490" s="2121">
        <v>2021</v>
      </c>
      <c r="G490" s="2122"/>
      <c r="H490" s="2121">
        <v>2022</v>
      </c>
      <c r="I490" s="2122"/>
      <c r="J490" s="2121">
        <v>2023</v>
      </c>
      <c r="K490" s="2122"/>
      <c r="L490" s="2121">
        <v>2024</v>
      </c>
      <c r="M490" s="2122"/>
      <c r="N490" s="2121">
        <v>2025</v>
      </c>
      <c r="O490" s="2122"/>
      <c r="P490" s="2123" t="s">
        <v>546</v>
      </c>
    </row>
    <row r="491" spans="1:42" ht="24" customHeight="1" thickBot="1">
      <c r="A491" s="2130"/>
      <c r="B491" s="2133"/>
      <c r="C491" s="2130"/>
      <c r="D491" s="2131"/>
      <c r="E491" s="2181"/>
      <c r="F491" s="1219" t="s">
        <v>1275</v>
      </c>
      <c r="G491" s="1220" t="s">
        <v>1276</v>
      </c>
      <c r="H491" s="1219" t="s">
        <v>1275</v>
      </c>
      <c r="I491" s="1220" t="s">
        <v>1276</v>
      </c>
      <c r="J491" s="1219" t="s">
        <v>1275</v>
      </c>
      <c r="K491" s="1220" t="s">
        <v>1276</v>
      </c>
      <c r="L491" s="1219" t="s">
        <v>1275</v>
      </c>
      <c r="M491" s="1220" t="s">
        <v>1276</v>
      </c>
      <c r="N491" s="1219" t="s">
        <v>1275</v>
      </c>
      <c r="O491" s="1220" t="s">
        <v>1276</v>
      </c>
      <c r="P491" s="2124"/>
    </row>
    <row r="492" spans="1:42" s="807" customFormat="1" ht="24" customHeight="1">
      <c r="A492" s="2187" t="s">
        <v>551</v>
      </c>
      <c r="B492" s="2174" t="s">
        <v>1348</v>
      </c>
      <c r="C492" s="2189" t="s">
        <v>974</v>
      </c>
      <c r="D492" s="1348" t="s">
        <v>548</v>
      </c>
      <c r="E492" s="2185">
        <v>2000</v>
      </c>
      <c r="F492" s="1330">
        <v>2</v>
      </c>
      <c r="G492" s="2172">
        <f>F492*F493*E492</f>
        <v>40000</v>
      </c>
      <c r="H492" s="1330">
        <v>2</v>
      </c>
      <c r="I492" s="2172">
        <f>H492*H493*E492</f>
        <v>40000</v>
      </c>
      <c r="J492" s="1330">
        <v>2</v>
      </c>
      <c r="K492" s="2172">
        <f>J492*J493*E492</f>
        <v>40000</v>
      </c>
      <c r="L492" s="1330">
        <v>1</v>
      </c>
      <c r="M492" s="2172">
        <f>L492*L493*E492</f>
        <v>10000</v>
      </c>
      <c r="N492" s="1330">
        <v>0</v>
      </c>
      <c r="O492" s="2172">
        <f>N492*N493*E492</f>
        <v>0</v>
      </c>
      <c r="P492" s="2186">
        <f>G492+I492+K492+M492+O492</f>
        <v>130000</v>
      </c>
      <c r="R492" s="1042"/>
      <c r="S492" s="1042"/>
      <c r="T492" s="1042"/>
      <c r="U492" s="1042"/>
      <c r="V492" s="1042"/>
      <c r="W492" s="1042"/>
      <c r="X492" s="1042"/>
      <c r="Y492" s="1042"/>
      <c r="AP492" s="1036"/>
    </row>
    <row r="493" spans="1:42" s="807" customFormat="1" ht="24" customHeight="1">
      <c r="A493" s="2187"/>
      <c r="B493" s="2174"/>
      <c r="C493" s="2190"/>
      <c r="D493" s="1349" t="s">
        <v>1277</v>
      </c>
      <c r="E493" s="2179"/>
      <c r="F493" s="1268">
        <v>10</v>
      </c>
      <c r="G493" s="2148"/>
      <c r="H493" s="1268">
        <v>10</v>
      </c>
      <c r="I493" s="2148"/>
      <c r="J493" s="1268">
        <v>10</v>
      </c>
      <c r="K493" s="2148"/>
      <c r="L493" s="1268">
        <v>5</v>
      </c>
      <c r="M493" s="2148"/>
      <c r="N493" s="1268">
        <v>0</v>
      </c>
      <c r="O493" s="2148"/>
      <c r="P493" s="2155"/>
      <c r="R493" s="1042"/>
      <c r="S493" s="1042"/>
      <c r="T493" s="1042"/>
      <c r="U493" s="1042"/>
      <c r="V493" s="1042"/>
      <c r="W493" s="1042"/>
      <c r="X493" s="1042"/>
      <c r="Y493" s="1042"/>
      <c r="AP493" s="1036"/>
    </row>
    <row r="494" spans="1:42" s="807" customFormat="1" ht="24" customHeight="1">
      <c r="A494" s="2187"/>
      <c r="B494" s="2174"/>
      <c r="C494" s="805" t="s">
        <v>975</v>
      </c>
      <c r="D494" s="1351" t="s">
        <v>552</v>
      </c>
      <c r="E494" s="1352">
        <v>30000</v>
      </c>
      <c r="F494" s="1353">
        <v>1</v>
      </c>
      <c r="G494" s="1352">
        <f>F494*E494</f>
        <v>30000</v>
      </c>
      <c r="H494" s="1353">
        <v>1</v>
      </c>
      <c r="I494" s="1352">
        <f>H494*E494</f>
        <v>30000</v>
      </c>
      <c r="J494" s="1353">
        <v>1</v>
      </c>
      <c r="K494" s="1352">
        <f>J494*E494</f>
        <v>30000</v>
      </c>
      <c r="L494" s="1353">
        <v>1</v>
      </c>
      <c r="M494" s="1352">
        <f>L494*E494</f>
        <v>30000</v>
      </c>
      <c r="N494" s="1353">
        <v>1</v>
      </c>
      <c r="O494" s="1352">
        <f>N494*E494</f>
        <v>30000</v>
      </c>
      <c r="P494" s="1354">
        <f>G494+I494+K494+M494+O494</f>
        <v>150000</v>
      </c>
      <c r="R494" s="1042"/>
      <c r="S494" s="1042"/>
      <c r="T494" s="1042"/>
      <c r="U494" s="1042"/>
      <c r="V494" s="1042"/>
      <c r="W494" s="1042"/>
      <c r="X494" s="1042"/>
      <c r="Y494" s="1042"/>
      <c r="AP494" s="1036"/>
    </row>
    <row r="495" spans="1:42" s="807" customFormat="1" ht="24" customHeight="1">
      <c r="A495" s="2187"/>
      <c r="B495" s="2174"/>
      <c r="C495" s="1360" t="s">
        <v>1285</v>
      </c>
      <c r="D495" s="1314"/>
      <c r="E495" s="1315">
        <v>7.0000000000000007E-2</v>
      </c>
      <c r="F495" s="1316"/>
      <c r="G495" s="1317">
        <f>(SUM(G492:G494))*E495</f>
        <v>4900.0000000000009</v>
      </c>
      <c r="H495" s="1318"/>
      <c r="I495" s="1317">
        <f>(SUM(I492:I494))*E495</f>
        <v>4900.0000000000009</v>
      </c>
      <c r="J495" s="1316"/>
      <c r="K495" s="1317">
        <f>(SUM(K492:K494))*E495</f>
        <v>4900.0000000000009</v>
      </c>
      <c r="L495" s="1316"/>
      <c r="M495" s="1317">
        <f>(SUM(M492:M494))*E495</f>
        <v>2800.0000000000005</v>
      </c>
      <c r="N495" s="1316"/>
      <c r="O495" s="1317">
        <f>(SUM(O492:O494))*E495</f>
        <v>2100</v>
      </c>
      <c r="P495" s="1319">
        <f>G495+I495+K495+M495+O495</f>
        <v>19600.000000000004</v>
      </c>
      <c r="R495" s="1042"/>
      <c r="S495" s="1042"/>
      <c r="T495" s="1042"/>
      <c r="U495" s="1042"/>
      <c r="V495" s="1042"/>
      <c r="W495" s="1042"/>
      <c r="X495" s="1042"/>
      <c r="Y495" s="1042"/>
      <c r="AP495" s="1036"/>
    </row>
    <row r="496" spans="1:42" s="807" customFormat="1" ht="24" customHeight="1">
      <c r="A496" s="2187"/>
      <c r="B496" s="2174"/>
      <c r="C496" s="1324" t="s">
        <v>550</v>
      </c>
      <c r="D496" s="1320"/>
      <c r="E496" s="1323"/>
      <c r="F496" s="1322"/>
      <c r="G496" s="1323">
        <f>SUM(G492:G495)</f>
        <v>74900</v>
      </c>
      <c r="H496" s="1324"/>
      <c r="I496" s="1323">
        <f>SUM(I492:I495)</f>
        <v>74900</v>
      </c>
      <c r="J496" s="1324"/>
      <c r="K496" s="1323">
        <f>SUM(K492:K495)</f>
        <v>74900</v>
      </c>
      <c r="L496" s="1324"/>
      <c r="M496" s="1323">
        <f>SUM(M492:M495)</f>
        <v>42800</v>
      </c>
      <c r="N496" s="1324"/>
      <c r="O496" s="1323">
        <f>SUM(O492:O495)</f>
        <v>32100</v>
      </c>
      <c r="P496" s="1325">
        <f>SUM(P492:P495)</f>
        <v>299600</v>
      </c>
      <c r="R496" s="1042"/>
      <c r="S496" s="1042"/>
      <c r="T496" s="1042"/>
      <c r="U496" s="1042"/>
      <c r="V496" s="1042"/>
      <c r="W496" s="1042"/>
      <c r="X496" s="1042"/>
      <c r="Y496" s="1042"/>
      <c r="AP496" s="1036"/>
    </row>
    <row r="497" spans="1:42" s="807" customFormat="1" ht="24" customHeight="1" thickBot="1">
      <c r="A497" s="2188"/>
      <c r="B497" s="2175"/>
      <c r="C497" s="1355" t="s">
        <v>932</v>
      </c>
      <c r="D497" s="1356"/>
      <c r="E497" s="1357"/>
      <c r="F497" s="1358"/>
      <c r="G497" s="1359">
        <f>G496/P496</f>
        <v>0.25</v>
      </c>
      <c r="H497" s="1358"/>
      <c r="I497" s="1359">
        <f>I496/P496</f>
        <v>0.25</v>
      </c>
      <c r="J497" s="1358"/>
      <c r="K497" s="1359">
        <f>K496/P496</f>
        <v>0.25</v>
      </c>
      <c r="L497" s="1358"/>
      <c r="M497" s="1359">
        <f>M496/P496</f>
        <v>0.14285714285714285</v>
      </c>
      <c r="N497" s="1358"/>
      <c r="O497" s="1359">
        <f>O496/P496</f>
        <v>0.10714285714285714</v>
      </c>
      <c r="P497" s="1311"/>
      <c r="R497" s="1042"/>
      <c r="S497" s="1042"/>
      <c r="T497" s="1042"/>
      <c r="U497" s="1042"/>
      <c r="V497" s="1042"/>
      <c r="W497" s="1042"/>
      <c r="X497" s="1042"/>
      <c r="Y497" s="1042"/>
      <c r="AP497" s="1036"/>
    </row>
    <row r="498" spans="1:42" ht="24" customHeight="1" thickBot="1">
      <c r="A498" s="2128" t="s">
        <v>1272</v>
      </c>
      <c r="B498" s="2132"/>
      <c r="C498" s="2128" t="s">
        <v>545</v>
      </c>
      <c r="D498" s="2129" t="s">
        <v>1273</v>
      </c>
      <c r="E498" s="2180" t="s">
        <v>1274</v>
      </c>
      <c r="F498" s="2121">
        <v>2021</v>
      </c>
      <c r="G498" s="2122"/>
      <c r="H498" s="2121">
        <v>2022</v>
      </c>
      <c r="I498" s="2122"/>
      <c r="J498" s="2121">
        <v>2023</v>
      </c>
      <c r="K498" s="2122"/>
      <c r="L498" s="2121">
        <v>2024</v>
      </c>
      <c r="M498" s="2122"/>
      <c r="N498" s="2121">
        <v>2025</v>
      </c>
      <c r="O498" s="2122"/>
      <c r="P498" s="2123" t="s">
        <v>546</v>
      </c>
      <c r="R498" s="388" t="s">
        <v>1349</v>
      </c>
    </row>
    <row r="499" spans="1:42" ht="24" customHeight="1" thickBot="1">
      <c r="A499" s="2130"/>
      <c r="B499" s="2133"/>
      <c r="C499" s="2130"/>
      <c r="D499" s="2131"/>
      <c r="E499" s="2181"/>
      <c r="F499" s="1219" t="s">
        <v>1275</v>
      </c>
      <c r="G499" s="1220" t="s">
        <v>1276</v>
      </c>
      <c r="H499" s="1219" t="s">
        <v>1275</v>
      </c>
      <c r="I499" s="1220" t="s">
        <v>1276</v>
      </c>
      <c r="J499" s="1219" t="s">
        <v>1275</v>
      </c>
      <c r="K499" s="1220" t="s">
        <v>1276</v>
      </c>
      <c r="L499" s="1219" t="s">
        <v>1275</v>
      </c>
      <c r="M499" s="1220" t="s">
        <v>1276</v>
      </c>
      <c r="N499" s="1219" t="s">
        <v>1275</v>
      </c>
      <c r="O499" s="1220" t="s">
        <v>1276</v>
      </c>
      <c r="P499" s="2124"/>
      <c r="R499" s="1254" t="s">
        <v>1287</v>
      </c>
      <c r="S499" s="1255"/>
      <c r="T499" s="1256"/>
      <c r="U499" s="1257">
        <v>2</v>
      </c>
      <c r="V499" s="1258"/>
      <c r="W499" s="1258"/>
      <c r="X499" s="1258"/>
      <c r="Y499" s="1260"/>
    </row>
    <row r="500" spans="1:42" s="807" customFormat="1" ht="24" customHeight="1">
      <c r="A500" s="2187" t="s">
        <v>553</v>
      </c>
      <c r="B500" s="2174" t="s">
        <v>1350</v>
      </c>
      <c r="C500" s="2189" t="s">
        <v>554</v>
      </c>
      <c r="D500" s="1038" t="s">
        <v>933</v>
      </c>
      <c r="E500" s="2185">
        <v>2000</v>
      </c>
      <c r="F500" s="1330">
        <v>1</v>
      </c>
      <c r="G500" s="2172">
        <f>F500*F501*E500</f>
        <v>20000</v>
      </c>
      <c r="H500" s="1330">
        <v>0</v>
      </c>
      <c r="I500" s="2172">
        <f>H500*H501*E500</f>
        <v>0</v>
      </c>
      <c r="J500" s="1330">
        <v>0</v>
      </c>
      <c r="K500" s="2172">
        <f>J500*J501*E500</f>
        <v>0</v>
      </c>
      <c r="L500" s="1330">
        <v>0</v>
      </c>
      <c r="M500" s="2172">
        <f>L500*L501*E500</f>
        <v>0</v>
      </c>
      <c r="N500" s="1330">
        <v>0</v>
      </c>
      <c r="O500" s="2172">
        <f>E500*N500*N501</f>
        <v>0</v>
      </c>
      <c r="P500" s="2186">
        <f>G500+I500+K500+M500+O500</f>
        <v>20000</v>
      </c>
      <c r="R500" s="1261" t="s">
        <v>1289</v>
      </c>
      <c r="S500" s="1262"/>
      <c r="T500" s="1263"/>
      <c r="U500" s="1264">
        <v>50</v>
      </c>
      <c r="V500" s="1265"/>
      <c r="W500" s="1265"/>
      <c r="X500" s="1265"/>
      <c r="Y500" s="1266"/>
      <c r="AP500" s="1036"/>
    </row>
    <row r="501" spans="1:42" s="807" customFormat="1" ht="24" customHeight="1">
      <c r="A501" s="2187"/>
      <c r="B501" s="2174"/>
      <c r="C501" s="2192"/>
      <c r="D501" s="1037" t="s">
        <v>549</v>
      </c>
      <c r="E501" s="2179"/>
      <c r="F501" s="1268">
        <v>10</v>
      </c>
      <c r="G501" s="2148"/>
      <c r="H501" s="1268">
        <v>0</v>
      </c>
      <c r="I501" s="2148"/>
      <c r="J501" s="1268">
        <v>0</v>
      </c>
      <c r="K501" s="2148"/>
      <c r="L501" s="1268">
        <v>0</v>
      </c>
      <c r="M501" s="2148"/>
      <c r="N501" s="1268">
        <v>0</v>
      </c>
      <c r="O501" s="2148"/>
      <c r="P501" s="2155"/>
      <c r="R501" s="1261" t="s">
        <v>1290</v>
      </c>
      <c r="S501" s="1262"/>
      <c r="T501" s="1263"/>
      <c r="U501" s="1264">
        <v>1</v>
      </c>
      <c r="V501" s="1265"/>
      <c r="W501" s="1265"/>
      <c r="X501" s="1265"/>
      <c r="Y501" s="1266"/>
      <c r="AP501" s="1036"/>
    </row>
    <row r="502" spans="1:42" s="807" customFormat="1" ht="24" customHeight="1">
      <c r="A502" s="2187"/>
      <c r="B502" s="2174"/>
      <c r="C502" s="2191" t="s">
        <v>555</v>
      </c>
      <c r="D502" s="1035" t="s">
        <v>933</v>
      </c>
      <c r="E502" s="2147">
        <v>2000</v>
      </c>
      <c r="F502" s="1330">
        <v>1</v>
      </c>
      <c r="G502" s="2172">
        <f>F502*F503*E502</f>
        <v>20000</v>
      </c>
      <c r="H502" s="1330">
        <v>0</v>
      </c>
      <c r="I502" s="2172">
        <f>H502*H503*E502</f>
        <v>0</v>
      </c>
      <c r="J502" s="1330">
        <v>0</v>
      </c>
      <c r="K502" s="2172">
        <f>J502*J503*E502</f>
        <v>0</v>
      </c>
      <c r="L502" s="1330">
        <v>0</v>
      </c>
      <c r="M502" s="2172">
        <f>L502*L503*E502</f>
        <v>0</v>
      </c>
      <c r="N502" s="1330">
        <v>0</v>
      </c>
      <c r="O502" s="2172">
        <f t="shared" ref="O502" si="187">E502*N502*N503</f>
        <v>0</v>
      </c>
      <c r="P502" s="2186">
        <f>G502+I502+K502+M502+O502</f>
        <v>20000</v>
      </c>
      <c r="R502" s="1261" t="s">
        <v>1292</v>
      </c>
      <c r="S502" s="1262"/>
      <c r="T502" s="1270">
        <v>0</v>
      </c>
      <c r="U502" s="1271">
        <v>20</v>
      </c>
      <c r="V502" s="1265"/>
      <c r="W502" s="1265"/>
      <c r="X502" s="1265"/>
      <c r="Y502" s="1266"/>
      <c r="AP502" s="1036"/>
    </row>
    <row r="503" spans="1:42" s="807" customFormat="1" ht="24" customHeight="1" thickBot="1">
      <c r="A503" s="2187"/>
      <c r="B503" s="2174"/>
      <c r="C503" s="2190"/>
      <c r="D503" s="1037" t="s">
        <v>549</v>
      </c>
      <c r="E503" s="2148"/>
      <c r="F503" s="1268">
        <v>10</v>
      </c>
      <c r="G503" s="2148"/>
      <c r="H503" s="1268">
        <v>0</v>
      </c>
      <c r="I503" s="2148"/>
      <c r="J503" s="1268">
        <v>0</v>
      </c>
      <c r="K503" s="2148"/>
      <c r="L503" s="1268">
        <v>0</v>
      </c>
      <c r="M503" s="2148"/>
      <c r="N503" s="1268">
        <v>0</v>
      </c>
      <c r="O503" s="2148"/>
      <c r="P503" s="2155"/>
      <c r="R503" s="1276" t="s">
        <v>1294</v>
      </c>
      <c r="S503" s="1277"/>
      <c r="T503" s="1278"/>
      <c r="U503" s="1271">
        <f>U501-1</f>
        <v>0</v>
      </c>
      <c r="V503" s="1265"/>
      <c r="W503" s="1265"/>
      <c r="X503" s="1265"/>
      <c r="Y503" s="1266"/>
      <c r="AP503" s="1036"/>
    </row>
    <row r="504" spans="1:42" s="807" customFormat="1" ht="24" customHeight="1">
      <c r="A504" s="2187"/>
      <c r="B504" s="2174"/>
      <c r="C504" s="2191" t="s">
        <v>556</v>
      </c>
      <c r="D504" s="1035" t="s">
        <v>548</v>
      </c>
      <c r="E504" s="2147">
        <v>2000</v>
      </c>
      <c r="F504" s="1330">
        <v>1</v>
      </c>
      <c r="G504" s="2172">
        <f>F504*F505*E504</f>
        <v>6000</v>
      </c>
      <c r="H504" s="1330">
        <v>0</v>
      </c>
      <c r="I504" s="2172">
        <f>H504*H505*E504</f>
        <v>0</v>
      </c>
      <c r="J504" s="1330">
        <v>0</v>
      </c>
      <c r="K504" s="2172">
        <f>J504*J505*E504</f>
        <v>0</v>
      </c>
      <c r="L504" s="1330">
        <v>0</v>
      </c>
      <c r="M504" s="2172">
        <f>L504*L505*E504</f>
        <v>0</v>
      </c>
      <c r="N504" s="1330">
        <v>0</v>
      </c>
      <c r="O504" s="2172">
        <f t="shared" ref="O504" si="188">E504*N504*N505</f>
        <v>0</v>
      </c>
      <c r="P504" s="2186">
        <f>G504+I504+K504+M504+O504</f>
        <v>6000</v>
      </c>
      <c r="R504" s="1361" t="s">
        <v>1295</v>
      </c>
      <c r="S504" s="1362" t="s">
        <v>1296</v>
      </c>
      <c r="T504" s="1363" t="s">
        <v>1297</v>
      </c>
      <c r="U504" s="1363" t="s">
        <v>1298</v>
      </c>
      <c r="V504" s="1363" t="s">
        <v>1299</v>
      </c>
      <c r="W504" s="1362" t="s">
        <v>1300</v>
      </c>
      <c r="X504" s="1363" t="s">
        <v>1301</v>
      </c>
      <c r="Y504" s="1364" t="s">
        <v>939</v>
      </c>
      <c r="AP504" s="1036"/>
    </row>
    <row r="505" spans="1:42" s="807" customFormat="1" ht="24" customHeight="1" thickBot="1">
      <c r="A505" s="2187"/>
      <c r="B505" s="2174"/>
      <c r="C505" s="2190"/>
      <c r="D505" s="1037" t="s">
        <v>549</v>
      </c>
      <c r="E505" s="2148"/>
      <c r="F505" s="1268">
        <v>3</v>
      </c>
      <c r="G505" s="2148"/>
      <c r="H505" s="1268">
        <v>0</v>
      </c>
      <c r="I505" s="2148"/>
      <c r="J505" s="1268">
        <v>0</v>
      </c>
      <c r="K505" s="2148"/>
      <c r="L505" s="1268">
        <v>0</v>
      </c>
      <c r="M505" s="2148"/>
      <c r="N505" s="1268">
        <v>0</v>
      </c>
      <c r="O505" s="2148"/>
      <c r="P505" s="2155"/>
      <c r="R505" s="1365"/>
      <c r="S505" s="1366"/>
      <c r="T505" s="1367"/>
      <c r="U505" s="1367"/>
      <c r="V505" s="1367"/>
      <c r="W505" s="1366"/>
      <c r="X505" s="1367"/>
      <c r="Y505" s="1368"/>
      <c r="AP505" s="1036"/>
    </row>
    <row r="506" spans="1:42" s="807" customFormat="1" ht="24" customHeight="1">
      <c r="A506" s="2187"/>
      <c r="B506" s="2174"/>
      <c r="C506" s="805" t="s">
        <v>557</v>
      </c>
      <c r="D506" s="806" t="s">
        <v>934</v>
      </c>
      <c r="E506" s="806">
        <v>0</v>
      </c>
      <c r="F506" s="1353">
        <v>0</v>
      </c>
      <c r="G506" s="1352">
        <f>F506*E506</f>
        <v>0</v>
      </c>
      <c r="H506" s="1353">
        <v>0</v>
      </c>
      <c r="I506" s="1352">
        <f>H506*E506</f>
        <v>0</v>
      </c>
      <c r="J506" s="1353">
        <v>0</v>
      </c>
      <c r="K506" s="1352">
        <f>J506*E506</f>
        <v>0</v>
      </c>
      <c r="L506" s="1353">
        <v>0</v>
      </c>
      <c r="M506" s="1352">
        <f>L506*E506</f>
        <v>0</v>
      </c>
      <c r="N506" s="1353">
        <v>0</v>
      </c>
      <c r="O506" s="1352">
        <f>N506*E506</f>
        <v>0</v>
      </c>
      <c r="P506" s="1354">
        <f>G506+I506+K506+M506+O506</f>
        <v>0</v>
      </c>
      <c r="R506" s="1279" t="s">
        <v>1302</v>
      </c>
      <c r="S506" s="1280" t="s">
        <v>1427</v>
      </c>
      <c r="T506" s="1281" t="s">
        <v>1428</v>
      </c>
      <c r="U506" s="1282">
        <v>2000</v>
      </c>
      <c r="V506" s="1282" t="s">
        <v>1315</v>
      </c>
      <c r="W506" s="1283">
        <f ca="1">ROUND(IFERROR(IF(V506="MDL",U506,U506*INDIRECT(V506)),0),2)</f>
        <v>2000</v>
      </c>
      <c r="X506" s="1282">
        <f>U499</f>
        <v>2</v>
      </c>
      <c r="Y506" s="1284">
        <f ca="1">U499*W506*X506</f>
        <v>8000</v>
      </c>
      <c r="AP506" s="1036"/>
    </row>
    <row r="507" spans="1:42" s="807" customFormat="1" ht="24" customHeight="1">
      <c r="A507" s="2187"/>
      <c r="B507" s="2174"/>
      <c r="C507" s="1039" t="s">
        <v>1105</v>
      </c>
      <c r="D507" s="806" t="s">
        <v>934</v>
      </c>
      <c r="E507" s="806">
        <v>9000000</v>
      </c>
      <c r="F507" s="1353">
        <v>0.3</v>
      </c>
      <c r="G507" s="1352">
        <f>F507*E507</f>
        <v>2700000</v>
      </c>
      <c r="H507" s="1353">
        <v>0.7</v>
      </c>
      <c r="I507" s="1352">
        <f>H507*E507</f>
        <v>6300000</v>
      </c>
      <c r="J507" s="1353">
        <v>0</v>
      </c>
      <c r="K507" s="1352">
        <f>J507*E507</f>
        <v>0</v>
      </c>
      <c r="L507" s="1353">
        <v>0</v>
      </c>
      <c r="M507" s="1352">
        <f>L507*E507</f>
        <v>0</v>
      </c>
      <c r="N507" s="1353">
        <v>0</v>
      </c>
      <c r="O507" s="1352">
        <f>N507*E507</f>
        <v>0</v>
      </c>
      <c r="P507" s="1354">
        <f>G507+I507+K507+M507+O507</f>
        <v>9000000</v>
      </c>
      <c r="R507" s="1285" t="s">
        <v>1307</v>
      </c>
      <c r="S507" s="1286" t="s">
        <v>1431</v>
      </c>
      <c r="T507" s="236" t="s">
        <v>1430</v>
      </c>
      <c r="U507" s="1287">
        <v>220</v>
      </c>
      <c r="V507" s="1287" t="s">
        <v>1315</v>
      </c>
      <c r="W507" s="185">
        <f ca="1">ROUND(IFERROR(IF(V507="MDL",U507,U507*INDIRECT(V507)),0),2)</f>
        <v>220</v>
      </c>
      <c r="X507" s="1287">
        <f>U501</f>
        <v>1</v>
      </c>
      <c r="Y507" s="1288">
        <f ca="1">U500*X507*W507</f>
        <v>11000</v>
      </c>
      <c r="AP507" s="1036"/>
    </row>
    <row r="508" spans="1:42" s="807" customFormat="1" ht="24" customHeight="1">
      <c r="A508" s="2187"/>
      <c r="B508" s="2174"/>
      <c r="C508" s="805" t="s">
        <v>558</v>
      </c>
      <c r="D508" s="1350" t="s">
        <v>941</v>
      </c>
      <c r="E508" s="1300">
        <v>400000</v>
      </c>
      <c r="F508" s="1269">
        <v>0.3</v>
      </c>
      <c r="G508" s="1352">
        <f>F508*E508</f>
        <v>120000</v>
      </c>
      <c r="H508" s="1269">
        <v>0.7</v>
      </c>
      <c r="I508" s="1352">
        <f>H508*E508</f>
        <v>280000</v>
      </c>
      <c r="J508" s="1269">
        <v>0</v>
      </c>
      <c r="K508" s="1275">
        <f>J508*J509*E508</f>
        <v>0</v>
      </c>
      <c r="L508" s="1269">
        <v>0</v>
      </c>
      <c r="M508" s="1275">
        <f>L508*L509*E508</f>
        <v>0</v>
      </c>
      <c r="N508" s="1269">
        <v>0</v>
      </c>
      <c r="O508" s="1275">
        <f>N508*E508</f>
        <v>0</v>
      </c>
      <c r="P508" s="1313">
        <f>G508+I508+K508+M508+O508</f>
        <v>400000</v>
      </c>
      <c r="R508" s="1285" t="s">
        <v>1308</v>
      </c>
      <c r="S508" s="1286" t="s">
        <v>1432</v>
      </c>
      <c r="T508" s="236" t="s">
        <v>1433</v>
      </c>
      <c r="U508" s="1287">
        <v>80</v>
      </c>
      <c r="V508" s="1287" t="s">
        <v>1315</v>
      </c>
      <c r="W508" s="185">
        <f ca="1">ROUND(IFERROR(IF(V508="MDL",U508,U508*INDIRECT(V508)),0),2)</f>
        <v>80</v>
      </c>
      <c r="X508" s="1290">
        <v>2</v>
      </c>
      <c r="Y508" s="1288">
        <f ca="1">X508*U502*W508</f>
        <v>3200</v>
      </c>
      <c r="AP508" s="1036"/>
    </row>
    <row r="509" spans="1:42" s="807" customFormat="1" ht="24" customHeight="1">
      <c r="A509" s="2187"/>
      <c r="B509" s="2174"/>
      <c r="C509" s="805" t="s">
        <v>559</v>
      </c>
      <c r="D509" s="806" t="s">
        <v>931</v>
      </c>
      <c r="E509" s="1369">
        <f ca="1">Y513</f>
        <v>25680</v>
      </c>
      <c r="F509" s="1289">
        <v>0</v>
      </c>
      <c r="G509" s="1300">
        <f ca="1">F509*E509</f>
        <v>0</v>
      </c>
      <c r="H509" s="1289">
        <v>0</v>
      </c>
      <c r="I509" s="1300">
        <f ca="1">H509*E509</f>
        <v>0</v>
      </c>
      <c r="J509" s="1289">
        <v>0</v>
      </c>
      <c r="K509" s="1300">
        <f ca="1">J509*J510*E509</f>
        <v>0</v>
      </c>
      <c r="L509" s="1289">
        <v>0</v>
      </c>
      <c r="M509" s="1300">
        <f ca="1">L509*L510*E509</f>
        <v>0</v>
      </c>
      <c r="N509" s="1289">
        <v>0</v>
      </c>
      <c r="O509" s="1300">
        <f ca="1">N509*E509</f>
        <v>0</v>
      </c>
      <c r="P509" s="809">
        <f ca="1">G509+I509+K509+M509+O509</f>
        <v>0</v>
      </c>
      <c r="R509" s="1285" t="s">
        <v>1311</v>
      </c>
      <c r="S509" s="1286" t="s">
        <v>1436</v>
      </c>
      <c r="T509" s="236" t="s">
        <v>1428</v>
      </c>
      <c r="U509" s="1287">
        <v>1800</v>
      </c>
      <c r="V509" s="1287" t="s">
        <v>1315</v>
      </c>
      <c r="W509" s="185">
        <f ca="1">ROUND(IFERROR(IF(V509="MDL",U509,U509*INDIRECT(V509)),0),2)</f>
        <v>1800</v>
      </c>
      <c r="X509" s="1287">
        <f>U501</f>
        <v>1</v>
      </c>
      <c r="Y509" s="1288">
        <f ca="1">X509*W509</f>
        <v>1800</v>
      </c>
      <c r="AP509" s="1036"/>
    </row>
    <row r="510" spans="1:42" s="807" customFormat="1" ht="24" customHeight="1">
      <c r="A510" s="2187"/>
      <c r="B510" s="2174"/>
      <c r="C510" s="1360" t="s">
        <v>1285</v>
      </c>
      <c r="D510" s="1314"/>
      <c r="E510" s="1315">
        <v>7.0000000000000007E-2</v>
      </c>
      <c r="F510" s="1316"/>
      <c r="G510" s="1317">
        <f ca="1">(SUM(G500:G509))*E510</f>
        <v>200620.00000000003</v>
      </c>
      <c r="H510" s="1318"/>
      <c r="I510" s="1317">
        <f ca="1">(SUM(I500:I509))*E510</f>
        <v>460600.00000000006</v>
      </c>
      <c r="J510" s="1316"/>
      <c r="K510" s="1317">
        <f ca="1">(SUM(K500:K509))*E510</f>
        <v>0</v>
      </c>
      <c r="L510" s="1316"/>
      <c r="M510" s="1317">
        <f ca="1">(SUM(M500:M509))*E510</f>
        <v>0</v>
      </c>
      <c r="N510" s="1316"/>
      <c r="O510" s="1317">
        <f ca="1">(SUM(O500:O509))*E510</f>
        <v>0</v>
      </c>
      <c r="P510" s="1319">
        <f ca="1">G510+I510+K510+M510+O510</f>
        <v>661220.00000000012</v>
      </c>
      <c r="R510" s="1285" t="s">
        <v>1309</v>
      </c>
      <c r="S510" s="1286" t="s">
        <v>1434</v>
      </c>
      <c r="T510" s="236" t="s">
        <v>1435</v>
      </c>
      <c r="U510" s="1287">
        <v>140</v>
      </c>
      <c r="V510" s="1287" t="s">
        <v>1315</v>
      </c>
      <c r="W510" s="185">
        <f ca="1">ROUND(IFERROR(IF(V510="MDL",U510,U510*INDIRECT(V510)),0),2)</f>
        <v>140</v>
      </c>
      <c r="X510" s="1287">
        <v>0</v>
      </c>
      <c r="Y510" s="1288">
        <f ca="1">U501*X510*W510</f>
        <v>0</v>
      </c>
      <c r="AP510" s="1036"/>
    </row>
    <row r="511" spans="1:42" s="807" customFormat="1" ht="24" customHeight="1">
      <c r="A511" s="2187"/>
      <c r="B511" s="2174"/>
      <c r="C511" s="1324" t="s">
        <v>550</v>
      </c>
      <c r="D511" s="1320"/>
      <c r="E511" s="1323"/>
      <c r="F511" s="1322"/>
      <c r="G511" s="1323">
        <f ca="1">SUM(G500:G510)</f>
        <v>3066620</v>
      </c>
      <c r="H511" s="1324"/>
      <c r="I511" s="1323">
        <f ca="1">SUM(I500:I510)</f>
        <v>7040600</v>
      </c>
      <c r="J511" s="1324"/>
      <c r="K511" s="1323">
        <f ca="1">SUM(K500:K510)</f>
        <v>0</v>
      </c>
      <c r="L511" s="1324"/>
      <c r="M511" s="1323">
        <f ca="1">SUM(M500:M510)</f>
        <v>0</v>
      </c>
      <c r="N511" s="1324"/>
      <c r="O511" s="1323">
        <f ca="1">SUM(O500:O510)</f>
        <v>0</v>
      </c>
      <c r="P511" s="1325">
        <f ca="1">SUM(P500:P510)</f>
        <v>10107220</v>
      </c>
      <c r="R511" s="1285"/>
      <c r="S511" s="185">
        <v>0</v>
      </c>
      <c r="T511" s="185">
        <v>0</v>
      </c>
      <c r="U511" s="1287">
        <v>0</v>
      </c>
      <c r="V511" s="1287">
        <v>0</v>
      </c>
      <c r="W511" s="185"/>
      <c r="X511" s="1287" t="str">
        <f>IFERROR(VLOOKUP(AG526,R508:T509,3,0),"")</f>
        <v/>
      </c>
      <c r="Y511" s="1293">
        <f ca="1">SUM(Y506:Y510)</f>
        <v>24000</v>
      </c>
      <c r="AP511" s="1036"/>
    </row>
    <row r="512" spans="1:42" s="807" customFormat="1" ht="24" customHeight="1" thickBot="1">
      <c r="A512" s="2188"/>
      <c r="B512" s="2175"/>
      <c r="C512" s="1355" t="s">
        <v>932</v>
      </c>
      <c r="D512" s="1356"/>
      <c r="E512" s="1357"/>
      <c r="F512" s="1358"/>
      <c r="G512" s="1359">
        <f ca="1">G511/P511</f>
        <v>0.30340885030700826</v>
      </c>
      <c r="H512" s="1358"/>
      <c r="I512" s="1359">
        <f ca="1">I511/P511</f>
        <v>0.69659114969299174</v>
      </c>
      <c r="J512" s="1358"/>
      <c r="K512" s="1359">
        <f ca="1">K511/P511</f>
        <v>0</v>
      </c>
      <c r="L512" s="1358"/>
      <c r="M512" s="1359">
        <f ca="1">M511/P511</f>
        <v>0</v>
      </c>
      <c r="N512" s="1358"/>
      <c r="O512" s="1359">
        <f ca="1">O511/P511</f>
        <v>0</v>
      </c>
      <c r="P512" s="1311"/>
      <c r="R512" s="1295" t="s">
        <v>1314</v>
      </c>
      <c r="S512" s="1296" t="s">
        <v>621</v>
      </c>
      <c r="T512" s="1297"/>
      <c r="U512" s="1298">
        <v>7.0000000000000007E-2</v>
      </c>
      <c r="V512" s="1297" t="s">
        <v>1315</v>
      </c>
      <c r="W512" s="1297"/>
      <c r="X512" s="1297"/>
      <c r="Y512" s="1299">
        <f ca="1">ROUND(Y511*U512,2)</f>
        <v>1680</v>
      </c>
      <c r="AP512" s="1036"/>
    </row>
    <row r="513" spans="1:42" ht="24" customHeight="1" thickBot="1">
      <c r="A513" s="2128" t="s">
        <v>1272</v>
      </c>
      <c r="B513" s="2132"/>
      <c r="C513" s="2128" t="s">
        <v>545</v>
      </c>
      <c r="D513" s="2129" t="s">
        <v>1273</v>
      </c>
      <c r="E513" s="2180" t="s">
        <v>1274</v>
      </c>
      <c r="F513" s="2121">
        <v>2021</v>
      </c>
      <c r="G513" s="2122"/>
      <c r="H513" s="2121">
        <v>2022</v>
      </c>
      <c r="I513" s="2122"/>
      <c r="J513" s="2121">
        <v>2023</v>
      </c>
      <c r="K513" s="2122"/>
      <c r="L513" s="2121">
        <v>2024</v>
      </c>
      <c r="M513" s="2122"/>
      <c r="N513" s="2121">
        <v>2025</v>
      </c>
      <c r="O513" s="2122"/>
      <c r="P513" s="2123" t="s">
        <v>546</v>
      </c>
      <c r="R513" s="1301" t="s">
        <v>1317</v>
      </c>
      <c r="S513" s="1302"/>
      <c r="T513" s="1302"/>
      <c r="U513" s="1302"/>
      <c r="V513" s="1302"/>
      <c r="W513" s="1302"/>
      <c r="X513" s="1302"/>
      <c r="Y513" s="1303">
        <f ca="1">Y512+Y511</f>
        <v>25680</v>
      </c>
    </row>
    <row r="514" spans="1:42" ht="24" customHeight="1" thickBot="1">
      <c r="A514" s="2130"/>
      <c r="B514" s="2133"/>
      <c r="C514" s="2130"/>
      <c r="D514" s="2131"/>
      <c r="E514" s="2181"/>
      <c r="F514" s="1219" t="s">
        <v>1275</v>
      </c>
      <c r="G514" s="1220" t="s">
        <v>1276</v>
      </c>
      <c r="H514" s="1219" t="s">
        <v>1275</v>
      </c>
      <c r="I514" s="1220" t="s">
        <v>1276</v>
      </c>
      <c r="J514" s="1219" t="s">
        <v>1275</v>
      </c>
      <c r="K514" s="1220" t="s">
        <v>1276</v>
      </c>
      <c r="L514" s="1219" t="s">
        <v>1275</v>
      </c>
      <c r="M514" s="1220" t="s">
        <v>1276</v>
      </c>
      <c r="N514" s="1219" t="s">
        <v>1275</v>
      </c>
      <c r="O514" s="1220" t="s">
        <v>1276</v>
      </c>
      <c r="P514" s="2124"/>
    </row>
    <row r="515" spans="1:42" s="807" customFormat="1" ht="24" customHeight="1">
      <c r="A515" s="2187" t="s">
        <v>561</v>
      </c>
      <c r="B515" s="2174" t="s">
        <v>1351</v>
      </c>
      <c r="C515" s="803" t="s">
        <v>1037</v>
      </c>
      <c r="D515" s="1351" t="s">
        <v>1352</v>
      </c>
      <c r="E515" s="1352">
        <v>20000</v>
      </c>
      <c r="F515" s="1353">
        <v>0</v>
      </c>
      <c r="G515" s="1352">
        <f>F515*E515</f>
        <v>0</v>
      </c>
      <c r="H515" s="1353">
        <v>1</v>
      </c>
      <c r="I515" s="1352">
        <f>H515*E515</f>
        <v>20000</v>
      </c>
      <c r="J515" s="1353">
        <v>1</v>
      </c>
      <c r="K515" s="1352">
        <f>J515*E515</f>
        <v>20000</v>
      </c>
      <c r="L515" s="1353">
        <v>0</v>
      </c>
      <c r="M515" s="1352">
        <f>L515*E515</f>
        <v>0</v>
      </c>
      <c r="N515" s="1353">
        <v>1</v>
      </c>
      <c r="O515" s="1352">
        <f>N515*E515</f>
        <v>20000</v>
      </c>
      <c r="P515" s="1354">
        <f>G515+I515+K515+M515+O515</f>
        <v>60000</v>
      </c>
      <c r="R515" s="1370" t="s">
        <v>1353</v>
      </c>
      <c r="S515" s="1371"/>
      <c r="T515" s="1371"/>
      <c r="U515" s="1371"/>
      <c r="V515" s="1371"/>
      <c r="W515" s="1371"/>
      <c r="X515" s="1371"/>
      <c r="Y515" s="1372"/>
      <c r="AP515" s="1036"/>
    </row>
    <row r="516" spans="1:42" s="807" customFormat="1" ht="24" customHeight="1">
      <c r="A516" s="2187"/>
      <c r="B516" s="2174"/>
      <c r="C516" s="805" t="s">
        <v>1354</v>
      </c>
      <c r="D516" s="1351" t="s">
        <v>1355</v>
      </c>
      <c r="E516" s="1373">
        <f ca="1">Y531</f>
        <v>14594.8</v>
      </c>
      <c r="F516" s="1353">
        <v>1</v>
      </c>
      <c r="G516" s="1352">
        <f ca="1">F516*E516</f>
        <v>14594.8</v>
      </c>
      <c r="H516" s="1353">
        <v>0</v>
      </c>
      <c r="I516" s="1352">
        <f ca="1">H516*E516</f>
        <v>0</v>
      </c>
      <c r="J516" s="1353">
        <v>1</v>
      </c>
      <c r="K516" s="1352">
        <f ca="1">J516*E516</f>
        <v>14594.8</v>
      </c>
      <c r="L516" s="1353">
        <v>0</v>
      </c>
      <c r="M516" s="1352">
        <f ca="1">L516*E516</f>
        <v>0</v>
      </c>
      <c r="N516" s="1353">
        <v>1</v>
      </c>
      <c r="O516" s="1352">
        <f ca="1">N516*E516</f>
        <v>14594.8</v>
      </c>
      <c r="P516" s="1319">
        <f ca="1">G516+I516+K516+M516+O516</f>
        <v>43784.399999999994</v>
      </c>
      <c r="R516" s="1261" t="s">
        <v>1287</v>
      </c>
      <c r="S516" s="1262"/>
      <c r="T516" s="1263"/>
      <c r="U516" s="1264">
        <v>2</v>
      </c>
      <c r="V516" s="1265"/>
      <c r="W516" s="1265"/>
      <c r="X516" s="1265"/>
      <c r="Y516" s="1266"/>
      <c r="AP516" s="1036"/>
    </row>
    <row r="517" spans="1:42" s="807" customFormat="1" ht="24" customHeight="1">
      <c r="A517" s="2187"/>
      <c r="B517" s="2174"/>
      <c r="C517" s="1335" t="s">
        <v>1285</v>
      </c>
      <c r="D517" s="1236"/>
      <c r="E517" s="1336">
        <v>7.0000000000000007E-2</v>
      </c>
      <c r="F517" s="1337"/>
      <c r="G517" s="1338">
        <f ca="1">(SUM(G515:G516))*E517</f>
        <v>1021.6360000000001</v>
      </c>
      <c r="H517" s="1339"/>
      <c r="I517" s="1338">
        <f ca="1">(SUM(I515:I516))*E517</f>
        <v>1400.0000000000002</v>
      </c>
      <c r="J517" s="1337"/>
      <c r="K517" s="1338">
        <f ca="1">(SUM(K515:K516))*E517</f>
        <v>2421.6360000000004</v>
      </c>
      <c r="L517" s="1337"/>
      <c r="M517" s="1338">
        <f ca="1">(SUM(M515:M516))*E517</f>
        <v>0</v>
      </c>
      <c r="N517" s="1337"/>
      <c r="O517" s="1338">
        <f ca="1">(SUM(O515:O516))*E517</f>
        <v>2421.6360000000004</v>
      </c>
      <c r="P517" s="1319">
        <f ca="1">G517+I517+K517+M517+O517</f>
        <v>7264.9080000000013</v>
      </c>
      <c r="R517" s="1261" t="s">
        <v>1289</v>
      </c>
      <c r="S517" s="1262"/>
      <c r="T517" s="1263"/>
      <c r="U517" s="1264">
        <v>10</v>
      </c>
      <c r="V517" s="1265"/>
      <c r="W517" s="1265"/>
      <c r="X517" s="1265"/>
      <c r="Y517" s="1266"/>
      <c r="AP517" s="1036"/>
    </row>
    <row r="518" spans="1:42" s="807" customFormat="1" ht="24" customHeight="1">
      <c r="A518" s="2187"/>
      <c r="B518" s="2174"/>
      <c r="C518" s="1324" t="s">
        <v>550</v>
      </c>
      <c r="D518" s="1320"/>
      <c r="E518" s="1323"/>
      <c r="F518" s="1322"/>
      <c r="G518" s="1323">
        <f ca="1">SUM(G515:G517)</f>
        <v>15616.436</v>
      </c>
      <c r="H518" s="1324"/>
      <c r="I518" s="1323">
        <f ca="1">SUM(I515:I517)</f>
        <v>21400</v>
      </c>
      <c r="J518" s="1324"/>
      <c r="K518" s="1323">
        <f ca="1">SUM(K515:K517)</f>
        <v>37016.436000000002</v>
      </c>
      <c r="L518" s="1324"/>
      <c r="M518" s="1323">
        <f ca="1">SUM(M515:M517)</f>
        <v>0</v>
      </c>
      <c r="N518" s="1324"/>
      <c r="O518" s="1323">
        <f ca="1">SUM(O515:O517)</f>
        <v>37016.436000000002</v>
      </c>
      <c r="P518" s="1325">
        <f ca="1">SUM(P515:P517)</f>
        <v>111049.30799999999</v>
      </c>
      <c r="R518" s="1261" t="s">
        <v>1290</v>
      </c>
      <c r="S518" s="1262"/>
      <c r="T518" s="1263"/>
      <c r="U518" s="1264">
        <v>1</v>
      </c>
      <c r="V518" s="1265"/>
      <c r="W518" s="1265"/>
      <c r="X518" s="1265"/>
      <c r="Y518" s="1266"/>
      <c r="AP518" s="1036"/>
    </row>
    <row r="519" spans="1:42" s="807" customFormat="1" ht="24" customHeight="1" thickBot="1">
      <c r="A519" s="2188"/>
      <c r="B519" s="2175"/>
      <c r="C519" s="1355" t="s">
        <v>932</v>
      </c>
      <c r="D519" s="1356"/>
      <c r="E519" s="1357"/>
      <c r="F519" s="1358"/>
      <c r="G519" s="1359">
        <f ca="1">G518/P518</f>
        <v>0.14062614419893549</v>
      </c>
      <c r="H519" s="1358"/>
      <c r="I519" s="1359">
        <f ca="1">I518/P518</f>
        <v>0.19270718913439785</v>
      </c>
      <c r="J519" s="1358"/>
      <c r="K519" s="1359">
        <f ca="1">K518/P518</f>
        <v>0.33333333333333337</v>
      </c>
      <c r="L519" s="1358"/>
      <c r="M519" s="1359">
        <f ca="1">M518/P518</f>
        <v>0</v>
      </c>
      <c r="N519" s="1358"/>
      <c r="O519" s="1359">
        <f ca="1">O518/P518</f>
        <v>0.33333333333333337</v>
      </c>
      <c r="P519" s="1311"/>
      <c r="R519" s="1261" t="s">
        <v>1291</v>
      </c>
      <c r="S519" s="1262"/>
      <c r="T519" s="1270">
        <v>0</v>
      </c>
      <c r="U519" s="1271">
        <f>ROUND(U517*T519,0)</f>
        <v>0</v>
      </c>
      <c r="V519" s="1265"/>
      <c r="W519" s="1265"/>
      <c r="X519" s="1265"/>
      <c r="Y519" s="1266"/>
      <c r="AP519" s="1036"/>
    </row>
    <row r="520" spans="1:42" ht="24" customHeight="1">
      <c r="A520" s="2128" t="s">
        <v>1272</v>
      </c>
      <c r="B520" s="2132"/>
      <c r="C520" s="2128" t="s">
        <v>545</v>
      </c>
      <c r="D520" s="2129" t="s">
        <v>1273</v>
      </c>
      <c r="E520" s="2180" t="s">
        <v>1274</v>
      </c>
      <c r="F520" s="2121">
        <v>2021</v>
      </c>
      <c r="G520" s="2122"/>
      <c r="H520" s="2121">
        <v>2022</v>
      </c>
      <c r="I520" s="2122"/>
      <c r="J520" s="2121">
        <v>2023</v>
      </c>
      <c r="K520" s="2122"/>
      <c r="L520" s="2121">
        <v>2024</v>
      </c>
      <c r="M520" s="2122"/>
      <c r="N520" s="2121">
        <v>2025</v>
      </c>
      <c r="O520" s="2122"/>
      <c r="P520" s="2123" t="s">
        <v>546</v>
      </c>
      <c r="R520" s="1261" t="s">
        <v>1292</v>
      </c>
      <c r="S520" s="1262"/>
      <c r="T520" s="1270">
        <v>0</v>
      </c>
      <c r="U520" s="1271">
        <v>0</v>
      </c>
      <c r="V520" s="1265"/>
      <c r="W520" s="1265"/>
      <c r="X520" s="1265"/>
      <c r="Y520" s="1266"/>
    </row>
    <row r="521" spans="1:42" ht="24" customHeight="1" thickBot="1">
      <c r="A521" s="2130"/>
      <c r="B521" s="2133"/>
      <c r="C521" s="2130"/>
      <c r="D521" s="2131"/>
      <c r="E521" s="2181"/>
      <c r="F521" s="1219" t="s">
        <v>1275</v>
      </c>
      <c r="G521" s="1220" t="s">
        <v>1276</v>
      </c>
      <c r="H521" s="1219" t="s">
        <v>1275</v>
      </c>
      <c r="I521" s="1220" t="s">
        <v>1276</v>
      </c>
      <c r="J521" s="1219" t="s">
        <v>1275</v>
      </c>
      <c r="K521" s="1220" t="s">
        <v>1276</v>
      </c>
      <c r="L521" s="1219" t="s">
        <v>1275</v>
      </c>
      <c r="M521" s="1220" t="s">
        <v>1276</v>
      </c>
      <c r="N521" s="1219" t="s">
        <v>1275</v>
      </c>
      <c r="O521" s="1220" t="s">
        <v>1276</v>
      </c>
      <c r="P521" s="2124"/>
      <c r="R521" s="1276" t="s">
        <v>1294</v>
      </c>
      <c r="S521" s="1277"/>
      <c r="T521" s="1278"/>
      <c r="U521" s="1271">
        <f>U518-1</f>
        <v>0</v>
      </c>
      <c r="V521" s="1265"/>
      <c r="W521" s="1265"/>
      <c r="X521" s="1265"/>
      <c r="Y521" s="1266"/>
    </row>
    <row r="522" spans="1:42" s="807" customFormat="1" ht="42" customHeight="1">
      <c r="A522" s="2187" t="s">
        <v>562</v>
      </c>
      <c r="B522" s="2174" t="s">
        <v>1423</v>
      </c>
      <c r="C522" s="803" t="s">
        <v>970</v>
      </c>
      <c r="D522" s="804" t="s">
        <v>563</v>
      </c>
      <c r="E522" s="1374">
        <v>8000</v>
      </c>
      <c r="F522" s="1353">
        <v>2</v>
      </c>
      <c r="G522" s="1352">
        <f>F522*E522</f>
        <v>16000</v>
      </c>
      <c r="H522" s="1353">
        <v>2</v>
      </c>
      <c r="I522" s="1352">
        <f>H522*E522</f>
        <v>16000</v>
      </c>
      <c r="J522" s="1353">
        <v>2</v>
      </c>
      <c r="K522" s="1352">
        <f>J522*E522</f>
        <v>16000</v>
      </c>
      <c r="L522" s="1353">
        <v>2</v>
      </c>
      <c r="M522" s="1352">
        <f>L522*E522</f>
        <v>16000</v>
      </c>
      <c r="N522" s="1353">
        <v>2</v>
      </c>
      <c r="O522" s="1352">
        <f>N522*E522</f>
        <v>16000</v>
      </c>
      <c r="P522" s="1354">
        <f>G522+I522+K522+M522+O522</f>
        <v>80000</v>
      </c>
      <c r="R522" s="1361" t="s">
        <v>1295</v>
      </c>
      <c r="S522" s="1362" t="s">
        <v>1296</v>
      </c>
      <c r="T522" s="1363" t="s">
        <v>1297</v>
      </c>
      <c r="U522" s="1363" t="s">
        <v>1298</v>
      </c>
      <c r="V522" s="1363" t="s">
        <v>1299</v>
      </c>
      <c r="W522" s="1362" t="s">
        <v>1300</v>
      </c>
      <c r="X522" s="1363" t="s">
        <v>1301</v>
      </c>
      <c r="Y522" s="1364" t="s">
        <v>939</v>
      </c>
      <c r="AP522" s="1036"/>
    </row>
    <row r="523" spans="1:42" s="807" customFormat="1" ht="40.35" customHeight="1" thickBot="1">
      <c r="A523" s="2187"/>
      <c r="B523" s="2193"/>
      <c r="C523" s="805" t="s">
        <v>971</v>
      </c>
      <c r="D523" s="806" t="s">
        <v>563</v>
      </c>
      <c r="E523" s="1300">
        <v>8000</v>
      </c>
      <c r="F523" s="1353">
        <v>2</v>
      </c>
      <c r="G523" s="1352">
        <f t="shared" ref="G523:G526" si="189">F523*E523</f>
        <v>16000</v>
      </c>
      <c r="H523" s="1353">
        <v>2</v>
      </c>
      <c r="I523" s="1352">
        <f t="shared" ref="I523:I526" si="190">H523*E523</f>
        <v>16000</v>
      </c>
      <c r="J523" s="1353">
        <v>2</v>
      </c>
      <c r="K523" s="1352">
        <f t="shared" ref="K523:K526" si="191">J523*E523</f>
        <v>16000</v>
      </c>
      <c r="L523" s="1353">
        <v>2</v>
      </c>
      <c r="M523" s="1352">
        <f t="shared" ref="M523:M526" si="192">L523*E523</f>
        <v>16000</v>
      </c>
      <c r="N523" s="1353">
        <v>2</v>
      </c>
      <c r="O523" s="1352">
        <f t="shared" ref="O523:O526" si="193">N523*E523</f>
        <v>16000</v>
      </c>
      <c r="P523" s="1354">
        <f t="shared" ref="P523:P526" si="194">G523+I523+K523+M523+O523</f>
        <v>80000</v>
      </c>
      <c r="R523" s="1365"/>
      <c r="S523" s="1366"/>
      <c r="T523" s="1367"/>
      <c r="U523" s="1367"/>
      <c r="V523" s="1367"/>
      <c r="W523" s="1366"/>
      <c r="X523" s="1367"/>
      <c r="Y523" s="1368"/>
      <c r="AP523" s="1036"/>
    </row>
    <row r="524" spans="1:42" s="807" customFormat="1" ht="24" customHeight="1">
      <c r="A524" s="2187"/>
      <c r="B524" s="2193"/>
      <c r="C524" s="805" t="s">
        <v>972</v>
      </c>
      <c r="D524" s="806" t="s">
        <v>563</v>
      </c>
      <c r="E524" s="1300">
        <v>8000</v>
      </c>
      <c r="F524" s="1353">
        <v>1</v>
      </c>
      <c r="G524" s="1352">
        <f t="shared" si="189"/>
        <v>8000</v>
      </c>
      <c r="H524" s="1353">
        <v>1</v>
      </c>
      <c r="I524" s="1352">
        <f t="shared" si="190"/>
        <v>8000</v>
      </c>
      <c r="J524" s="1353">
        <v>1</v>
      </c>
      <c r="K524" s="1352">
        <f t="shared" si="191"/>
        <v>8000</v>
      </c>
      <c r="L524" s="1353">
        <v>1</v>
      </c>
      <c r="M524" s="1352">
        <f t="shared" si="192"/>
        <v>8000</v>
      </c>
      <c r="N524" s="1353">
        <v>1</v>
      </c>
      <c r="O524" s="1352">
        <f t="shared" si="193"/>
        <v>8000</v>
      </c>
      <c r="P524" s="1354">
        <f t="shared" si="194"/>
        <v>40000</v>
      </c>
      <c r="R524" s="1279" t="s">
        <v>1302</v>
      </c>
      <c r="S524" s="1280" t="s">
        <v>1427</v>
      </c>
      <c r="T524" s="1281" t="s">
        <v>1428</v>
      </c>
      <c r="U524" s="1282">
        <v>2000</v>
      </c>
      <c r="V524" s="1282" t="s">
        <v>1315</v>
      </c>
      <c r="W524" s="1283">
        <f ca="1">ROUND(IFERROR(IF(V524="MDL",U524,U524*INDIRECT(V524)),0),2)</f>
        <v>2000</v>
      </c>
      <c r="X524" s="1282">
        <f>U516</f>
        <v>2</v>
      </c>
      <c r="Y524" s="1284">
        <f ca="1">U516*W524*X524</f>
        <v>8000</v>
      </c>
      <c r="AP524" s="1036"/>
    </row>
    <row r="525" spans="1:42" s="807" customFormat="1" ht="24" customHeight="1">
      <c r="A525" s="2187"/>
      <c r="B525" s="2193"/>
      <c r="C525" s="805" t="s">
        <v>973</v>
      </c>
      <c r="D525" s="806" t="s">
        <v>563</v>
      </c>
      <c r="E525" s="1300">
        <v>8000</v>
      </c>
      <c r="F525" s="1353">
        <v>1</v>
      </c>
      <c r="G525" s="1352">
        <f t="shared" si="189"/>
        <v>8000</v>
      </c>
      <c r="H525" s="1353">
        <v>1</v>
      </c>
      <c r="I525" s="1352">
        <f t="shared" si="190"/>
        <v>8000</v>
      </c>
      <c r="J525" s="1353">
        <v>1</v>
      </c>
      <c r="K525" s="1352">
        <f t="shared" si="191"/>
        <v>8000</v>
      </c>
      <c r="L525" s="1353">
        <v>1</v>
      </c>
      <c r="M525" s="1352">
        <f t="shared" si="192"/>
        <v>8000</v>
      </c>
      <c r="N525" s="1353">
        <v>1</v>
      </c>
      <c r="O525" s="1352">
        <f t="shared" si="193"/>
        <v>8000</v>
      </c>
      <c r="P525" s="1354">
        <f t="shared" si="194"/>
        <v>40000</v>
      </c>
      <c r="R525" s="1285" t="s">
        <v>1304</v>
      </c>
      <c r="S525" s="1286" t="s">
        <v>1429</v>
      </c>
      <c r="T525" s="236" t="s">
        <v>1430</v>
      </c>
      <c r="U525" s="1287">
        <v>75</v>
      </c>
      <c r="V525" s="1287" t="s">
        <v>1315</v>
      </c>
      <c r="W525" s="185">
        <f t="shared" ref="W525:W526" ca="1" si="195">ROUND(IFERROR(IF(V525="MDL",U525,U525*INDIRECT(V525)),0),2)</f>
        <v>75</v>
      </c>
      <c r="X525" s="1287">
        <v>2</v>
      </c>
      <c r="Y525" s="1288">
        <f ca="1">X525*W525*U517*U518</f>
        <v>1500</v>
      </c>
      <c r="AP525" s="1036"/>
    </row>
    <row r="526" spans="1:42" s="807" customFormat="1" ht="24" customHeight="1">
      <c r="A526" s="2187"/>
      <c r="B526" s="2193"/>
      <c r="C526" s="805" t="s">
        <v>564</v>
      </c>
      <c r="D526" s="806" t="s">
        <v>563</v>
      </c>
      <c r="E526" s="1300">
        <v>8000</v>
      </c>
      <c r="F526" s="1353">
        <v>1</v>
      </c>
      <c r="G526" s="1352">
        <f t="shared" si="189"/>
        <v>8000</v>
      </c>
      <c r="H526" s="1353">
        <v>1</v>
      </c>
      <c r="I526" s="1352">
        <f t="shared" si="190"/>
        <v>8000</v>
      </c>
      <c r="J526" s="1353">
        <v>1</v>
      </c>
      <c r="K526" s="1352">
        <f t="shared" si="191"/>
        <v>8000</v>
      </c>
      <c r="L526" s="1353">
        <v>1</v>
      </c>
      <c r="M526" s="1352">
        <f t="shared" si="192"/>
        <v>8000</v>
      </c>
      <c r="N526" s="1353">
        <v>1</v>
      </c>
      <c r="O526" s="1352">
        <f t="shared" si="193"/>
        <v>8000</v>
      </c>
      <c r="P526" s="1354">
        <f t="shared" si="194"/>
        <v>40000</v>
      </c>
      <c r="R526" s="1285" t="s">
        <v>1307</v>
      </c>
      <c r="S526" s="1286" t="s">
        <v>1431</v>
      </c>
      <c r="T526" s="236" t="s">
        <v>1430</v>
      </c>
      <c r="U526" s="1287">
        <v>220</v>
      </c>
      <c r="V526" s="1287" t="s">
        <v>1315</v>
      </c>
      <c r="W526" s="185">
        <f t="shared" ca="1" si="195"/>
        <v>220</v>
      </c>
      <c r="X526" s="1287">
        <f>U518</f>
        <v>1</v>
      </c>
      <c r="Y526" s="1288">
        <f ca="1">U517*X526*W526</f>
        <v>2200</v>
      </c>
      <c r="AP526" s="1036"/>
    </row>
    <row r="527" spans="1:42" s="807" customFormat="1" ht="24" customHeight="1">
      <c r="A527" s="2187"/>
      <c r="B527" s="2193"/>
      <c r="C527" s="1360" t="s">
        <v>1285</v>
      </c>
      <c r="D527" s="1314"/>
      <c r="E527" s="1315">
        <v>7.0000000000000007E-2</v>
      </c>
      <c r="F527" s="1316"/>
      <c r="G527" s="1317">
        <f>(SUM(G522:G526))*E527</f>
        <v>3920.0000000000005</v>
      </c>
      <c r="H527" s="1318"/>
      <c r="I527" s="1317">
        <f>(SUM(I522:I526))*E527</f>
        <v>3920.0000000000005</v>
      </c>
      <c r="J527" s="1316"/>
      <c r="K527" s="1317">
        <f>(SUM(K522:K526))*E527</f>
        <v>3920.0000000000005</v>
      </c>
      <c r="L527" s="1316"/>
      <c r="M527" s="1317">
        <f>(SUM(M522:M526))*E527</f>
        <v>3920.0000000000005</v>
      </c>
      <c r="N527" s="1316"/>
      <c r="O527" s="1317">
        <f>(SUM(O522:O526))*E527</f>
        <v>3920.0000000000005</v>
      </c>
      <c r="P527" s="1319">
        <f>G527+I527+K527+M527+O527</f>
        <v>19600.000000000004</v>
      </c>
      <c r="R527" s="1285" t="s">
        <v>1311</v>
      </c>
      <c r="S527" s="1286" t="s">
        <v>1436</v>
      </c>
      <c r="T527" s="236" t="s">
        <v>1428</v>
      </c>
      <c r="U527" s="1287">
        <v>1800</v>
      </c>
      <c r="V527" s="1287" t="s">
        <v>1315</v>
      </c>
      <c r="W527" s="185">
        <f ca="1">ROUND(IFERROR(IF(V527="MDL",U527,U527*INDIRECT(V527)),0),2)</f>
        <v>1800</v>
      </c>
      <c r="X527" s="1287">
        <f>U518</f>
        <v>1</v>
      </c>
      <c r="Y527" s="1288">
        <f ca="1">X527*W527</f>
        <v>1800</v>
      </c>
      <c r="AP527" s="1036"/>
    </row>
    <row r="528" spans="1:42" s="807" customFormat="1" ht="24" customHeight="1">
      <c r="A528" s="2187"/>
      <c r="B528" s="2193"/>
      <c r="C528" s="1324" t="s">
        <v>550</v>
      </c>
      <c r="D528" s="1320"/>
      <c r="E528" s="1323"/>
      <c r="F528" s="1322"/>
      <c r="G528" s="1323">
        <f>SUM(G522:G527)</f>
        <v>59920</v>
      </c>
      <c r="H528" s="1324"/>
      <c r="I528" s="1323">
        <f>SUM(I522:I527)</f>
        <v>59920</v>
      </c>
      <c r="J528" s="1324"/>
      <c r="K528" s="1323">
        <f>SUM(K522:K527)</f>
        <v>59920</v>
      </c>
      <c r="L528" s="1324"/>
      <c r="M528" s="1323">
        <f>SUM(M522:M527)</f>
        <v>59920</v>
      </c>
      <c r="N528" s="1324"/>
      <c r="O528" s="1323">
        <f>SUM(O522:O527)</f>
        <v>59920</v>
      </c>
      <c r="P528" s="1325">
        <f>SUM(P522:P527)</f>
        <v>299600</v>
      </c>
      <c r="R528" s="1285" t="s">
        <v>1309</v>
      </c>
      <c r="S528" s="1286" t="s">
        <v>1434</v>
      </c>
      <c r="T528" s="236" t="s">
        <v>1435</v>
      </c>
      <c r="U528" s="1287">
        <v>140</v>
      </c>
      <c r="V528" s="1287" t="s">
        <v>1315</v>
      </c>
      <c r="W528" s="185">
        <f ca="1">ROUND(IFERROR(IF(V528="MDL",U528,U528*INDIRECT(V528)),0),2)</f>
        <v>140</v>
      </c>
      <c r="X528" s="1287">
        <v>1</v>
      </c>
      <c r="Y528" s="1288">
        <f ca="1">U518*X528*W528</f>
        <v>140</v>
      </c>
      <c r="AP528" s="1036"/>
    </row>
    <row r="529" spans="1:42" s="807" customFormat="1" ht="24" customHeight="1" thickBot="1">
      <c r="A529" s="2188"/>
      <c r="B529" s="2194"/>
      <c r="C529" s="1355" t="s">
        <v>932</v>
      </c>
      <c r="D529" s="1356"/>
      <c r="E529" s="1357"/>
      <c r="F529" s="1358"/>
      <c r="G529" s="1359">
        <f>G528/P528</f>
        <v>0.2</v>
      </c>
      <c r="H529" s="1358"/>
      <c r="I529" s="1359">
        <f>I528/P528</f>
        <v>0.2</v>
      </c>
      <c r="J529" s="1358"/>
      <c r="K529" s="1359">
        <f>K528/P528</f>
        <v>0.2</v>
      </c>
      <c r="L529" s="1358"/>
      <c r="M529" s="1359">
        <f>M528/P528</f>
        <v>0.2</v>
      </c>
      <c r="N529" s="1358"/>
      <c r="O529" s="1359">
        <f>O528/P528</f>
        <v>0.2</v>
      </c>
      <c r="P529" s="1311"/>
      <c r="R529" s="1285"/>
      <c r="S529" s="185">
        <v>0</v>
      </c>
      <c r="T529" s="185">
        <v>0</v>
      </c>
      <c r="U529" s="1287">
        <v>0</v>
      </c>
      <c r="V529" s="1287">
        <v>0</v>
      </c>
      <c r="W529" s="185"/>
      <c r="X529" s="1287" t="str">
        <f>IFERROR(VLOOKUP(AG543,R527:T527,3,0),"")</f>
        <v/>
      </c>
      <c r="Y529" s="1293">
        <f ca="1">SUM(Y524:Y528)</f>
        <v>13640</v>
      </c>
      <c r="AP529" s="1036"/>
    </row>
    <row r="530" spans="1:42" ht="24" customHeight="1" thickBot="1">
      <c r="A530" s="2128" t="s">
        <v>1272</v>
      </c>
      <c r="B530" s="2132"/>
      <c r="C530" s="2154" t="s">
        <v>545</v>
      </c>
      <c r="D530" s="2196" t="s">
        <v>1273</v>
      </c>
      <c r="E530" s="2180" t="s">
        <v>1274</v>
      </c>
      <c r="F530" s="2121">
        <v>2021</v>
      </c>
      <c r="G530" s="2122"/>
      <c r="H530" s="2121">
        <v>2022</v>
      </c>
      <c r="I530" s="2122"/>
      <c r="J530" s="2121">
        <v>2023</v>
      </c>
      <c r="K530" s="2122"/>
      <c r="L530" s="2121">
        <v>2024</v>
      </c>
      <c r="M530" s="2122"/>
      <c r="N530" s="2121">
        <v>2025</v>
      </c>
      <c r="O530" s="2122"/>
      <c r="P530" s="2123" t="s">
        <v>546</v>
      </c>
      <c r="Q530" s="2123" t="s">
        <v>1356</v>
      </c>
      <c r="R530" s="1295" t="s">
        <v>1314</v>
      </c>
      <c r="S530" s="1296" t="s">
        <v>621</v>
      </c>
      <c r="T530" s="1297"/>
      <c r="U530" s="1298">
        <v>7.0000000000000007E-2</v>
      </c>
      <c r="V530" s="1297" t="s">
        <v>1315</v>
      </c>
      <c r="W530" s="1297"/>
      <c r="X530" s="1297"/>
      <c r="Y530" s="1299">
        <f ca="1">ROUND(Y529*U530,2)</f>
        <v>954.8</v>
      </c>
    </row>
    <row r="531" spans="1:42" ht="24" customHeight="1" thickBot="1">
      <c r="A531" s="2130"/>
      <c r="B531" s="2133"/>
      <c r="C531" s="2195"/>
      <c r="D531" s="2197"/>
      <c r="E531" s="2181"/>
      <c r="F531" s="1219" t="s">
        <v>1275</v>
      </c>
      <c r="G531" s="1220" t="s">
        <v>1276</v>
      </c>
      <c r="H531" s="1219" t="s">
        <v>1275</v>
      </c>
      <c r="I531" s="1220" t="s">
        <v>1276</v>
      </c>
      <c r="J531" s="1219" t="s">
        <v>1275</v>
      </c>
      <c r="K531" s="1220" t="s">
        <v>1276</v>
      </c>
      <c r="L531" s="1219" t="s">
        <v>1275</v>
      </c>
      <c r="M531" s="1220" t="s">
        <v>1276</v>
      </c>
      <c r="N531" s="1219" t="s">
        <v>1275</v>
      </c>
      <c r="O531" s="1220" t="s">
        <v>1276</v>
      </c>
      <c r="P531" s="2124"/>
      <c r="Q531" s="2124"/>
      <c r="R531" s="1301" t="s">
        <v>1317</v>
      </c>
      <c r="S531" s="1302"/>
      <c r="T531" s="1302"/>
      <c r="U531" s="1302"/>
      <c r="V531" s="1302"/>
      <c r="W531" s="1302"/>
      <c r="X531" s="1302"/>
      <c r="Y531" s="1303">
        <f ca="1">Y530+Y529</f>
        <v>14594.8</v>
      </c>
    </row>
    <row r="532" spans="1:42" s="807" customFormat="1" ht="24" customHeight="1">
      <c r="A532" s="2187" t="s">
        <v>935</v>
      </c>
      <c r="B532" s="2174" t="s">
        <v>936</v>
      </c>
      <c r="C532" s="265" t="s">
        <v>1357</v>
      </c>
      <c r="D532" s="1375" t="s">
        <v>1358</v>
      </c>
      <c r="E532" s="1376">
        <v>0</v>
      </c>
      <c r="F532" s="1353">
        <v>0</v>
      </c>
      <c r="G532" s="1352">
        <f>F532*E532</f>
        <v>0</v>
      </c>
      <c r="H532" s="1353">
        <v>0</v>
      </c>
      <c r="I532" s="1352">
        <f>H532*E532</f>
        <v>0</v>
      </c>
      <c r="J532" s="1353">
        <v>0</v>
      </c>
      <c r="K532" s="1352">
        <f>J532*E532</f>
        <v>0</v>
      </c>
      <c r="L532" s="1353">
        <v>0</v>
      </c>
      <c r="M532" s="1352">
        <f>L532*E532</f>
        <v>0</v>
      </c>
      <c r="N532" s="1353">
        <v>0</v>
      </c>
      <c r="O532" s="1352">
        <f>N532*E532</f>
        <v>0</v>
      </c>
      <c r="P532" s="1354">
        <f t="shared" ref="P532:P546" si="196">G532+I532+K532+M532+O532</f>
        <v>0</v>
      </c>
      <c r="Q532" s="1354">
        <f>F532+H532+J532+L532+N532</f>
        <v>0</v>
      </c>
      <c r="AP532" s="1036"/>
    </row>
    <row r="533" spans="1:42" s="807" customFormat="1" ht="24" customHeight="1">
      <c r="A533" s="2187"/>
      <c r="B533" s="2174"/>
      <c r="C533" s="265" t="s">
        <v>1032</v>
      </c>
      <c r="D533" s="1037" t="s">
        <v>1358</v>
      </c>
      <c r="E533" s="1376">
        <f>2500*20</f>
        <v>50000</v>
      </c>
      <c r="F533" s="1353">
        <v>0</v>
      </c>
      <c r="G533" s="1352">
        <f>F533*E533</f>
        <v>0</v>
      </c>
      <c r="H533" s="1353">
        <v>6</v>
      </c>
      <c r="I533" s="1352">
        <f>H533*E533</f>
        <v>300000</v>
      </c>
      <c r="J533" s="1353">
        <v>6</v>
      </c>
      <c r="K533" s="1352">
        <f>J533*E533</f>
        <v>300000</v>
      </c>
      <c r="L533" s="1353">
        <v>6</v>
      </c>
      <c r="M533" s="1352">
        <f>L533*E533</f>
        <v>300000</v>
      </c>
      <c r="N533" s="1353">
        <v>6</v>
      </c>
      <c r="O533" s="1352">
        <f>N533*E533</f>
        <v>300000</v>
      </c>
      <c r="P533" s="1354">
        <f t="shared" si="196"/>
        <v>1200000</v>
      </c>
      <c r="Q533" s="1354">
        <f t="shared" ref="Q533:Q546" si="197">F533+H533+J533+L533+N533</f>
        <v>24</v>
      </c>
      <c r="AP533" s="1036"/>
    </row>
    <row r="534" spans="1:42" s="807" customFormat="1" ht="24" customHeight="1">
      <c r="A534" s="2187"/>
      <c r="B534" s="2174"/>
      <c r="C534" s="1377" t="s">
        <v>567</v>
      </c>
      <c r="D534" s="1037" t="s">
        <v>1358</v>
      </c>
      <c r="E534" s="1376">
        <f>35000*20</f>
        <v>700000</v>
      </c>
      <c r="F534" s="1353">
        <v>0</v>
      </c>
      <c r="G534" s="1352">
        <f t="shared" ref="G534:G546" si="198">F534*E534</f>
        <v>0</v>
      </c>
      <c r="H534" s="1353">
        <v>0</v>
      </c>
      <c r="I534" s="1352">
        <f t="shared" ref="I534:I546" si="199">H534*E534</f>
        <v>0</v>
      </c>
      <c r="J534" s="1353">
        <v>1</v>
      </c>
      <c r="K534" s="1352">
        <f t="shared" ref="K534:K546" si="200">J534*E534</f>
        <v>700000</v>
      </c>
      <c r="L534" s="1353">
        <v>0</v>
      </c>
      <c r="M534" s="1352">
        <f t="shared" ref="M534:M546" si="201">L534*E534</f>
        <v>0</v>
      </c>
      <c r="N534" s="1353">
        <v>0</v>
      </c>
      <c r="O534" s="1352">
        <f t="shared" ref="O534:O546" si="202">N534*E534</f>
        <v>0</v>
      </c>
      <c r="P534" s="1354">
        <f t="shared" si="196"/>
        <v>700000</v>
      </c>
      <c r="Q534" s="1354">
        <f t="shared" si="197"/>
        <v>1</v>
      </c>
      <c r="AP534" s="1036"/>
    </row>
    <row r="535" spans="1:42" s="807" customFormat="1" ht="24" customHeight="1">
      <c r="A535" s="2187"/>
      <c r="B535" s="2174"/>
      <c r="C535" s="266" t="s">
        <v>568</v>
      </c>
      <c r="D535" s="1037" t="s">
        <v>1358</v>
      </c>
      <c r="E535" s="1376">
        <f>2000*20</f>
        <v>40000</v>
      </c>
      <c r="F535" s="1353">
        <v>1</v>
      </c>
      <c r="G535" s="1352">
        <f t="shared" si="198"/>
        <v>40000</v>
      </c>
      <c r="H535" s="1353">
        <v>0</v>
      </c>
      <c r="I535" s="1352">
        <f>H535*E535</f>
        <v>0</v>
      </c>
      <c r="J535" s="1353">
        <v>1</v>
      </c>
      <c r="K535" s="1352">
        <f t="shared" si="200"/>
        <v>40000</v>
      </c>
      <c r="L535" s="1353">
        <v>0</v>
      </c>
      <c r="M535" s="1352">
        <f t="shared" si="201"/>
        <v>0</v>
      </c>
      <c r="N535" s="1353">
        <v>1</v>
      </c>
      <c r="O535" s="1352">
        <f t="shared" si="202"/>
        <v>40000</v>
      </c>
      <c r="P535" s="1354">
        <f t="shared" si="196"/>
        <v>120000</v>
      </c>
      <c r="Q535" s="1354">
        <f t="shared" si="197"/>
        <v>3</v>
      </c>
      <c r="AP535" s="1036"/>
    </row>
    <row r="536" spans="1:42" s="807" customFormat="1" ht="24" customHeight="1">
      <c r="A536" s="2187"/>
      <c r="B536" s="2174"/>
      <c r="C536" s="266" t="s">
        <v>569</v>
      </c>
      <c r="D536" s="1037" t="s">
        <v>1358</v>
      </c>
      <c r="E536" s="675">
        <f>6500*20</f>
        <v>130000</v>
      </c>
      <c r="F536" s="1353">
        <v>0</v>
      </c>
      <c r="G536" s="1352">
        <f t="shared" si="198"/>
        <v>0</v>
      </c>
      <c r="H536" s="1353">
        <v>0</v>
      </c>
      <c r="I536" s="1352">
        <f t="shared" si="199"/>
        <v>0</v>
      </c>
      <c r="J536" s="1353">
        <v>0</v>
      </c>
      <c r="K536" s="1352">
        <f t="shared" si="200"/>
        <v>0</v>
      </c>
      <c r="L536" s="1353">
        <v>0</v>
      </c>
      <c r="M536" s="1352">
        <f t="shared" si="201"/>
        <v>0</v>
      </c>
      <c r="N536" s="1353">
        <v>1</v>
      </c>
      <c r="O536" s="1352">
        <f t="shared" si="202"/>
        <v>130000</v>
      </c>
      <c r="P536" s="1354">
        <f t="shared" si="196"/>
        <v>130000</v>
      </c>
      <c r="Q536" s="1354">
        <f t="shared" si="197"/>
        <v>1</v>
      </c>
      <c r="AP536" s="1036"/>
    </row>
    <row r="537" spans="1:42" s="807" customFormat="1" ht="24" customHeight="1">
      <c r="A537" s="2187"/>
      <c r="B537" s="2174"/>
      <c r="C537" s="265" t="s">
        <v>570</v>
      </c>
      <c r="D537" s="1037" t="s">
        <v>1358</v>
      </c>
      <c r="E537" s="676">
        <f>1000*20</f>
        <v>20000</v>
      </c>
      <c r="F537" s="1353">
        <v>0</v>
      </c>
      <c r="G537" s="1352">
        <f t="shared" si="198"/>
        <v>0</v>
      </c>
      <c r="H537" s="1353">
        <v>0</v>
      </c>
      <c r="I537" s="1352">
        <f t="shared" si="199"/>
        <v>0</v>
      </c>
      <c r="J537" s="1353">
        <v>1</v>
      </c>
      <c r="K537" s="1352">
        <f t="shared" si="200"/>
        <v>20000</v>
      </c>
      <c r="L537" s="1353">
        <v>0</v>
      </c>
      <c r="M537" s="1352">
        <f t="shared" si="201"/>
        <v>0</v>
      </c>
      <c r="N537" s="1353">
        <v>2</v>
      </c>
      <c r="O537" s="1352">
        <f t="shared" si="202"/>
        <v>40000</v>
      </c>
      <c r="P537" s="1354">
        <f t="shared" si="196"/>
        <v>60000</v>
      </c>
      <c r="Q537" s="1354">
        <f t="shared" si="197"/>
        <v>3</v>
      </c>
      <c r="AP537" s="1036"/>
    </row>
    <row r="538" spans="1:42" s="807" customFormat="1" ht="24" customHeight="1">
      <c r="A538" s="2187"/>
      <c r="B538" s="2174"/>
      <c r="C538" s="646" t="s">
        <v>571</v>
      </c>
      <c r="D538" s="1037" t="s">
        <v>1358</v>
      </c>
      <c r="E538" s="675">
        <f>500*20</f>
        <v>10000</v>
      </c>
      <c r="F538" s="1353">
        <v>0</v>
      </c>
      <c r="G538" s="1352">
        <f t="shared" si="198"/>
        <v>0</v>
      </c>
      <c r="H538" s="1353">
        <v>0</v>
      </c>
      <c r="I538" s="1352">
        <f t="shared" si="199"/>
        <v>0</v>
      </c>
      <c r="J538" s="1353">
        <v>0</v>
      </c>
      <c r="K538" s="1352">
        <f t="shared" si="200"/>
        <v>0</v>
      </c>
      <c r="L538" s="1353">
        <v>0</v>
      </c>
      <c r="M538" s="1352">
        <f t="shared" si="201"/>
        <v>0</v>
      </c>
      <c r="N538" s="1353">
        <v>0</v>
      </c>
      <c r="O538" s="1352">
        <f t="shared" si="202"/>
        <v>0</v>
      </c>
      <c r="P538" s="1354">
        <f t="shared" si="196"/>
        <v>0</v>
      </c>
      <c r="Q538" s="1354">
        <f t="shared" si="197"/>
        <v>0</v>
      </c>
      <c r="AP538" s="1036"/>
    </row>
    <row r="539" spans="1:42" s="807" customFormat="1" ht="24" customHeight="1">
      <c r="A539" s="2187"/>
      <c r="B539" s="2174"/>
      <c r="C539" s="265" t="s">
        <v>572</v>
      </c>
      <c r="D539" s="1037" t="s">
        <v>1358</v>
      </c>
      <c r="E539" s="675">
        <f>600*20</f>
        <v>12000</v>
      </c>
      <c r="F539" s="1353">
        <v>0</v>
      </c>
      <c r="G539" s="1352">
        <f t="shared" si="198"/>
        <v>0</v>
      </c>
      <c r="H539" s="1353">
        <v>0</v>
      </c>
      <c r="I539" s="1352">
        <f t="shared" si="199"/>
        <v>0</v>
      </c>
      <c r="J539" s="1353">
        <v>1</v>
      </c>
      <c r="K539" s="1352">
        <f t="shared" si="200"/>
        <v>12000</v>
      </c>
      <c r="L539" s="1353">
        <v>0</v>
      </c>
      <c r="M539" s="1352">
        <f t="shared" si="201"/>
        <v>0</v>
      </c>
      <c r="N539" s="1353">
        <v>0</v>
      </c>
      <c r="O539" s="1352">
        <f t="shared" si="202"/>
        <v>0</v>
      </c>
      <c r="P539" s="1354">
        <f t="shared" si="196"/>
        <v>12000</v>
      </c>
      <c r="Q539" s="1354">
        <f t="shared" si="197"/>
        <v>1</v>
      </c>
      <c r="AP539" s="1036"/>
    </row>
    <row r="540" spans="1:42" s="807" customFormat="1" ht="24" customHeight="1">
      <c r="A540" s="2187"/>
      <c r="B540" s="2174"/>
      <c r="C540" s="267" t="s">
        <v>573</v>
      </c>
      <c r="D540" s="1037" t="s">
        <v>1358</v>
      </c>
      <c r="E540" s="675">
        <f>2700*20</f>
        <v>54000</v>
      </c>
      <c r="F540" s="1353">
        <v>0</v>
      </c>
      <c r="G540" s="1352">
        <f t="shared" si="198"/>
        <v>0</v>
      </c>
      <c r="H540" s="1353">
        <v>0</v>
      </c>
      <c r="I540" s="1352">
        <f t="shared" si="199"/>
        <v>0</v>
      </c>
      <c r="J540" s="1353">
        <v>1</v>
      </c>
      <c r="K540" s="1352">
        <f t="shared" si="200"/>
        <v>54000</v>
      </c>
      <c r="L540" s="1353">
        <v>0</v>
      </c>
      <c r="M540" s="1352">
        <f t="shared" si="201"/>
        <v>0</v>
      </c>
      <c r="N540" s="1353">
        <v>0</v>
      </c>
      <c r="O540" s="1352">
        <f t="shared" si="202"/>
        <v>0</v>
      </c>
      <c r="P540" s="1354">
        <f t="shared" si="196"/>
        <v>54000</v>
      </c>
      <c r="Q540" s="1354">
        <f t="shared" si="197"/>
        <v>1</v>
      </c>
      <c r="AP540" s="1036"/>
    </row>
    <row r="541" spans="1:42" s="807" customFormat="1" ht="24" customHeight="1">
      <c r="A541" s="2187"/>
      <c r="B541" s="2174"/>
      <c r="C541" s="268" t="s">
        <v>574</v>
      </c>
      <c r="D541" s="1037" t="s">
        <v>1358</v>
      </c>
      <c r="E541" s="675">
        <f>275*20</f>
        <v>5500</v>
      </c>
      <c r="F541" s="1353">
        <v>0</v>
      </c>
      <c r="G541" s="1352">
        <f t="shared" si="198"/>
        <v>0</v>
      </c>
      <c r="H541" s="1353">
        <v>0</v>
      </c>
      <c r="I541" s="1352">
        <f t="shared" si="199"/>
        <v>0</v>
      </c>
      <c r="J541" s="1353">
        <v>5</v>
      </c>
      <c r="K541" s="1352">
        <f t="shared" si="200"/>
        <v>27500</v>
      </c>
      <c r="L541" s="1353">
        <v>0</v>
      </c>
      <c r="M541" s="1352">
        <f t="shared" si="201"/>
        <v>0</v>
      </c>
      <c r="N541" s="1353">
        <v>10</v>
      </c>
      <c r="O541" s="1352">
        <f t="shared" si="202"/>
        <v>55000</v>
      </c>
      <c r="P541" s="1354">
        <f t="shared" si="196"/>
        <v>82500</v>
      </c>
      <c r="Q541" s="1354">
        <f t="shared" si="197"/>
        <v>15</v>
      </c>
      <c r="AP541" s="1036"/>
    </row>
    <row r="542" spans="1:42" s="807" customFormat="1" ht="24" customHeight="1">
      <c r="A542" s="2187"/>
      <c r="B542" s="2174"/>
      <c r="C542" s="268" t="s">
        <v>575</v>
      </c>
      <c r="D542" s="1037" t="s">
        <v>1358</v>
      </c>
      <c r="E542" s="675">
        <f t="shared" ref="E542:E546" si="203">275*20</f>
        <v>5500</v>
      </c>
      <c r="F542" s="1353">
        <v>0</v>
      </c>
      <c r="G542" s="1352">
        <f t="shared" si="198"/>
        <v>0</v>
      </c>
      <c r="H542" s="1353">
        <v>0</v>
      </c>
      <c r="I542" s="1352">
        <f t="shared" si="199"/>
        <v>0</v>
      </c>
      <c r="J542" s="1353">
        <v>5</v>
      </c>
      <c r="K542" s="1352">
        <f t="shared" si="200"/>
        <v>27500</v>
      </c>
      <c r="L542" s="1353">
        <v>0</v>
      </c>
      <c r="M542" s="1352">
        <f t="shared" si="201"/>
        <v>0</v>
      </c>
      <c r="N542" s="1353">
        <v>10</v>
      </c>
      <c r="O542" s="1352">
        <f t="shared" si="202"/>
        <v>55000</v>
      </c>
      <c r="P542" s="1354">
        <f t="shared" si="196"/>
        <v>82500</v>
      </c>
      <c r="Q542" s="1354">
        <f t="shared" si="197"/>
        <v>15</v>
      </c>
      <c r="AP542" s="1036"/>
    </row>
    <row r="543" spans="1:42" s="807" customFormat="1" ht="24" customHeight="1">
      <c r="A543" s="2187"/>
      <c r="B543" s="2174"/>
      <c r="C543" s="268" t="s">
        <v>576</v>
      </c>
      <c r="D543" s="1037" t="s">
        <v>1358</v>
      </c>
      <c r="E543" s="675">
        <f t="shared" si="203"/>
        <v>5500</v>
      </c>
      <c r="F543" s="1353">
        <v>0</v>
      </c>
      <c r="G543" s="1352">
        <f t="shared" si="198"/>
        <v>0</v>
      </c>
      <c r="H543" s="1353">
        <v>0</v>
      </c>
      <c r="I543" s="1352">
        <f t="shared" si="199"/>
        <v>0</v>
      </c>
      <c r="J543" s="1353">
        <v>5</v>
      </c>
      <c r="K543" s="1352">
        <f t="shared" si="200"/>
        <v>27500</v>
      </c>
      <c r="L543" s="1353">
        <v>0</v>
      </c>
      <c r="M543" s="1352">
        <f t="shared" si="201"/>
        <v>0</v>
      </c>
      <c r="N543" s="1353">
        <v>10</v>
      </c>
      <c r="O543" s="1352">
        <f t="shared" si="202"/>
        <v>55000</v>
      </c>
      <c r="P543" s="1354">
        <f t="shared" si="196"/>
        <v>82500</v>
      </c>
      <c r="Q543" s="1354">
        <f t="shared" si="197"/>
        <v>15</v>
      </c>
      <c r="AP543" s="1036"/>
    </row>
    <row r="544" spans="1:42" s="807" customFormat="1" ht="24" customHeight="1">
      <c r="A544" s="2187"/>
      <c r="B544" s="2174"/>
      <c r="C544" s="268" t="s">
        <v>577</v>
      </c>
      <c r="D544" s="1037" t="s">
        <v>1358</v>
      </c>
      <c r="E544" s="675">
        <f t="shared" si="203"/>
        <v>5500</v>
      </c>
      <c r="F544" s="1353">
        <v>0</v>
      </c>
      <c r="G544" s="1352">
        <f t="shared" si="198"/>
        <v>0</v>
      </c>
      <c r="H544" s="1353">
        <v>0</v>
      </c>
      <c r="I544" s="1352">
        <f t="shared" si="199"/>
        <v>0</v>
      </c>
      <c r="J544" s="1353">
        <v>5</v>
      </c>
      <c r="K544" s="1352">
        <f t="shared" si="200"/>
        <v>27500</v>
      </c>
      <c r="L544" s="1353">
        <v>0</v>
      </c>
      <c r="M544" s="1352">
        <f t="shared" si="201"/>
        <v>0</v>
      </c>
      <c r="N544" s="1353">
        <v>10</v>
      </c>
      <c r="O544" s="1352">
        <f t="shared" si="202"/>
        <v>55000</v>
      </c>
      <c r="P544" s="1354">
        <f t="shared" si="196"/>
        <v>82500</v>
      </c>
      <c r="Q544" s="1354">
        <f t="shared" si="197"/>
        <v>15</v>
      </c>
      <c r="AP544" s="1036"/>
    </row>
    <row r="545" spans="1:42" s="807" customFormat="1" ht="24" customHeight="1">
      <c r="A545" s="2187"/>
      <c r="B545" s="2174"/>
      <c r="C545" s="268" t="s">
        <v>578</v>
      </c>
      <c r="D545" s="1037" t="s">
        <v>1358</v>
      </c>
      <c r="E545" s="675">
        <f t="shared" si="203"/>
        <v>5500</v>
      </c>
      <c r="F545" s="1353">
        <v>0</v>
      </c>
      <c r="G545" s="1352">
        <f t="shared" si="198"/>
        <v>0</v>
      </c>
      <c r="H545" s="1353">
        <v>0</v>
      </c>
      <c r="I545" s="1352">
        <f t="shared" si="199"/>
        <v>0</v>
      </c>
      <c r="J545" s="1353">
        <v>5</v>
      </c>
      <c r="K545" s="1352">
        <f t="shared" si="200"/>
        <v>27500</v>
      </c>
      <c r="L545" s="1353">
        <v>0</v>
      </c>
      <c r="M545" s="1352">
        <f t="shared" si="201"/>
        <v>0</v>
      </c>
      <c r="N545" s="1353">
        <v>10</v>
      </c>
      <c r="O545" s="1352">
        <f t="shared" si="202"/>
        <v>55000</v>
      </c>
      <c r="P545" s="1354">
        <f t="shared" si="196"/>
        <v>82500</v>
      </c>
      <c r="Q545" s="1354">
        <f t="shared" si="197"/>
        <v>15</v>
      </c>
      <c r="AP545" s="1036"/>
    </row>
    <row r="546" spans="1:42" s="807" customFormat="1" ht="24" customHeight="1">
      <c r="A546" s="2187"/>
      <c r="B546" s="2174"/>
      <c r="C546" s="268" t="s">
        <v>579</v>
      </c>
      <c r="D546" s="1037" t="s">
        <v>1358</v>
      </c>
      <c r="E546" s="675">
        <f t="shared" si="203"/>
        <v>5500</v>
      </c>
      <c r="F546" s="1353">
        <v>0</v>
      </c>
      <c r="G546" s="1352">
        <f t="shared" si="198"/>
        <v>0</v>
      </c>
      <c r="H546" s="1353">
        <v>0</v>
      </c>
      <c r="I546" s="1352">
        <f t="shared" si="199"/>
        <v>0</v>
      </c>
      <c r="J546" s="1353">
        <v>2</v>
      </c>
      <c r="K546" s="1352">
        <f t="shared" si="200"/>
        <v>11000</v>
      </c>
      <c r="L546" s="1353">
        <v>0</v>
      </c>
      <c r="M546" s="1352">
        <f t="shared" si="201"/>
        <v>0</v>
      </c>
      <c r="N546" s="1353">
        <v>5</v>
      </c>
      <c r="O546" s="1352">
        <f t="shared" si="202"/>
        <v>27500</v>
      </c>
      <c r="P546" s="1354">
        <f t="shared" si="196"/>
        <v>38500</v>
      </c>
      <c r="Q546" s="1354">
        <f t="shared" si="197"/>
        <v>7</v>
      </c>
      <c r="AP546" s="1036"/>
    </row>
    <row r="547" spans="1:42" s="807" customFormat="1" ht="24" customHeight="1">
      <c r="A547" s="2187"/>
      <c r="B547" s="2174"/>
      <c r="C547" s="1325" t="s">
        <v>550</v>
      </c>
      <c r="D547" s="1378"/>
      <c r="E547" s="1323"/>
      <c r="F547" s="1322"/>
      <c r="G547" s="1323">
        <f>SUM(G532:G546)</f>
        <v>40000</v>
      </c>
      <c r="H547" s="1324"/>
      <c r="I547" s="1323">
        <f>SUM(I532:I546)</f>
        <v>300000</v>
      </c>
      <c r="J547" s="1324"/>
      <c r="K547" s="1323">
        <f>SUM(K532:K546)</f>
        <v>1274500</v>
      </c>
      <c r="L547" s="1324"/>
      <c r="M547" s="1323">
        <f>SUM(M532:M546)</f>
        <v>300000</v>
      </c>
      <c r="N547" s="1324"/>
      <c r="O547" s="1323">
        <f>SUM(O532:O546)</f>
        <v>812500</v>
      </c>
      <c r="P547" s="1325">
        <f>SUM(P532:P546)</f>
        <v>2727000</v>
      </c>
      <c r="Q547" s="1325"/>
      <c r="AP547" s="1036"/>
    </row>
    <row r="548" spans="1:42" s="807" customFormat="1" ht="24" customHeight="1" thickBot="1">
      <c r="A548" s="2188"/>
      <c r="B548" s="2175"/>
      <c r="C548" s="1379" t="s">
        <v>932</v>
      </c>
      <c r="D548" s="1380"/>
      <c r="E548" s="1357"/>
      <c r="F548" s="1358"/>
      <c r="G548" s="1359">
        <f>G547/P547</f>
        <v>1.4668133480014669E-2</v>
      </c>
      <c r="H548" s="1358"/>
      <c r="I548" s="1359">
        <f>I547/P547</f>
        <v>0.11001100110011001</v>
      </c>
      <c r="J548" s="1358"/>
      <c r="K548" s="1359">
        <f>K547/P547</f>
        <v>0.46736340300696738</v>
      </c>
      <c r="L548" s="1358"/>
      <c r="M548" s="1359">
        <f>M547/P547</f>
        <v>0.11001100110011001</v>
      </c>
      <c r="N548" s="1358"/>
      <c r="O548" s="1359">
        <f>O547/P547</f>
        <v>0.29794646131279795</v>
      </c>
      <c r="AP548" s="1036"/>
    </row>
    <row r="549" spans="1:42" s="802" customFormat="1" ht="24" customHeight="1">
      <c r="A549" s="2211" t="s">
        <v>1272</v>
      </c>
      <c r="B549" s="2212"/>
      <c r="C549" s="2215" t="s">
        <v>545</v>
      </c>
      <c r="D549" s="2217" t="s">
        <v>1273</v>
      </c>
      <c r="E549" s="2219" t="s">
        <v>1274</v>
      </c>
      <c r="F549" s="2221">
        <v>2021</v>
      </c>
      <c r="G549" s="2222"/>
      <c r="H549" s="2221">
        <v>2022</v>
      </c>
      <c r="I549" s="2222"/>
      <c r="J549" s="2221">
        <v>2023</v>
      </c>
      <c r="K549" s="2222"/>
      <c r="L549" s="2221">
        <v>2024</v>
      </c>
      <c r="M549" s="2222"/>
      <c r="N549" s="2221">
        <v>2025</v>
      </c>
      <c r="O549" s="2222"/>
      <c r="P549" s="2198" t="s">
        <v>546</v>
      </c>
      <c r="Q549" s="2198" t="s">
        <v>1356</v>
      </c>
    </row>
    <row r="550" spans="1:42" s="802" customFormat="1" ht="24" customHeight="1" thickBot="1">
      <c r="A550" s="2213"/>
      <c r="B550" s="2214"/>
      <c r="C550" s="2216"/>
      <c r="D550" s="2218"/>
      <c r="E550" s="2220"/>
      <c r="F550" s="1381" t="s">
        <v>1275</v>
      </c>
      <c r="G550" s="1382" t="s">
        <v>1276</v>
      </c>
      <c r="H550" s="1381" t="s">
        <v>1275</v>
      </c>
      <c r="I550" s="1382" t="s">
        <v>1276</v>
      </c>
      <c r="J550" s="1381" t="s">
        <v>1275</v>
      </c>
      <c r="K550" s="1382" t="s">
        <v>1276</v>
      </c>
      <c r="L550" s="1381" t="s">
        <v>1275</v>
      </c>
      <c r="M550" s="1382" t="s">
        <v>1276</v>
      </c>
      <c r="N550" s="1381" t="s">
        <v>1275</v>
      </c>
      <c r="O550" s="1382" t="s">
        <v>1276</v>
      </c>
      <c r="P550" s="2199"/>
      <c r="Q550" s="2199"/>
    </row>
    <row r="551" spans="1:42" s="1388" customFormat="1" ht="24" customHeight="1">
      <c r="A551" s="2200" t="s">
        <v>937</v>
      </c>
      <c r="B551" s="2203" t="s">
        <v>580</v>
      </c>
      <c r="C551" s="2206" t="s">
        <v>1359</v>
      </c>
      <c r="D551" s="1383" t="s">
        <v>1360</v>
      </c>
      <c r="E551" s="1384">
        <v>1000</v>
      </c>
      <c r="F551" s="1385">
        <v>3</v>
      </c>
      <c r="G551" s="1386">
        <f>F551*E551</f>
        <v>3000</v>
      </c>
      <c r="H551" s="1385">
        <v>3</v>
      </c>
      <c r="I551" s="1386">
        <f t="shared" ref="I551:I553" si="204">H551*E551</f>
        <v>3000</v>
      </c>
      <c r="J551" s="1385">
        <v>3</v>
      </c>
      <c r="K551" s="1386">
        <f t="shared" ref="K551:K553" si="205">J551*E551</f>
        <v>3000</v>
      </c>
      <c r="L551" s="1385">
        <v>3</v>
      </c>
      <c r="M551" s="1386">
        <f t="shared" ref="M551:M553" si="206">L551*E551</f>
        <v>3000</v>
      </c>
      <c r="N551" s="1385">
        <v>3</v>
      </c>
      <c r="O551" s="1386">
        <f t="shared" ref="O551:O553" si="207">N551*E551</f>
        <v>3000</v>
      </c>
      <c r="P551" s="1387">
        <f t="shared" ref="P551:P553" si="208">G551+I551+K551+M551+O551</f>
        <v>15000</v>
      </c>
      <c r="Q551" s="1387">
        <f t="shared" ref="Q551:Q553" si="209">F551+H551+J551+L551+N551</f>
        <v>15</v>
      </c>
      <c r="AP551" s="1389"/>
    </row>
    <row r="552" spans="1:42" s="1388" customFormat="1" ht="24" customHeight="1">
      <c r="A552" s="2201"/>
      <c r="B552" s="2204"/>
      <c r="C552" s="2207"/>
      <c r="D552" s="1383" t="s">
        <v>582</v>
      </c>
      <c r="E552" s="1384">
        <v>5700</v>
      </c>
      <c r="F552" s="1385">
        <v>3</v>
      </c>
      <c r="G552" s="1386">
        <f>F552*E552</f>
        <v>17100</v>
      </c>
      <c r="H552" s="1385">
        <v>3</v>
      </c>
      <c r="I552" s="1386">
        <f t="shared" si="204"/>
        <v>17100</v>
      </c>
      <c r="J552" s="1385">
        <v>3</v>
      </c>
      <c r="K552" s="1386">
        <f t="shared" si="205"/>
        <v>17100</v>
      </c>
      <c r="L552" s="1385">
        <v>3</v>
      </c>
      <c r="M552" s="1386">
        <f t="shared" si="206"/>
        <v>17100</v>
      </c>
      <c r="N552" s="1385">
        <v>3</v>
      </c>
      <c r="O552" s="1386">
        <f t="shared" si="207"/>
        <v>17100</v>
      </c>
      <c r="P552" s="1387">
        <f t="shared" si="208"/>
        <v>85500</v>
      </c>
      <c r="Q552" s="1387">
        <f t="shared" si="209"/>
        <v>15</v>
      </c>
      <c r="AP552" s="1389"/>
    </row>
    <row r="553" spans="1:42" s="1388" customFormat="1" ht="24" customHeight="1">
      <c r="A553" s="2201"/>
      <c r="B553" s="2204"/>
      <c r="C553" s="2208"/>
      <c r="D553" s="1383" t="s">
        <v>581</v>
      </c>
      <c r="E553" s="1384">
        <v>40000</v>
      </c>
      <c r="F553" s="1385">
        <v>1</v>
      </c>
      <c r="G553" s="1386">
        <f t="shared" ref="G553" si="210">F553*E553</f>
        <v>40000</v>
      </c>
      <c r="H553" s="1385">
        <v>1</v>
      </c>
      <c r="I553" s="1386">
        <f t="shared" si="204"/>
        <v>40000</v>
      </c>
      <c r="J553" s="1385">
        <v>1</v>
      </c>
      <c r="K553" s="1386">
        <f t="shared" si="205"/>
        <v>40000</v>
      </c>
      <c r="L553" s="1385">
        <v>1</v>
      </c>
      <c r="M553" s="1386">
        <f t="shared" si="206"/>
        <v>40000</v>
      </c>
      <c r="N553" s="1385">
        <v>1</v>
      </c>
      <c r="O553" s="1386">
        <f t="shared" si="207"/>
        <v>40000</v>
      </c>
      <c r="P553" s="1387">
        <f t="shared" si="208"/>
        <v>200000</v>
      </c>
      <c r="Q553" s="1387">
        <f t="shared" si="209"/>
        <v>5</v>
      </c>
      <c r="AP553" s="1389"/>
    </row>
    <row r="554" spans="1:42" s="1388" customFormat="1" ht="24" customHeight="1" thickBot="1">
      <c r="A554" s="2201"/>
      <c r="B554" s="2204"/>
      <c r="C554" s="1390" t="s">
        <v>1361</v>
      </c>
      <c r="D554" s="1391"/>
      <c r="E554" s="1392"/>
      <c r="F554" s="1393"/>
      <c r="G554" s="1392">
        <f>SUM(G551:G553)</f>
        <v>60100</v>
      </c>
      <c r="H554" s="1394"/>
      <c r="I554" s="1392">
        <f>SUM(I551:I553)</f>
        <v>60100</v>
      </c>
      <c r="J554" s="1394"/>
      <c r="K554" s="1392">
        <f>SUM(K551:K553)</f>
        <v>60100</v>
      </c>
      <c r="L554" s="1394"/>
      <c r="M554" s="1392">
        <f>SUM(M551:M553)</f>
        <v>60100</v>
      </c>
      <c r="N554" s="1394"/>
      <c r="O554" s="1392">
        <f>SUM(O551:O553)</f>
        <v>60100</v>
      </c>
      <c r="P554" s="1390">
        <f>SUM(P551:P553)</f>
        <v>300500</v>
      </c>
      <c r="Q554" s="1390"/>
      <c r="AP554" s="1389"/>
    </row>
    <row r="555" spans="1:42" s="1388" customFormat="1" ht="24" customHeight="1">
      <c r="A555" s="2201"/>
      <c r="B555" s="2204"/>
      <c r="C555" s="2207" t="s">
        <v>1362</v>
      </c>
      <c r="D555" s="1383" t="s">
        <v>1360</v>
      </c>
      <c r="E555" s="1384">
        <v>1000</v>
      </c>
      <c r="F555" s="1385">
        <v>2</v>
      </c>
      <c r="G555" s="1386">
        <f>F555*E555</f>
        <v>2000</v>
      </c>
      <c r="H555" s="1385">
        <v>2</v>
      </c>
      <c r="I555" s="1386">
        <f t="shared" ref="I555:I557" si="211">H555*E555</f>
        <v>2000</v>
      </c>
      <c r="J555" s="1385">
        <v>2</v>
      </c>
      <c r="K555" s="1386">
        <f t="shared" ref="K555:K557" si="212">J555*E555</f>
        <v>2000</v>
      </c>
      <c r="L555" s="1385">
        <v>2</v>
      </c>
      <c r="M555" s="1386">
        <f t="shared" ref="M555:M557" si="213">L555*E555</f>
        <v>2000</v>
      </c>
      <c r="N555" s="1385">
        <v>2</v>
      </c>
      <c r="O555" s="1386">
        <f t="shared" ref="O555:O557" si="214">N555*E555</f>
        <v>2000</v>
      </c>
      <c r="P555" s="1387">
        <f t="shared" ref="P555:P557" si="215">G555+I555+K555+M555+O555</f>
        <v>10000</v>
      </c>
      <c r="Q555" s="1387">
        <f t="shared" ref="Q555:Q557" si="216">F555+H555+J555+L555+N555</f>
        <v>10</v>
      </c>
      <c r="AP555" s="1389"/>
    </row>
    <row r="556" spans="1:42" s="1388" customFormat="1" ht="24" customHeight="1">
      <c r="A556" s="2201"/>
      <c r="B556" s="2204"/>
      <c r="C556" s="2207"/>
      <c r="D556" s="1383" t="s">
        <v>583</v>
      </c>
      <c r="E556" s="1384">
        <v>18360</v>
      </c>
      <c r="F556" s="1385">
        <v>2</v>
      </c>
      <c r="G556" s="1386">
        <f>F556*E556</f>
        <v>36720</v>
      </c>
      <c r="H556" s="1385">
        <v>2</v>
      </c>
      <c r="I556" s="1386">
        <f t="shared" si="211"/>
        <v>36720</v>
      </c>
      <c r="J556" s="1385">
        <v>2</v>
      </c>
      <c r="K556" s="1386">
        <f t="shared" si="212"/>
        <v>36720</v>
      </c>
      <c r="L556" s="1385">
        <v>2</v>
      </c>
      <c r="M556" s="1386">
        <f t="shared" si="213"/>
        <v>36720</v>
      </c>
      <c r="N556" s="1385">
        <v>2</v>
      </c>
      <c r="O556" s="1386">
        <f t="shared" si="214"/>
        <v>36720</v>
      </c>
      <c r="P556" s="1387">
        <f t="shared" si="215"/>
        <v>183600</v>
      </c>
      <c r="Q556" s="1387">
        <f t="shared" si="216"/>
        <v>10</v>
      </c>
      <c r="AP556" s="1389"/>
    </row>
    <row r="557" spans="1:42" s="1388" customFormat="1" ht="24" customHeight="1">
      <c r="A557" s="2201"/>
      <c r="B557" s="2204"/>
      <c r="C557" s="2208"/>
      <c r="D557" s="1383" t="s">
        <v>581</v>
      </c>
      <c r="E557" s="1384">
        <v>1500</v>
      </c>
      <c r="F557" s="1385">
        <v>1</v>
      </c>
      <c r="G557" s="1386">
        <f t="shared" ref="G557" si="217">F557*E557</f>
        <v>1500</v>
      </c>
      <c r="H557" s="1385">
        <v>1</v>
      </c>
      <c r="I557" s="1386">
        <f t="shared" si="211"/>
        <v>1500</v>
      </c>
      <c r="J557" s="1385">
        <v>1</v>
      </c>
      <c r="K557" s="1386">
        <f t="shared" si="212"/>
        <v>1500</v>
      </c>
      <c r="L557" s="1385">
        <v>1</v>
      </c>
      <c r="M557" s="1386">
        <f t="shared" si="213"/>
        <v>1500</v>
      </c>
      <c r="N557" s="1385">
        <v>1</v>
      </c>
      <c r="O557" s="1386">
        <f t="shared" si="214"/>
        <v>1500</v>
      </c>
      <c r="P557" s="1387">
        <f t="shared" si="215"/>
        <v>7500</v>
      </c>
      <c r="Q557" s="1387">
        <f t="shared" si="216"/>
        <v>5</v>
      </c>
      <c r="AP557" s="1389"/>
    </row>
    <row r="558" spans="1:42" s="1388" customFormat="1" ht="24" customHeight="1" thickBot="1">
      <c r="A558" s="2201"/>
      <c r="B558" s="2204"/>
      <c r="C558" s="1390" t="s">
        <v>1363</v>
      </c>
      <c r="D558" s="1391"/>
      <c r="E558" s="1392"/>
      <c r="F558" s="1393"/>
      <c r="G558" s="1392">
        <f>SUM(G555:G557)</f>
        <v>40220</v>
      </c>
      <c r="H558" s="1394"/>
      <c r="I558" s="1392">
        <f>SUM(I555:I557)</f>
        <v>40220</v>
      </c>
      <c r="J558" s="1394"/>
      <c r="K558" s="1392">
        <f>SUM(K555:K557)</f>
        <v>40220</v>
      </c>
      <c r="L558" s="1394"/>
      <c r="M558" s="1392">
        <f>SUM(M555:M557)</f>
        <v>40220</v>
      </c>
      <c r="N558" s="1394"/>
      <c r="O558" s="1392">
        <f>SUM(O555:O557)</f>
        <v>40220</v>
      </c>
      <c r="P558" s="1390">
        <f>SUM(P555:P557)</f>
        <v>201100</v>
      </c>
      <c r="Q558" s="1390"/>
      <c r="AP558" s="1389"/>
    </row>
    <row r="559" spans="1:42" s="1388" customFormat="1" ht="24" customHeight="1">
      <c r="A559" s="2201"/>
      <c r="B559" s="2204"/>
      <c r="C559" s="2209" t="s">
        <v>584</v>
      </c>
      <c r="D559" s="1383" t="s">
        <v>1364</v>
      </c>
      <c r="E559" s="1384">
        <v>16300</v>
      </c>
      <c r="F559" s="1385">
        <v>5</v>
      </c>
      <c r="G559" s="1386">
        <f>F559*E559</f>
        <v>81500</v>
      </c>
      <c r="H559" s="1385">
        <v>5</v>
      </c>
      <c r="I559" s="1386">
        <f t="shared" ref="I559:I560" si="218">H559*E559</f>
        <v>81500</v>
      </c>
      <c r="J559" s="1385">
        <v>5</v>
      </c>
      <c r="K559" s="1386">
        <f t="shared" ref="K559:K560" si="219">J559*E559</f>
        <v>81500</v>
      </c>
      <c r="L559" s="1385">
        <v>5</v>
      </c>
      <c r="M559" s="1386">
        <f t="shared" ref="M559:M560" si="220">L559*E559</f>
        <v>81500</v>
      </c>
      <c r="N559" s="1385">
        <v>5</v>
      </c>
      <c r="O559" s="1386">
        <f t="shared" ref="O559:O560" si="221">N559*E559</f>
        <v>81500</v>
      </c>
      <c r="P559" s="1387">
        <f t="shared" ref="P559:P560" si="222">G559+I559+K559+M559+O559</f>
        <v>407500</v>
      </c>
      <c r="Q559" s="1387">
        <f t="shared" ref="Q559:Q560" si="223">F559+H559+J559+L559+N559</f>
        <v>25</v>
      </c>
      <c r="AP559" s="1389"/>
    </row>
    <row r="560" spans="1:42" s="1388" customFormat="1" ht="24" customHeight="1">
      <c r="A560" s="2201"/>
      <c r="B560" s="2204"/>
      <c r="C560" s="2210"/>
      <c r="D560" s="1383" t="s">
        <v>581</v>
      </c>
      <c r="E560" s="1384">
        <v>1500</v>
      </c>
      <c r="F560" s="1385">
        <v>1</v>
      </c>
      <c r="G560" s="1386">
        <f t="shared" ref="G560" si="224">F560*E560</f>
        <v>1500</v>
      </c>
      <c r="H560" s="1385">
        <v>1</v>
      </c>
      <c r="I560" s="1386">
        <f t="shared" si="218"/>
        <v>1500</v>
      </c>
      <c r="J560" s="1385">
        <v>1</v>
      </c>
      <c r="K560" s="1386">
        <f t="shared" si="219"/>
        <v>1500</v>
      </c>
      <c r="L560" s="1385">
        <v>1</v>
      </c>
      <c r="M560" s="1386">
        <f t="shared" si="220"/>
        <v>1500</v>
      </c>
      <c r="N560" s="1385">
        <v>1</v>
      </c>
      <c r="O560" s="1386">
        <f t="shared" si="221"/>
        <v>1500</v>
      </c>
      <c r="P560" s="1387">
        <f t="shared" si="222"/>
        <v>7500</v>
      </c>
      <c r="Q560" s="1387">
        <f t="shared" si="223"/>
        <v>5</v>
      </c>
      <c r="AP560" s="1389"/>
    </row>
    <row r="561" spans="1:42" s="1388" customFormat="1" ht="24" customHeight="1" thickBot="1">
      <c r="A561" s="2201"/>
      <c r="B561" s="2204"/>
      <c r="C561" s="1395" t="s">
        <v>1365</v>
      </c>
      <c r="D561" s="1391"/>
      <c r="E561" s="1392"/>
      <c r="F561" s="1393"/>
      <c r="G561" s="1396">
        <f>SUM(G559:G560)</f>
        <v>83000</v>
      </c>
      <c r="H561" s="1397"/>
      <c r="I561" s="1396">
        <f>SUM(I559:I560)</f>
        <v>83000</v>
      </c>
      <c r="J561" s="1397"/>
      <c r="K561" s="1396">
        <f>SUM(K559:K560)</f>
        <v>83000</v>
      </c>
      <c r="L561" s="1397"/>
      <c r="M561" s="1396">
        <f>SUM(M559:M560)</f>
        <v>83000</v>
      </c>
      <c r="N561" s="1397"/>
      <c r="O561" s="1396">
        <f>SUM(O559:O560)</f>
        <v>83000</v>
      </c>
      <c r="P561" s="1395">
        <f>SUM(P559:P560)</f>
        <v>415000</v>
      </c>
      <c r="Q561" s="1390"/>
      <c r="AP561" s="1389"/>
    </row>
    <row r="562" spans="1:42" s="1388" customFormat="1" ht="24" customHeight="1">
      <c r="A562" s="2201"/>
      <c r="B562" s="2204"/>
      <c r="C562" s="2209" t="s">
        <v>585</v>
      </c>
      <c r="D562" s="1383" t="s">
        <v>1360</v>
      </c>
      <c r="E562" s="1384">
        <v>1700</v>
      </c>
      <c r="F562" s="1385">
        <v>3</v>
      </c>
      <c r="G562" s="1386">
        <f>F562*E562</f>
        <v>5100</v>
      </c>
      <c r="H562" s="1385">
        <v>3</v>
      </c>
      <c r="I562" s="1386">
        <f t="shared" ref="I562:I563" si="225">H562*E562</f>
        <v>5100</v>
      </c>
      <c r="J562" s="1385">
        <v>3</v>
      </c>
      <c r="K562" s="1386">
        <f t="shared" ref="K562:K563" si="226">J562*E562</f>
        <v>5100</v>
      </c>
      <c r="L562" s="1385">
        <v>3</v>
      </c>
      <c r="M562" s="1386">
        <f t="shared" ref="M562:M563" si="227">L562*E562</f>
        <v>5100</v>
      </c>
      <c r="N562" s="1385">
        <v>3</v>
      </c>
      <c r="O562" s="1386">
        <f t="shared" ref="O562:O563" si="228">N562*E562</f>
        <v>5100</v>
      </c>
      <c r="P562" s="1387">
        <f t="shared" ref="P562:P563" si="229">G562+I562+K562+M562+O562</f>
        <v>25500</v>
      </c>
      <c r="Q562" s="1387">
        <f t="shared" ref="Q562:Q563" si="230">F562+H562+J562+L562+N562</f>
        <v>15</v>
      </c>
      <c r="AP562" s="1389"/>
    </row>
    <row r="563" spans="1:42" s="1388" customFormat="1" ht="24" customHeight="1">
      <c r="A563" s="2201"/>
      <c r="B563" s="2204"/>
      <c r="C563" s="2209"/>
      <c r="D563" s="1383" t="s">
        <v>583</v>
      </c>
      <c r="E563" s="1384">
        <v>8100</v>
      </c>
      <c r="F563" s="1385">
        <v>4</v>
      </c>
      <c r="G563" s="1386">
        <f>F563*E563</f>
        <v>32400</v>
      </c>
      <c r="H563" s="1385">
        <v>4</v>
      </c>
      <c r="I563" s="1386">
        <f t="shared" si="225"/>
        <v>32400</v>
      </c>
      <c r="J563" s="1385">
        <v>4</v>
      </c>
      <c r="K563" s="1386">
        <f t="shared" si="226"/>
        <v>32400</v>
      </c>
      <c r="L563" s="1385">
        <v>4</v>
      </c>
      <c r="M563" s="1386">
        <f t="shared" si="227"/>
        <v>32400</v>
      </c>
      <c r="N563" s="1385">
        <v>4</v>
      </c>
      <c r="O563" s="1386">
        <f t="shared" si="228"/>
        <v>32400</v>
      </c>
      <c r="P563" s="1387">
        <f t="shared" si="229"/>
        <v>162000</v>
      </c>
      <c r="Q563" s="1387">
        <f t="shared" si="230"/>
        <v>20</v>
      </c>
      <c r="AP563" s="1389"/>
    </row>
    <row r="564" spans="1:42" s="1388" customFormat="1" ht="24" customHeight="1" thickBot="1">
      <c r="A564" s="2201"/>
      <c r="B564" s="2204"/>
      <c r="C564" s="1395" t="s">
        <v>1366</v>
      </c>
      <c r="D564" s="1391"/>
      <c r="E564" s="1392"/>
      <c r="F564" s="1393"/>
      <c r="G564" s="1396">
        <f>SUM(G562:G563)</f>
        <v>37500</v>
      </c>
      <c r="H564" s="1394"/>
      <c r="I564" s="1396">
        <f>SUM(I562:I563)</f>
        <v>37500</v>
      </c>
      <c r="J564" s="1397"/>
      <c r="K564" s="1396">
        <f>SUM(K562:K563)</f>
        <v>37500</v>
      </c>
      <c r="L564" s="1397"/>
      <c r="M564" s="1396">
        <f>SUM(M562:M563)</f>
        <v>37500</v>
      </c>
      <c r="N564" s="1397"/>
      <c r="O564" s="1396">
        <f>SUM(O562:O563)</f>
        <v>37500</v>
      </c>
      <c r="P564" s="1395">
        <f>SUM(P562:P563)</f>
        <v>187500</v>
      </c>
      <c r="Q564" s="1390"/>
      <c r="AP564" s="1389"/>
    </row>
    <row r="565" spans="1:42" s="1388" customFormat="1" ht="24" customHeight="1">
      <c r="A565" s="2201"/>
      <c r="B565" s="2204"/>
      <c r="C565" s="2207" t="s">
        <v>586</v>
      </c>
      <c r="D565" s="1383" t="s">
        <v>1360</v>
      </c>
      <c r="E565" s="1384">
        <v>165</v>
      </c>
      <c r="F565" s="1385">
        <v>5</v>
      </c>
      <c r="G565" s="1386">
        <f>F565*E565</f>
        <v>825</v>
      </c>
      <c r="H565" s="1385">
        <v>5</v>
      </c>
      <c r="I565" s="1386">
        <f t="shared" ref="I565:I567" si="231">H565*E565</f>
        <v>825</v>
      </c>
      <c r="J565" s="1385">
        <v>5</v>
      </c>
      <c r="K565" s="1386">
        <f t="shared" ref="K565:K567" si="232">J565*E565</f>
        <v>825</v>
      </c>
      <c r="L565" s="1385">
        <v>5</v>
      </c>
      <c r="M565" s="1386">
        <f t="shared" ref="M565:M567" si="233">L565*E565</f>
        <v>825</v>
      </c>
      <c r="N565" s="1385">
        <v>5</v>
      </c>
      <c r="O565" s="1386">
        <f t="shared" ref="O565:O567" si="234">N565*E565</f>
        <v>825</v>
      </c>
      <c r="P565" s="1387">
        <f t="shared" ref="P565:P567" si="235">G565+I565+K565+M565+O565</f>
        <v>4125</v>
      </c>
      <c r="Q565" s="1387">
        <f t="shared" ref="Q565:Q567" si="236">F565+H565+J565+L565+N565</f>
        <v>25</v>
      </c>
      <c r="AP565" s="1389"/>
    </row>
    <row r="566" spans="1:42" s="1388" customFormat="1" ht="24" customHeight="1">
      <c r="A566" s="2201"/>
      <c r="B566" s="2204"/>
      <c r="C566" s="2207"/>
      <c r="D566" s="1383" t="s">
        <v>582</v>
      </c>
      <c r="E566" s="1384">
        <v>385</v>
      </c>
      <c r="F566" s="1385">
        <v>5</v>
      </c>
      <c r="G566" s="1386">
        <f>F566*E566</f>
        <v>1925</v>
      </c>
      <c r="H566" s="1385">
        <v>5</v>
      </c>
      <c r="I566" s="1386">
        <f t="shared" si="231"/>
        <v>1925</v>
      </c>
      <c r="J566" s="1385">
        <v>5</v>
      </c>
      <c r="K566" s="1386">
        <f t="shared" si="232"/>
        <v>1925</v>
      </c>
      <c r="L566" s="1385">
        <v>5</v>
      </c>
      <c r="M566" s="1386">
        <f t="shared" si="233"/>
        <v>1925</v>
      </c>
      <c r="N566" s="1385">
        <v>5</v>
      </c>
      <c r="O566" s="1386">
        <f t="shared" si="234"/>
        <v>1925</v>
      </c>
      <c r="P566" s="1387">
        <f t="shared" si="235"/>
        <v>9625</v>
      </c>
      <c r="Q566" s="1387">
        <f t="shared" si="236"/>
        <v>25</v>
      </c>
      <c r="AP566" s="1389"/>
    </row>
    <row r="567" spans="1:42" s="1388" customFormat="1" ht="24" customHeight="1">
      <c r="A567" s="2201"/>
      <c r="B567" s="2204"/>
      <c r="C567" s="2208"/>
      <c r="D567" s="1383" t="s">
        <v>581</v>
      </c>
      <c r="E567" s="1384">
        <v>500</v>
      </c>
      <c r="F567" s="1385">
        <v>5</v>
      </c>
      <c r="G567" s="1386">
        <f t="shared" ref="G567" si="237">F567*E567</f>
        <v>2500</v>
      </c>
      <c r="H567" s="1385">
        <v>5</v>
      </c>
      <c r="I567" s="1386">
        <f t="shared" si="231"/>
        <v>2500</v>
      </c>
      <c r="J567" s="1385">
        <v>5</v>
      </c>
      <c r="K567" s="1386">
        <f t="shared" si="232"/>
        <v>2500</v>
      </c>
      <c r="L567" s="1385">
        <v>5</v>
      </c>
      <c r="M567" s="1386">
        <f t="shared" si="233"/>
        <v>2500</v>
      </c>
      <c r="N567" s="1385">
        <v>5</v>
      </c>
      <c r="O567" s="1386">
        <f t="shared" si="234"/>
        <v>2500</v>
      </c>
      <c r="P567" s="1387">
        <f t="shared" si="235"/>
        <v>12500</v>
      </c>
      <c r="Q567" s="1387">
        <f t="shared" si="236"/>
        <v>25</v>
      </c>
      <c r="AP567" s="1389"/>
    </row>
    <row r="568" spans="1:42" s="1388" customFormat="1" ht="24" customHeight="1" thickBot="1">
      <c r="A568" s="2201"/>
      <c r="B568" s="2204"/>
      <c r="C568" s="1390" t="s">
        <v>1367</v>
      </c>
      <c r="D568" s="1391"/>
      <c r="E568" s="1392"/>
      <c r="F568" s="1393"/>
      <c r="G568" s="1392">
        <f>SUM(G565:G567)</f>
        <v>5250</v>
      </c>
      <c r="H568" s="1394"/>
      <c r="I568" s="1392">
        <f>SUM(I565:I567)</f>
        <v>5250</v>
      </c>
      <c r="J568" s="1394"/>
      <c r="K568" s="1392">
        <f>SUM(K565:K567)</f>
        <v>5250</v>
      </c>
      <c r="L568" s="1394"/>
      <c r="M568" s="1392">
        <f>SUM(M565:M567)</f>
        <v>5250</v>
      </c>
      <c r="N568" s="1394"/>
      <c r="O568" s="1392">
        <f>SUM(O565:O567)</f>
        <v>5250</v>
      </c>
      <c r="P568" s="1390">
        <f>SUM(P565:P567)</f>
        <v>26250</v>
      </c>
      <c r="Q568" s="1390"/>
      <c r="AP568" s="1389"/>
    </row>
    <row r="569" spans="1:42" s="1388" customFormat="1" ht="24" customHeight="1">
      <c r="A569" s="2201"/>
      <c r="B569" s="2204"/>
      <c r="C569" s="1398" t="s">
        <v>587</v>
      </c>
      <c r="D569" s="1383" t="s">
        <v>582</v>
      </c>
      <c r="E569" s="1384">
        <v>165</v>
      </c>
      <c r="F569" s="1385">
        <v>40</v>
      </c>
      <c r="G569" s="1386">
        <f>F569*E569</f>
        <v>6600</v>
      </c>
      <c r="H569" s="1385">
        <v>40</v>
      </c>
      <c r="I569" s="1386">
        <f t="shared" ref="I569" si="238">H569*E569</f>
        <v>6600</v>
      </c>
      <c r="J569" s="1385">
        <v>40</v>
      </c>
      <c r="K569" s="1386">
        <f t="shared" ref="K569" si="239">J569*E569</f>
        <v>6600</v>
      </c>
      <c r="L569" s="1385">
        <v>40</v>
      </c>
      <c r="M569" s="1386">
        <f t="shared" ref="M569" si="240">L569*E569</f>
        <v>6600</v>
      </c>
      <c r="N569" s="1385">
        <v>40</v>
      </c>
      <c r="O569" s="1386">
        <f t="shared" ref="O569" si="241">N569*E569</f>
        <v>6600</v>
      </c>
      <c r="P569" s="1387">
        <f t="shared" ref="P569" si="242">G569+I569+K569+M569+O569</f>
        <v>33000</v>
      </c>
      <c r="Q569" s="1387">
        <f t="shared" ref="Q569" si="243">F569+H569+J569+L569+N569</f>
        <v>200</v>
      </c>
      <c r="AP569" s="1389"/>
    </row>
    <row r="570" spans="1:42" s="1388" customFormat="1" ht="24" customHeight="1" thickBot="1">
      <c r="A570" s="2201"/>
      <c r="B570" s="2204"/>
      <c r="C570" s="1390" t="s">
        <v>1368</v>
      </c>
      <c r="D570" s="1391"/>
      <c r="E570" s="1392"/>
      <c r="F570" s="1393"/>
      <c r="G570" s="1392">
        <f>SUM(G569:G569)</f>
        <v>6600</v>
      </c>
      <c r="H570" s="1394"/>
      <c r="I570" s="1392">
        <f>SUM(I569:I569)</f>
        <v>6600</v>
      </c>
      <c r="J570" s="1394"/>
      <c r="K570" s="1392">
        <f>SUM(K569:K569)</f>
        <v>6600</v>
      </c>
      <c r="L570" s="1394"/>
      <c r="M570" s="1392">
        <f>SUM(M569:M569)</f>
        <v>6600</v>
      </c>
      <c r="N570" s="1394"/>
      <c r="O570" s="1392">
        <f>SUM(O569:O569)</f>
        <v>6600</v>
      </c>
      <c r="P570" s="1390">
        <f>SUM(P569:P569)</f>
        <v>33000</v>
      </c>
      <c r="Q570" s="1390"/>
      <c r="AP570" s="1389"/>
    </row>
    <row r="571" spans="1:42" s="1388" customFormat="1" ht="24" customHeight="1">
      <c r="A571" s="2201"/>
      <c r="B571" s="2204"/>
      <c r="C571" s="2206" t="s">
        <v>938</v>
      </c>
      <c r="D571" s="1383" t="s">
        <v>582</v>
      </c>
      <c r="E571" s="1384">
        <v>165</v>
      </c>
      <c r="F571" s="1385">
        <v>15</v>
      </c>
      <c r="G571" s="1386">
        <f>F571*E571</f>
        <v>2475</v>
      </c>
      <c r="H571" s="1385">
        <v>15</v>
      </c>
      <c r="I571" s="1386">
        <f t="shared" ref="I571:I572" si="244">H571*E571</f>
        <v>2475</v>
      </c>
      <c r="J571" s="1385">
        <v>15</v>
      </c>
      <c r="K571" s="1386">
        <f t="shared" ref="K571:K572" si="245">J571*E571</f>
        <v>2475</v>
      </c>
      <c r="L571" s="1385">
        <v>15</v>
      </c>
      <c r="M571" s="1386">
        <f t="shared" ref="M571:M572" si="246">L571*E571</f>
        <v>2475</v>
      </c>
      <c r="N571" s="1385">
        <v>15</v>
      </c>
      <c r="O571" s="1386">
        <f t="shared" ref="O571:O572" si="247">N571*E571</f>
        <v>2475</v>
      </c>
      <c r="P571" s="1387">
        <f t="shared" ref="P571:P572" si="248">G571+I571+K571+M571+O571</f>
        <v>12375</v>
      </c>
      <c r="Q571" s="1387">
        <f t="shared" ref="Q571:Q572" si="249">F571+H571+J571+L571+N571</f>
        <v>75</v>
      </c>
      <c r="AP571" s="1389"/>
    </row>
    <row r="572" spans="1:42" s="1388" customFormat="1" ht="24" customHeight="1">
      <c r="A572" s="2201"/>
      <c r="B572" s="2204"/>
      <c r="C572" s="2208"/>
      <c r="D572" s="1383" t="s">
        <v>581</v>
      </c>
      <c r="E572" s="1384">
        <v>300</v>
      </c>
      <c r="F572" s="1385">
        <v>5</v>
      </c>
      <c r="G572" s="1386">
        <f t="shared" ref="G572" si="250">F572*E572</f>
        <v>1500</v>
      </c>
      <c r="H572" s="1385">
        <v>5</v>
      </c>
      <c r="I572" s="1386">
        <f t="shared" si="244"/>
        <v>1500</v>
      </c>
      <c r="J572" s="1385">
        <v>5</v>
      </c>
      <c r="K572" s="1386">
        <f t="shared" si="245"/>
        <v>1500</v>
      </c>
      <c r="L572" s="1385">
        <v>5</v>
      </c>
      <c r="M572" s="1386">
        <f t="shared" si="246"/>
        <v>1500</v>
      </c>
      <c r="N572" s="1385">
        <v>5</v>
      </c>
      <c r="O572" s="1386">
        <f t="shared" si="247"/>
        <v>1500</v>
      </c>
      <c r="P572" s="1387">
        <f t="shared" si="248"/>
        <v>7500</v>
      </c>
      <c r="Q572" s="1387">
        <f t="shared" si="249"/>
        <v>25</v>
      </c>
      <c r="AP572" s="1389"/>
    </row>
    <row r="573" spans="1:42" s="1388" customFormat="1" ht="24" customHeight="1" thickBot="1">
      <c r="A573" s="2201"/>
      <c r="B573" s="2204"/>
      <c r="C573" s="1390" t="s">
        <v>1369</v>
      </c>
      <c r="D573" s="1391"/>
      <c r="E573" s="1392"/>
      <c r="F573" s="1393"/>
      <c r="G573" s="1392">
        <f>SUM(G571:G572)</f>
        <v>3975</v>
      </c>
      <c r="H573" s="1394"/>
      <c r="I573" s="1392">
        <f>SUM(I571:I572)</f>
        <v>3975</v>
      </c>
      <c r="J573" s="1394"/>
      <c r="K573" s="1392">
        <f>SUM(K571:K572)</f>
        <v>3975</v>
      </c>
      <c r="L573" s="1394"/>
      <c r="M573" s="1392">
        <f>SUM(M571:M572)</f>
        <v>3975</v>
      </c>
      <c r="N573" s="1394"/>
      <c r="O573" s="1392">
        <f>SUM(O571:O572)</f>
        <v>3975</v>
      </c>
      <c r="P573" s="1390">
        <f>SUM(P571:P572)</f>
        <v>19875</v>
      </c>
      <c r="Q573" s="1390"/>
      <c r="AP573" s="1389"/>
    </row>
    <row r="574" spans="1:42" s="1388" customFormat="1" ht="24" customHeight="1" thickBot="1">
      <c r="A574" s="2201"/>
      <c r="B574" s="2204"/>
      <c r="C574" s="1399" t="s">
        <v>101</v>
      </c>
      <c r="D574" s="1400"/>
      <c r="E574" s="1401"/>
      <c r="F574" s="1402"/>
      <c r="G574" s="1401">
        <f>G554+G558+G561+G564+G568+G570+G573</f>
        <v>236645</v>
      </c>
      <c r="H574" s="1403"/>
      <c r="I574" s="1401">
        <f>I554+I558+I561+I564+I568+I570+I573</f>
        <v>236645</v>
      </c>
      <c r="J574" s="1403"/>
      <c r="K574" s="1401">
        <f>K554+K558+K561+K564+K568+K570+K573</f>
        <v>236645</v>
      </c>
      <c r="L574" s="1403"/>
      <c r="M574" s="1401">
        <f>M554+M558+M561+M564+M568+M570+M573</f>
        <v>236645</v>
      </c>
      <c r="N574" s="1403"/>
      <c r="O574" s="1401">
        <f>O554+O558+O561+O564+O568+O570+O573</f>
        <v>236645</v>
      </c>
      <c r="P574" s="1399">
        <f>P554+P558+P561+P564+P568+P570+P573</f>
        <v>1183225</v>
      </c>
      <c r="Q574" s="1399"/>
      <c r="AP574" s="1389"/>
    </row>
    <row r="575" spans="1:42" s="1388" customFormat="1" ht="24" customHeight="1" thickBot="1">
      <c r="A575" s="2201"/>
      <c r="B575" s="2204"/>
      <c r="C575" s="1404" t="s">
        <v>1370</v>
      </c>
      <c r="D575" s="1405"/>
      <c r="E575" s="1406"/>
      <c r="F575" s="1407"/>
      <c r="G575" s="1406">
        <f>G561+G564</f>
        <v>120500</v>
      </c>
      <c r="H575" s="1408"/>
      <c r="I575" s="1406">
        <f>I561+I564</f>
        <v>120500</v>
      </c>
      <c r="J575" s="1408"/>
      <c r="K575" s="1406">
        <f>K561+K564</f>
        <v>120500</v>
      </c>
      <c r="L575" s="1408"/>
      <c r="M575" s="1406">
        <f>M561+M564</f>
        <v>120500</v>
      </c>
      <c r="N575" s="1408"/>
      <c r="O575" s="1406">
        <f>O561+O564</f>
        <v>120500</v>
      </c>
      <c r="P575" s="1404">
        <f>P561+P564</f>
        <v>602500</v>
      </c>
      <c r="Q575" s="1404"/>
      <c r="AP575" s="1389"/>
    </row>
    <row r="576" spans="1:42" s="1388" customFormat="1" ht="24" customHeight="1" thickBot="1">
      <c r="A576" s="2202"/>
      <c r="B576" s="2205"/>
      <c r="C576" s="1409" t="s">
        <v>1371</v>
      </c>
      <c r="D576" s="1410"/>
      <c r="E576" s="1411"/>
      <c r="F576" s="1412"/>
      <c r="G576" s="1411">
        <f>G554+G558+G568+G570+G573</f>
        <v>116145</v>
      </c>
      <c r="H576" s="1413"/>
      <c r="I576" s="1411">
        <f>I554+I558+I568+I570+I573</f>
        <v>116145</v>
      </c>
      <c r="J576" s="1413"/>
      <c r="K576" s="1411">
        <f>K554+K558+K568+K570+K573</f>
        <v>116145</v>
      </c>
      <c r="L576" s="1413"/>
      <c r="M576" s="1411">
        <f>M554+M558+M568+M570+M573</f>
        <v>116145</v>
      </c>
      <c r="N576" s="1413"/>
      <c r="O576" s="1411">
        <f>O554+O558+O568+O570+O573</f>
        <v>116145</v>
      </c>
      <c r="P576" s="1409">
        <f>P554+P558+P568+P570+P573</f>
        <v>580725</v>
      </c>
      <c r="Q576" s="1409"/>
      <c r="AP576" s="1389"/>
    </row>
    <row r="577" spans="1:42" ht="18.75" thickBot="1">
      <c r="B577" s="644"/>
      <c r="C577" s="645"/>
      <c r="D577" s="645"/>
      <c r="E577" s="674"/>
      <c r="F577" s="674" t="s">
        <v>440</v>
      </c>
      <c r="G577" s="1460">
        <f>G575/G574</f>
        <v>0.50920154662046524</v>
      </c>
      <c r="H577" s="1460"/>
      <c r="I577" s="1460">
        <f>I575/I574</f>
        <v>0.50920154662046524</v>
      </c>
      <c r="J577" s="1461"/>
      <c r="K577" s="1461">
        <f>K575/K574</f>
        <v>0.50920154662046524</v>
      </c>
      <c r="L577" s="1461"/>
      <c r="M577" s="1461">
        <f t="shared" ref="M577:O577" si="251">M575/M574</f>
        <v>0.50920154662046524</v>
      </c>
      <c r="N577" s="1461"/>
      <c r="O577" s="1461">
        <f t="shared" si="251"/>
        <v>0.50920154662046524</v>
      </c>
    </row>
    <row r="578" spans="1:42" ht="19.5" thickBot="1">
      <c r="B578" s="388" t="s">
        <v>1372</v>
      </c>
      <c r="C578" s="645"/>
      <c r="D578" s="645"/>
      <c r="E578" s="674"/>
      <c r="F578" s="674" t="s">
        <v>441</v>
      </c>
      <c r="G578" s="1460">
        <f>G576/G574</f>
        <v>0.49079845337953476</v>
      </c>
      <c r="H578" s="1460"/>
      <c r="I578" s="1460">
        <f>I576/I574</f>
        <v>0.49079845337953476</v>
      </c>
      <c r="J578" s="1461"/>
      <c r="K578" s="1461">
        <f>K576/K574</f>
        <v>0.49079845337953476</v>
      </c>
      <c r="L578" s="1461"/>
      <c r="M578" s="1461">
        <f t="shared" ref="M578:O578" si="252">M576/M574</f>
        <v>0.49079845337953476</v>
      </c>
      <c r="N578" s="1461"/>
      <c r="O578" s="1461">
        <f t="shared" si="252"/>
        <v>0.49079845337953476</v>
      </c>
      <c r="R578" s="1370" t="s">
        <v>1373</v>
      </c>
      <c r="S578" s="1371"/>
      <c r="T578" s="1371"/>
      <c r="U578" s="1371"/>
      <c r="V578" s="1371"/>
      <c r="W578" s="1371"/>
      <c r="X578" s="1371"/>
      <c r="Y578" s="1372"/>
    </row>
    <row r="579" spans="1:42" ht="24" customHeight="1">
      <c r="A579" s="2128" t="s">
        <v>1272</v>
      </c>
      <c r="B579" s="2132"/>
      <c r="C579" s="2128" t="s">
        <v>545</v>
      </c>
      <c r="D579" s="2129" t="s">
        <v>1273</v>
      </c>
      <c r="E579" s="2180" t="s">
        <v>1274</v>
      </c>
      <c r="F579" s="2121">
        <v>2021</v>
      </c>
      <c r="G579" s="2122"/>
      <c r="H579" s="2121">
        <v>2022</v>
      </c>
      <c r="I579" s="2122"/>
      <c r="J579" s="2121">
        <v>2023</v>
      </c>
      <c r="K579" s="2122"/>
      <c r="L579" s="2121">
        <v>2024</v>
      </c>
      <c r="M579" s="2122"/>
      <c r="N579" s="2121">
        <v>2025</v>
      </c>
      <c r="O579" s="2122"/>
      <c r="P579" s="2223" t="s">
        <v>546</v>
      </c>
      <c r="R579" s="1261" t="s">
        <v>1287</v>
      </c>
      <c r="S579" s="1262"/>
      <c r="T579" s="1263"/>
      <c r="U579" s="1264">
        <v>2</v>
      </c>
      <c r="V579" s="1265"/>
      <c r="W579" s="1265"/>
      <c r="X579" s="1265"/>
      <c r="Y579" s="1266"/>
    </row>
    <row r="580" spans="1:42" ht="24" customHeight="1" thickBot="1">
      <c r="A580" s="2130"/>
      <c r="B580" s="2133"/>
      <c r="C580" s="2130"/>
      <c r="D580" s="2131"/>
      <c r="E580" s="2181"/>
      <c r="F580" s="1219" t="s">
        <v>1275</v>
      </c>
      <c r="G580" s="1220" t="s">
        <v>1276</v>
      </c>
      <c r="H580" s="1219" t="s">
        <v>1275</v>
      </c>
      <c r="I580" s="1220" t="s">
        <v>1276</v>
      </c>
      <c r="J580" s="1219" t="s">
        <v>1275</v>
      </c>
      <c r="K580" s="1220" t="s">
        <v>1276</v>
      </c>
      <c r="L580" s="1219" t="s">
        <v>1275</v>
      </c>
      <c r="M580" s="1220" t="s">
        <v>1276</v>
      </c>
      <c r="N580" s="1219" t="s">
        <v>1275</v>
      </c>
      <c r="O580" s="1220" t="s">
        <v>1276</v>
      </c>
      <c r="P580" s="2224"/>
      <c r="R580" s="1261" t="s">
        <v>1289</v>
      </c>
      <c r="S580" s="1262"/>
      <c r="T580" s="1263"/>
      <c r="U580" s="1264">
        <v>15</v>
      </c>
      <c r="V580" s="1265"/>
      <c r="W580" s="1265"/>
      <c r="X580" s="1265"/>
      <c r="Y580" s="1266"/>
    </row>
    <row r="581" spans="1:42" s="807" customFormat="1" ht="25.5" customHeight="1">
      <c r="A581" s="2187" t="s">
        <v>588</v>
      </c>
      <c r="B581" s="2174" t="s">
        <v>1374</v>
      </c>
      <c r="C581" s="2189" t="s">
        <v>589</v>
      </c>
      <c r="D581" s="1038" t="s">
        <v>590</v>
      </c>
      <c r="E581" s="2178">
        <v>2000</v>
      </c>
      <c r="F581" s="1267">
        <v>1</v>
      </c>
      <c r="G581" s="2153">
        <f>F581*F582*E581</f>
        <v>10000</v>
      </c>
      <c r="H581" s="1267">
        <v>0</v>
      </c>
      <c r="I581" s="2153">
        <f>H581*H582*E581</f>
        <v>0</v>
      </c>
      <c r="J581" s="1267">
        <v>1</v>
      </c>
      <c r="K581" s="2153">
        <f>J581*J582*E581</f>
        <v>8000</v>
      </c>
      <c r="L581" s="1267">
        <v>1</v>
      </c>
      <c r="M581" s="2153">
        <f>L581*L582*E581</f>
        <v>8000</v>
      </c>
      <c r="N581" s="1267">
        <v>1</v>
      </c>
      <c r="O581" s="2153">
        <f>N581*N582*E581</f>
        <v>8000</v>
      </c>
      <c r="P581" s="2223">
        <f>G581+I581+K581+M581+O581</f>
        <v>34000</v>
      </c>
      <c r="R581" s="1261" t="s">
        <v>1290</v>
      </c>
      <c r="S581" s="1262"/>
      <c r="T581" s="1263"/>
      <c r="U581" s="1264">
        <v>1</v>
      </c>
      <c r="V581" s="1265"/>
      <c r="W581" s="1265"/>
      <c r="X581" s="1265"/>
      <c r="Y581" s="1266"/>
      <c r="AP581" s="1036"/>
    </row>
    <row r="582" spans="1:42" s="807" customFormat="1" ht="25.5" customHeight="1" thickBot="1">
      <c r="A582" s="2187"/>
      <c r="B582" s="2174"/>
      <c r="C582" s="2190"/>
      <c r="D582" s="1037" t="s">
        <v>549</v>
      </c>
      <c r="E582" s="2179"/>
      <c r="F582" s="1268">
        <v>5</v>
      </c>
      <c r="G582" s="2148"/>
      <c r="H582" s="1268">
        <v>0</v>
      </c>
      <c r="I582" s="2148"/>
      <c r="J582" s="1268">
        <v>4</v>
      </c>
      <c r="K582" s="2148"/>
      <c r="L582" s="1268">
        <v>4</v>
      </c>
      <c r="M582" s="2148"/>
      <c r="N582" s="1268">
        <v>4</v>
      </c>
      <c r="O582" s="2148"/>
      <c r="P582" s="2225"/>
      <c r="R582" s="1261" t="s">
        <v>1291</v>
      </c>
      <c r="S582" s="1262"/>
      <c r="T582" s="1270">
        <v>0</v>
      </c>
      <c r="U582" s="1271">
        <f>ROUND(U580*T582,0)</f>
        <v>0</v>
      </c>
      <c r="V582" s="1265"/>
      <c r="W582" s="1265"/>
      <c r="X582" s="1265"/>
      <c r="Y582" s="1266"/>
      <c r="AP582" s="1036"/>
    </row>
    <row r="583" spans="1:42" s="807" customFormat="1" ht="25.5" customHeight="1">
      <c r="A583" s="2187"/>
      <c r="B583" s="2174"/>
      <c r="C583" s="2191" t="s">
        <v>940</v>
      </c>
      <c r="D583" s="1035" t="s">
        <v>590</v>
      </c>
      <c r="E583" s="2147">
        <v>2000</v>
      </c>
      <c r="F583" s="1269">
        <v>0</v>
      </c>
      <c r="G583" s="2147">
        <f>F583*F584*E583</f>
        <v>0</v>
      </c>
      <c r="H583" s="1269">
        <v>0</v>
      </c>
      <c r="I583" s="2147">
        <f>H583*H584*E583</f>
        <v>0</v>
      </c>
      <c r="J583" s="1269">
        <v>0</v>
      </c>
      <c r="K583" s="2147">
        <f>J583*J584*E583</f>
        <v>0</v>
      </c>
      <c r="L583" s="1269">
        <v>0</v>
      </c>
      <c r="M583" s="2147">
        <f>L583*L584*E583</f>
        <v>0</v>
      </c>
      <c r="N583" s="1269">
        <v>0</v>
      </c>
      <c r="O583" s="2153">
        <f>N583*N584*E583</f>
        <v>0</v>
      </c>
      <c r="P583" s="2226">
        <f>G583+I583+K583+M583+O583</f>
        <v>0</v>
      </c>
      <c r="R583" s="1261" t="s">
        <v>1292</v>
      </c>
      <c r="S583" s="1262"/>
      <c r="T583" s="1270">
        <v>0</v>
      </c>
      <c r="U583" s="1271">
        <v>10</v>
      </c>
      <c r="V583" s="1265"/>
      <c r="W583" s="1265"/>
      <c r="X583" s="1265"/>
      <c r="Y583" s="1266"/>
      <c r="AP583" s="1036"/>
    </row>
    <row r="584" spans="1:42" s="807" customFormat="1" ht="25.5" customHeight="1" thickBot="1">
      <c r="A584" s="2187"/>
      <c r="B584" s="2174"/>
      <c r="C584" s="2190"/>
      <c r="D584" s="1037" t="s">
        <v>549</v>
      </c>
      <c r="E584" s="2148"/>
      <c r="F584" s="1268">
        <v>0</v>
      </c>
      <c r="G584" s="2148"/>
      <c r="H584" s="1268">
        <v>0</v>
      </c>
      <c r="I584" s="2148"/>
      <c r="J584" s="1268">
        <v>0</v>
      </c>
      <c r="K584" s="2148"/>
      <c r="L584" s="1268">
        <v>0</v>
      </c>
      <c r="M584" s="2148"/>
      <c r="N584" s="1268">
        <v>0</v>
      </c>
      <c r="O584" s="2148"/>
      <c r="P584" s="2225"/>
      <c r="R584" s="1276" t="s">
        <v>1294</v>
      </c>
      <c r="S584" s="1277"/>
      <c r="T584" s="1278"/>
      <c r="U584" s="1271">
        <f>U581-1</f>
        <v>0</v>
      </c>
      <c r="V584" s="1265"/>
      <c r="W584" s="1265"/>
      <c r="X584" s="1265"/>
      <c r="Y584" s="1266"/>
      <c r="AP584" s="1036"/>
    </row>
    <row r="585" spans="1:42" s="807" customFormat="1" ht="25.5" customHeight="1" thickBot="1">
      <c r="A585" s="2187"/>
      <c r="B585" s="2174"/>
      <c r="C585" s="805" t="s">
        <v>1375</v>
      </c>
      <c r="D585" s="806" t="s">
        <v>941</v>
      </c>
      <c r="E585" s="808">
        <v>8000</v>
      </c>
      <c r="F585" s="1289">
        <v>6</v>
      </c>
      <c r="G585" s="1300">
        <f>F585*E585</f>
        <v>48000</v>
      </c>
      <c r="H585" s="1289">
        <v>6</v>
      </c>
      <c r="I585" s="1300">
        <f>H585*E585</f>
        <v>48000</v>
      </c>
      <c r="J585" s="1289">
        <v>6</v>
      </c>
      <c r="K585" s="1300">
        <f>J585*E585</f>
        <v>48000</v>
      </c>
      <c r="L585" s="1289">
        <v>0</v>
      </c>
      <c r="M585" s="1300">
        <f>L585*E585</f>
        <v>0</v>
      </c>
      <c r="N585" s="1289">
        <v>0</v>
      </c>
      <c r="O585" s="1300">
        <f>N585*E585</f>
        <v>0</v>
      </c>
      <c r="P585" s="1414">
        <f>G585+I585+K585+M585+O585</f>
        <v>144000</v>
      </c>
      <c r="R585" s="1361" t="s">
        <v>1295</v>
      </c>
      <c r="S585" s="1362" t="s">
        <v>1296</v>
      </c>
      <c r="T585" s="1363" t="s">
        <v>1297</v>
      </c>
      <c r="U585" s="1363" t="s">
        <v>1298</v>
      </c>
      <c r="V585" s="1363" t="s">
        <v>1299</v>
      </c>
      <c r="W585" s="1362" t="s">
        <v>1300</v>
      </c>
      <c r="X585" s="1363" t="s">
        <v>1301</v>
      </c>
      <c r="Y585" s="1364" t="s">
        <v>939</v>
      </c>
      <c r="AP585" s="1036"/>
    </row>
    <row r="586" spans="1:42" s="807" customFormat="1" ht="25.5" customHeight="1">
      <c r="A586" s="2187"/>
      <c r="B586" s="2174"/>
      <c r="C586" s="805" t="s">
        <v>1376</v>
      </c>
      <c r="D586" s="806" t="s">
        <v>1377</v>
      </c>
      <c r="E586" s="1415">
        <f ca="1">Y594</f>
        <v>18286.3</v>
      </c>
      <c r="F586" s="1289">
        <v>1</v>
      </c>
      <c r="G586" s="1300">
        <f ca="1">F586*E586</f>
        <v>18286.3</v>
      </c>
      <c r="H586" s="1289">
        <v>0</v>
      </c>
      <c r="I586" s="1300">
        <f ca="1">H586*E586</f>
        <v>0</v>
      </c>
      <c r="J586" s="1289">
        <v>1</v>
      </c>
      <c r="K586" s="1300">
        <f ca="1">J586*E586</f>
        <v>18286.3</v>
      </c>
      <c r="L586" s="1289">
        <v>1</v>
      </c>
      <c r="M586" s="1300">
        <f ca="1">L586*E586</f>
        <v>18286.3</v>
      </c>
      <c r="N586" s="1289">
        <v>1</v>
      </c>
      <c r="O586" s="1300">
        <f ca="1">N586*E586</f>
        <v>18286.3</v>
      </c>
      <c r="P586" s="1414">
        <f ca="1">G586+I586+K586+M586+O586</f>
        <v>73145.2</v>
      </c>
      <c r="R586" s="1279" t="s">
        <v>1302</v>
      </c>
      <c r="S586" s="1280" t="s">
        <v>1427</v>
      </c>
      <c r="T586" s="1281" t="s">
        <v>1428</v>
      </c>
      <c r="U586" s="1282">
        <v>2000</v>
      </c>
      <c r="V586" s="1282" t="s">
        <v>1315</v>
      </c>
      <c r="W586" s="1283">
        <f ca="1">ROUND(IFERROR(IF(V586="MDL",U586,U586*INDIRECT(V586)),0),2)</f>
        <v>2000</v>
      </c>
      <c r="X586" s="1282">
        <f>U579</f>
        <v>2</v>
      </c>
      <c r="Y586" s="1284">
        <f ca="1">U579*W586*X586</f>
        <v>8000</v>
      </c>
      <c r="AP586" s="1036"/>
    </row>
    <row r="587" spans="1:42" s="807" customFormat="1" ht="24" customHeight="1">
      <c r="A587" s="2187"/>
      <c r="B587" s="2174"/>
      <c r="C587" s="1416" t="s">
        <v>1285</v>
      </c>
      <c r="D587" s="1314"/>
      <c r="E587" s="1315">
        <v>7.0000000000000007E-2</v>
      </c>
      <c r="F587" s="1316"/>
      <c r="G587" s="1317">
        <f ca="1">(SUM(G581:G586))*E587</f>
        <v>5340.0410000000011</v>
      </c>
      <c r="H587" s="1318"/>
      <c r="I587" s="1317">
        <f ca="1">(SUM(I581:I586))*E587</f>
        <v>3360.0000000000005</v>
      </c>
      <c r="J587" s="1316"/>
      <c r="K587" s="1317">
        <f ca="1">(SUM(K581:K586))*E587</f>
        <v>5200.0410000000011</v>
      </c>
      <c r="L587" s="1316"/>
      <c r="M587" s="1317">
        <f ca="1">(SUM(M581:M586))*E587</f>
        <v>1840.0410000000002</v>
      </c>
      <c r="N587" s="1316"/>
      <c r="O587" s="1317">
        <f ca="1">(SUM(O581:O586))*E587</f>
        <v>1840.0410000000002</v>
      </c>
      <c r="P587" s="1417">
        <f ca="1">G587+I587+K587+M587+O587</f>
        <v>17580.164000000004</v>
      </c>
      <c r="R587" s="1285" t="s">
        <v>1304</v>
      </c>
      <c r="S587" s="1286" t="s">
        <v>1429</v>
      </c>
      <c r="T587" s="236" t="s">
        <v>1430</v>
      </c>
      <c r="U587" s="1287">
        <v>75</v>
      </c>
      <c r="V587" s="1287" t="s">
        <v>1315</v>
      </c>
      <c r="W587" s="185">
        <f t="shared" ref="W587:W588" ca="1" si="253">ROUND(IFERROR(IF(V587="MDL",U587,U587*INDIRECT(V587)),0),2)</f>
        <v>75</v>
      </c>
      <c r="X587" s="1287">
        <v>2</v>
      </c>
      <c r="Y587" s="1288">
        <f ca="1">X587*W587*U580*U581</f>
        <v>2250</v>
      </c>
      <c r="AP587" s="1036"/>
    </row>
    <row r="588" spans="1:42" s="807" customFormat="1" ht="24" customHeight="1">
      <c r="A588" s="2187"/>
      <c r="B588" s="2174"/>
      <c r="C588" s="1324" t="s">
        <v>550</v>
      </c>
      <c r="D588" s="1320"/>
      <c r="E588" s="1323"/>
      <c r="F588" s="1322"/>
      <c r="G588" s="1323">
        <f ca="1">SUM(G581:G587)</f>
        <v>81626.341</v>
      </c>
      <c r="H588" s="1324"/>
      <c r="I588" s="1323">
        <f ca="1">SUM(I581:I587)</f>
        <v>51360</v>
      </c>
      <c r="J588" s="1324"/>
      <c r="K588" s="1323">
        <f ca="1">SUM(K581:K587)</f>
        <v>79486.341</v>
      </c>
      <c r="L588" s="1324"/>
      <c r="M588" s="1323">
        <f ca="1">SUM(M581:M587)</f>
        <v>28126.341</v>
      </c>
      <c r="N588" s="1324"/>
      <c r="O588" s="1323">
        <f ca="1">SUM(O581:O587)</f>
        <v>28126.341</v>
      </c>
      <c r="P588" s="1418">
        <f ca="1">SUM(P581:P587)</f>
        <v>268725.364</v>
      </c>
      <c r="R588" s="1285" t="s">
        <v>1307</v>
      </c>
      <c r="S588" s="1286" t="s">
        <v>1431</v>
      </c>
      <c r="T588" s="236" t="s">
        <v>1430</v>
      </c>
      <c r="U588" s="1287">
        <v>220</v>
      </c>
      <c r="V588" s="1287" t="s">
        <v>1315</v>
      </c>
      <c r="W588" s="185">
        <f t="shared" ca="1" si="253"/>
        <v>220</v>
      </c>
      <c r="X588" s="1287">
        <f>U581</f>
        <v>1</v>
      </c>
      <c r="Y588" s="1288">
        <f ca="1">U580*X588*W588</f>
        <v>3300</v>
      </c>
      <c r="AP588" s="1036"/>
    </row>
    <row r="589" spans="1:42" s="807" customFormat="1" ht="24" customHeight="1" thickBot="1">
      <c r="A589" s="2188"/>
      <c r="B589" s="2175"/>
      <c r="C589" s="1355" t="s">
        <v>932</v>
      </c>
      <c r="D589" s="1356"/>
      <c r="E589" s="1357"/>
      <c r="F589" s="1358"/>
      <c r="G589" s="1359">
        <f ca="1">G588/P588</f>
        <v>0.30375376475441296</v>
      </c>
      <c r="H589" s="1358"/>
      <c r="I589" s="1359">
        <f ca="1">I588/P588</f>
        <v>0.1911244969045795</v>
      </c>
      <c r="J589" s="1358"/>
      <c r="K589" s="1359">
        <f ca="1">K588/P588</f>
        <v>0.2957902440500555</v>
      </c>
      <c r="L589" s="1358"/>
      <c r="M589" s="1359">
        <f ca="1">M588/P588</f>
        <v>0.10466574714547601</v>
      </c>
      <c r="N589" s="1358"/>
      <c r="O589" s="1359">
        <f ca="1">O588/P588</f>
        <v>0.10466574714547601</v>
      </c>
      <c r="P589" s="1419"/>
      <c r="R589" s="1285" t="s">
        <v>1308</v>
      </c>
      <c r="S589" s="1286" t="s">
        <v>1432</v>
      </c>
      <c r="T589" s="236" t="s">
        <v>1433</v>
      </c>
      <c r="U589" s="1287">
        <v>80</v>
      </c>
      <c r="V589" s="1287" t="s">
        <v>1315</v>
      </c>
      <c r="W589" s="185">
        <f ca="1">ROUND(IFERROR(IF(V589="MDL",U589,U589*INDIRECT(V589)),0),2)</f>
        <v>80</v>
      </c>
      <c r="X589" s="1290">
        <v>2</v>
      </c>
      <c r="Y589" s="1288">
        <f ca="1">X589*U583*W589</f>
        <v>1600</v>
      </c>
      <c r="AP589" s="1036"/>
    </row>
    <row r="590" spans="1:42" ht="23.25" customHeight="1">
      <c r="A590" s="2128" t="s">
        <v>1272</v>
      </c>
      <c r="B590" s="2132"/>
      <c r="C590" s="2128" t="s">
        <v>545</v>
      </c>
      <c r="D590" s="2129" t="s">
        <v>1273</v>
      </c>
      <c r="E590" s="2180" t="s">
        <v>1274</v>
      </c>
      <c r="F590" s="2121">
        <v>2021</v>
      </c>
      <c r="G590" s="2122"/>
      <c r="H590" s="2121">
        <v>2022</v>
      </c>
      <c r="I590" s="2122"/>
      <c r="J590" s="2121">
        <v>2023</v>
      </c>
      <c r="K590" s="2122"/>
      <c r="L590" s="2121">
        <v>2024</v>
      </c>
      <c r="M590" s="2122"/>
      <c r="N590" s="2121">
        <v>2025</v>
      </c>
      <c r="O590" s="2122"/>
      <c r="P590" s="2223" t="s">
        <v>546</v>
      </c>
      <c r="R590" s="1285" t="s">
        <v>1311</v>
      </c>
      <c r="S590" s="1286" t="s">
        <v>1436</v>
      </c>
      <c r="T590" s="236" t="s">
        <v>1428</v>
      </c>
      <c r="U590" s="1287">
        <v>1800</v>
      </c>
      <c r="V590" s="1287" t="s">
        <v>1315</v>
      </c>
      <c r="W590" s="185">
        <f ca="1">ROUND(IFERROR(IF(V590="MDL",U590,U590*INDIRECT(V590)),0),2)</f>
        <v>1800</v>
      </c>
      <c r="X590" s="1287">
        <f>U581</f>
        <v>1</v>
      </c>
      <c r="Y590" s="1288">
        <f ca="1">X590*W590</f>
        <v>1800</v>
      </c>
    </row>
    <row r="591" spans="1:42" ht="23.25" customHeight="1" thickBot="1">
      <c r="A591" s="2130"/>
      <c r="B591" s="2133"/>
      <c r="C591" s="2130"/>
      <c r="D591" s="2131"/>
      <c r="E591" s="2181"/>
      <c r="F591" s="1219" t="s">
        <v>1275</v>
      </c>
      <c r="G591" s="1220" t="s">
        <v>1276</v>
      </c>
      <c r="H591" s="1219" t="s">
        <v>1275</v>
      </c>
      <c r="I591" s="1220" t="s">
        <v>1276</v>
      </c>
      <c r="J591" s="1219" t="s">
        <v>1275</v>
      </c>
      <c r="K591" s="1220" t="s">
        <v>1276</v>
      </c>
      <c r="L591" s="1219" t="s">
        <v>1275</v>
      </c>
      <c r="M591" s="1220" t="s">
        <v>1276</v>
      </c>
      <c r="N591" s="1219" t="s">
        <v>1275</v>
      </c>
      <c r="O591" s="1220" t="s">
        <v>1276</v>
      </c>
      <c r="P591" s="2224"/>
      <c r="R591" s="1285" t="s">
        <v>1309</v>
      </c>
      <c r="S591" s="1286" t="s">
        <v>1434</v>
      </c>
      <c r="T591" s="236" t="s">
        <v>1435</v>
      </c>
      <c r="U591" s="1287">
        <v>140</v>
      </c>
      <c r="V591" s="1287" t="s">
        <v>1315</v>
      </c>
      <c r="W591" s="185">
        <f ca="1">ROUND(IFERROR(IF(V591="MDL",U591,U591*INDIRECT(V591)),0),2)</f>
        <v>140</v>
      </c>
      <c r="X591" s="1287">
        <v>1</v>
      </c>
      <c r="Y591" s="1288">
        <f ca="1">U581*X591*W591</f>
        <v>140</v>
      </c>
    </row>
    <row r="592" spans="1:42" ht="24.75" customHeight="1">
      <c r="A592" s="2187" t="s">
        <v>591</v>
      </c>
      <c r="B592" s="2174" t="s">
        <v>592</v>
      </c>
      <c r="C592" s="2189" t="s">
        <v>977</v>
      </c>
      <c r="D592" s="1038" t="s">
        <v>590</v>
      </c>
      <c r="E592" s="2178">
        <v>2000</v>
      </c>
      <c r="F592" s="1267">
        <v>1</v>
      </c>
      <c r="G592" s="2153">
        <f>F592*F593*E592</f>
        <v>12000</v>
      </c>
      <c r="H592" s="1267">
        <v>1</v>
      </c>
      <c r="I592" s="2153">
        <f>H592*H593*E592</f>
        <v>6000</v>
      </c>
      <c r="J592" s="1267">
        <v>1</v>
      </c>
      <c r="K592" s="2153">
        <f>J592*J593*E592</f>
        <v>6000</v>
      </c>
      <c r="L592" s="1267">
        <v>1</v>
      </c>
      <c r="M592" s="2153">
        <f>L592*L593*E592</f>
        <v>6000</v>
      </c>
      <c r="N592" s="1267">
        <v>1</v>
      </c>
      <c r="O592" s="2153">
        <f>N592*N593*E592</f>
        <v>6000</v>
      </c>
      <c r="P592" s="2223">
        <f>G592+I592+K592+M592+O592</f>
        <v>36000</v>
      </c>
      <c r="R592" s="1285"/>
      <c r="S592" s="185">
        <v>0</v>
      </c>
      <c r="T592" s="185">
        <v>0</v>
      </c>
      <c r="U592" s="1287">
        <v>0</v>
      </c>
      <c r="V592" s="1287">
        <v>0</v>
      </c>
      <c r="W592" s="185"/>
      <c r="X592" s="1287" t="str">
        <f>IFERROR(VLOOKUP(AG607,R589:T590,3,0),"")</f>
        <v/>
      </c>
      <c r="Y592" s="1293">
        <f ca="1">SUM(Y586:Y591)</f>
        <v>17090</v>
      </c>
    </row>
    <row r="593" spans="1:25" ht="40.35" customHeight="1" thickBot="1">
      <c r="A593" s="2187"/>
      <c r="B593" s="2174"/>
      <c r="C593" s="2190"/>
      <c r="D593" s="1037" t="s">
        <v>549</v>
      </c>
      <c r="E593" s="2179"/>
      <c r="F593" s="1268">
        <v>6</v>
      </c>
      <c r="G593" s="2148"/>
      <c r="H593" s="1268">
        <v>3</v>
      </c>
      <c r="I593" s="2148"/>
      <c r="J593" s="1268">
        <v>3</v>
      </c>
      <c r="K593" s="2148"/>
      <c r="L593" s="1268">
        <v>3</v>
      </c>
      <c r="M593" s="2148"/>
      <c r="N593" s="1268">
        <v>3</v>
      </c>
      <c r="O593" s="2148"/>
      <c r="P593" s="2225"/>
      <c r="R593" s="1295" t="s">
        <v>1314</v>
      </c>
      <c r="S593" s="1296" t="s">
        <v>621</v>
      </c>
      <c r="T593" s="1297"/>
      <c r="U593" s="1298">
        <v>7.0000000000000007E-2</v>
      </c>
      <c r="V593" s="1297" t="s">
        <v>1315</v>
      </c>
      <c r="W593" s="1297"/>
      <c r="X593" s="1297"/>
      <c r="Y593" s="1299">
        <f ca="1">ROUND(Y592*U593,2)</f>
        <v>1196.3</v>
      </c>
    </row>
    <row r="594" spans="1:25" ht="24.75" customHeight="1" thickBot="1">
      <c r="A594" s="2187"/>
      <c r="B594" s="2174"/>
      <c r="C594" s="2191" t="s">
        <v>978</v>
      </c>
      <c r="D594" s="1035" t="s">
        <v>590</v>
      </c>
      <c r="E594" s="2147">
        <v>2000</v>
      </c>
      <c r="F594" s="1269">
        <v>1</v>
      </c>
      <c r="G594" s="2147">
        <f>F594*F595*E594</f>
        <v>4000</v>
      </c>
      <c r="H594" s="1269">
        <v>0</v>
      </c>
      <c r="I594" s="2147">
        <f>H594*H595*E594</f>
        <v>0</v>
      </c>
      <c r="J594" s="1269">
        <v>1</v>
      </c>
      <c r="K594" s="2147">
        <f>J594*J595*E594</f>
        <v>4000</v>
      </c>
      <c r="L594" s="1269">
        <v>0</v>
      </c>
      <c r="M594" s="2147">
        <f>L594*L595*E594</f>
        <v>0</v>
      </c>
      <c r="N594" s="1269">
        <v>0</v>
      </c>
      <c r="O594" s="2172">
        <f>N594*N595*E594</f>
        <v>0</v>
      </c>
      <c r="P594" s="2226">
        <f>G594+I594+K594+M594+O594</f>
        <v>8000</v>
      </c>
      <c r="R594" s="1301" t="s">
        <v>1317</v>
      </c>
      <c r="S594" s="1302"/>
      <c r="T594" s="1302"/>
      <c r="U594" s="1302"/>
      <c r="V594" s="1302"/>
      <c r="W594" s="1302"/>
      <c r="X594" s="1302"/>
      <c r="Y594" s="1303">
        <f ca="1">Y593+Y592</f>
        <v>18286.3</v>
      </c>
    </row>
    <row r="595" spans="1:25" ht="24.75" customHeight="1">
      <c r="A595" s="2187"/>
      <c r="B595" s="2174"/>
      <c r="C595" s="2190"/>
      <c r="D595" s="1037" t="s">
        <v>549</v>
      </c>
      <c r="E595" s="2148"/>
      <c r="F595" s="1268">
        <v>2</v>
      </c>
      <c r="G595" s="2148"/>
      <c r="H595" s="1268">
        <v>0</v>
      </c>
      <c r="I595" s="2148"/>
      <c r="J595" s="1268">
        <v>2</v>
      </c>
      <c r="K595" s="2148"/>
      <c r="L595" s="1268">
        <v>0</v>
      </c>
      <c r="M595" s="2148"/>
      <c r="N595" s="1268">
        <v>0</v>
      </c>
      <c r="O595" s="2148"/>
      <c r="P595" s="2225"/>
    </row>
    <row r="596" spans="1:25" ht="52.5" customHeight="1" thickBot="1">
      <c r="A596" s="2187"/>
      <c r="B596" s="2174"/>
      <c r="C596" s="805" t="s">
        <v>1378</v>
      </c>
      <c r="D596" s="806" t="s">
        <v>1355</v>
      </c>
      <c r="E596" s="1415">
        <f ca="1">Y613</f>
        <v>23957.3</v>
      </c>
      <c r="F596" s="1289">
        <v>2</v>
      </c>
      <c r="G596" s="1300">
        <f ca="1">F596*E596</f>
        <v>47914.6</v>
      </c>
      <c r="H596" s="1289">
        <v>1</v>
      </c>
      <c r="I596" s="1300">
        <f ca="1">H596*E596</f>
        <v>23957.3</v>
      </c>
      <c r="J596" s="1289">
        <v>1</v>
      </c>
      <c r="K596" s="1300">
        <f ca="1">J596*E596</f>
        <v>23957.3</v>
      </c>
      <c r="L596" s="1289">
        <v>1</v>
      </c>
      <c r="M596" s="1300">
        <f ca="1">L596*E596</f>
        <v>23957.3</v>
      </c>
      <c r="N596" s="1289">
        <v>1</v>
      </c>
      <c r="O596" s="1300">
        <f ca="1">N596*E596</f>
        <v>23957.3</v>
      </c>
      <c r="P596" s="1414">
        <f ca="1">G596+I596+K596+M596+O596</f>
        <v>143743.79999999999</v>
      </c>
    </row>
    <row r="597" spans="1:25" ht="21.75" customHeight="1">
      <c r="A597" s="2187"/>
      <c r="B597" s="2174"/>
      <c r="C597" s="1416" t="s">
        <v>1285</v>
      </c>
      <c r="D597" s="1314"/>
      <c r="E597" s="1315">
        <v>7.0000000000000007E-2</v>
      </c>
      <c r="F597" s="1316"/>
      <c r="G597" s="1317">
        <f ca="1">(SUM(G592:G596))*E597</f>
        <v>4474.0219999999999</v>
      </c>
      <c r="H597" s="1318"/>
      <c r="I597" s="1317">
        <f ca="1">(SUM(I592:I596))*E597</f>
        <v>2097.011</v>
      </c>
      <c r="J597" s="1316"/>
      <c r="K597" s="1317">
        <f ca="1">(SUM(K592:K596))*E597</f>
        <v>2377.0110000000004</v>
      </c>
      <c r="L597" s="1316"/>
      <c r="M597" s="1317">
        <f ca="1">(SUM(M592:M596))*E597</f>
        <v>2097.011</v>
      </c>
      <c r="N597" s="1316"/>
      <c r="O597" s="1317">
        <f ca="1">(SUM(O592:O596))*E597</f>
        <v>2097.011</v>
      </c>
      <c r="P597" s="1417">
        <f ca="1">G597+I597+K597+M597+O597</f>
        <v>13142.066000000001</v>
      </c>
      <c r="R597" s="1370" t="s">
        <v>1379</v>
      </c>
      <c r="S597" s="1371"/>
      <c r="T597" s="1371"/>
      <c r="U597" s="1371"/>
      <c r="V597" s="1371"/>
      <c r="W597" s="1371"/>
      <c r="X597" s="1371"/>
      <c r="Y597" s="1372"/>
    </row>
    <row r="598" spans="1:25" ht="21.75" customHeight="1">
      <c r="A598" s="2187"/>
      <c r="B598" s="2174"/>
      <c r="C598" s="1324" t="s">
        <v>550</v>
      </c>
      <c r="D598" s="1320"/>
      <c r="E598" s="1323"/>
      <c r="F598" s="1322"/>
      <c r="G598" s="1323">
        <f ca="1">SUM(G592:G597)</f>
        <v>68388.622000000003</v>
      </c>
      <c r="H598" s="1324"/>
      <c r="I598" s="1323">
        <f ca="1">SUM(I592:I597)</f>
        <v>32054.310999999998</v>
      </c>
      <c r="J598" s="1324"/>
      <c r="K598" s="1323">
        <f ca="1">SUM(K592:K597)</f>
        <v>36334.311000000002</v>
      </c>
      <c r="L598" s="1324"/>
      <c r="M598" s="1323">
        <f ca="1">SUM(M592:M597)</f>
        <v>32054.310999999998</v>
      </c>
      <c r="N598" s="1324"/>
      <c r="O598" s="1323">
        <f ca="1">SUM(O592:O597)</f>
        <v>32054.310999999998</v>
      </c>
      <c r="P598" s="1418">
        <f ca="1">SUM(P592:P597)</f>
        <v>200885.86599999998</v>
      </c>
      <c r="R598" s="1261" t="s">
        <v>1287</v>
      </c>
      <c r="S598" s="1262"/>
      <c r="T598" s="1263"/>
      <c r="U598" s="1264">
        <v>2</v>
      </c>
      <c r="V598" s="1265"/>
      <c r="W598" s="1265"/>
      <c r="X598" s="1265"/>
      <c r="Y598" s="1266"/>
    </row>
    <row r="599" spans="1:25" ht="21.75" customHeight="1" thickBot="1">
      <c r="A599" s="2188"/>
      <c r="B599" s="2175"/>
      <c r="C599" s="1355" t="s">
        <v>932</v>
      </c>
      <c r="D599" s="1356"/>
      <c r="E599" s="1357"/>
      <c r="F599" s="1358"/>
      <c r="G599" s="1359">
        <f ca="1">G598/P598</f>
        <v>0.34043521011079997</v>
      </c>
      <c r="H599" s="1358"/>
      <c r="I599" s="1359">
        <f ca="1">I598/P598</f>
        <v>0.15956478988920009</v>
      </c>
      <c r="J599" s="1358"/>
      <c r="K599" s="1359">
        <f ca="1">K598/P598</f>
        <v>0.18087042022159988</v>
      </c>
      <c r="L599" s="1358"/>
      <c r="M599" s="1359">
        <f ca="1">M598/P598</f>
        <v>0.15956478988920009</v>
      </c>
      <c r="N599" s="1358"/>
      <c r="O599" s="1359">
        <f ca="1">O598/P598</f>
        <v>0.15956478988920009</v>
      </c>
      <c r="P599" s="1419"/>
      <c r="R599" s="1261" t="s">
        <v>1289</v>
      </c>
      <c r="S599" s="1262"/>
      <c r="T599" s="1263"/>
      <c r="U599" s="1264">
        <v>25</v>
      </c>
      <c r="V599" s="1265"/>
      <c r="W599" s="1265"/>
      <c r="X599" s="1265"/>
      <c r="Y599" s="1266"/>
    </row>
    <row r="600" spans="1:25" ht="23.25" customHeight="1">
      <c r="A600" s="2128" t="s">
        <v>1272</v>
      </c>
      <c r="B600" s="2132"/>
      <c r="C600" s="2128" t="s">
        <v>545</v>
      </c>
      <c r="D600" s="2129" t="s">
        <v>1273</v>
      </c>
      <c r="E600" s="2180" t="s">
        <v>1274</v>
      </c>
      <c r="F600" s="2121">
        <v>2021</v>
      </c>
      <c r="G600" s="2122"/>
      <c r="H600" s="2121">
        <v>2022</v>
      </c>
      <c r="I600" s="2122"/>
      <c r="J600" s="2121">
        <v>2023</v>
      </c>
      <c r="K600" s="2122"/>
      <c r="L600" s="2121">
        <v>2024</v>
      </c>
      <c r="M600" s="2122"/>
      <c r="N600" s="2121">
        <v>2025</v>
      </c>
      <c r="O600" s="2122"/>
      <c r="P600" s="2223" t="s">
        <v>546</v>
      </c>
      <c r="R600" s="1261" t="s">
        <v>1290</v>
      </c>
      <c r="S600" s="1262"/>
      <c r="T600" s="1263"/>
      <c r="U600" s="1264">
        <v>1</v>
      </c>
      <c r="V600" s="1265"/>
      <c r="W600" s="1265"/>
      <c r="X600" s="1265"/>
      <c r="Y600" s="1266"/>
    </row>
    <row r="601" spans="1:25" ht="23.25" customHeight="1" thickBot="1">
      <c r="A601" s="2130"/>
      <c r="B601" s="2133"/>
      <c r="C601" s="2130"/>
      <c r="D601" s="2131"/>
      <c r="E601" s="2181"/>
      <c r="F601" s="1219" t="s">
        <v>1275</v>
      </c>
      <c r="G601" s="1220" t="s">
        <v>1276</v>
      </c>
      <c r="H601" s="1219" t="s">
        <v>1275</v>
      </c>
      <c r="I601" s="1220" t="s">
        <v>1276</v>
      </c>
      <c r="J601" s="1219" t="s">
        <v>1275</v>
      </c>
      <c r="K601" s="1220" t="s">
        <v>1276</v>
      </c>
      <c r="L601" s="1219" t="s">
        <v>1275</v>
      </c>
      <c r="M601" s="1220" t="s">
        <v>1276</v>
      </c>
      <c r="N601" s="1219" t="s">
        <v>1275</v>
      </c>
      <c r="O601" s="1220" t="s">
        <v>1276</v>
      </c>
      <c r="P601" s="2224"/>
      <c r="R601" s="1261" t="s">
        <v>1291</v>
      </c>
      <c r="S601" s="1262"/>
      <c r="T601" s="1270">
        <v>0</v>
      </c>
      <c r="U601" s="1271">
        <f>ROUND(U599*T601,0)</f>
        <v>0</v>
      </c>
      <c r="V601" s="1265"/>
      <c r="W601" s="1265"/>
      <c r="X601" s="1265"/>
      <c r="Y601" s="1266"/>
    </row>
    <row r="602" spans="1:25" ht="24.75" customHeight="1">
      <c r="A602" s="2187" t="s">
        <v>593</v>
      </c>
      <c r="B602" s="2174" t="s">
        <v>594</v>
      </c>
      <c r="C602" s="2189" t="s">
        <v>1380</v>
      </c>
      <c r="D602" s="1038" t="s">
        <v>590</v>
      </c>
      <c r="E602" s="2178">
        <v>2000</v>
      </c>
      <c r="F602" s="1267">
        <v>1</v>
      </c>
      <c r="G602" s="2153">
        <f>F602*F603*E602</f>
        <v>12000</v>
      </c>
      <c r="H602" s="1267">
        <v>0</v>
      </c>
      <c r="I602" s="2153">
        <f>H602*H603*E602</f>
        <v>0</v>
      </c>
      <c r="J602" s="1267">
        <v>1</v>
      </c>
      <c r="K602" s="2153">
        <f>J602*J603*E602</f>
        <v>6000</v>
      </c>
      <c r="L602" s="1267">
        <v>0</v>
      </c>
      <c r="M602" s="2153">
        <f>L602*L603*E602</f>
        <v>0</v>
      </c>
      <c r="N602" s="1267">
        <v>0</v>
      </c>
      <c r="O602" s="2153">
        <f>N602*N603*E602</f>
        <v>0</v>
      </c>
      <c r="P602" s="2223">
        <f>G602+I602+K602+M602+O602</f>
        <v>18000</v>
      </c>
      <c r="R602" s="1261" t="s">
        <v>1292</v>
      </c>
      <c r="S602" s="1262"/>
      <c r="T602" s="1270">
        <v>0</v>
      </c>
      <c r="U602" s="1271">
        <v>20</v>
      </c>
      <c r="V602" s="1265"/>
      <c r="W602" s="1265"/>
      <c r="X602" s="1265"/>
      <c r="Y602" s="1266"/>
    </row>
    <row r="603" spans="1:25" ht="24.75" customHeight="1" thickBot="1">
      <c r="A603" s="2187"/>
      <c r="B603" s="2174"/>
      <c r="C603" s="2190"/>
      <c r="D603" s="1037" t="s">
        <v>549</v>
      </c>
      <c r="E603" s="2179"/>
      <c r="F603" s="1268">
        <v>6</v>
      </c>
      <c r="G603" s="2148"/>
      <c r="H603" s="1268">
        <v>0</v>
      </c>
      <c r="I603" s="2148"/>
      <c r="J603" s="1268">
        <v>3</v>
      </c>
      <c r="K603" s="2148"/>
      <c r="L603" s="1268">
        <v>0</v>
      </c>
      <c r="M603" s="2148"/>
      <c r="N603" s="1268">
        <v>0</v>
      </c>
      <c r="O603" s="2148"/>
      <c r="P603" s="2225"/>
      <c r="R603" s="1276" t="s">
        <v>1294</v>
      </c>
      <c r="S603" s="1277"/>
      <c r="T603" s="1278"/>
      <c r="U603" s="1271">
        <f>U600-1</f>
        <v>0</v>
      </c>
      <c r="V603" s="1265"/>
      <c r="W603" s="1265"/>
      <c r="X603" s="1265"/>
      <c r="Y603" s="1266"/>
    </row>
    <row r="604" spans="1:25" ht="33" customHeight="1" thickBot="1">
      <c r="A604" s="2187"/>
      <c r="B604" s="2174"/>
      <c r="C604" s="805" t="s">
        <v>1381</v>
      </c>
      <c r="D604" s="806" t="s">
        <v>1382</v>
      </c>
      <c r="E604" s="808">
        <v>19320</v>
      </c>
      <c r="F604" s="1289">
        <v>1</v>
      </c>
      <c r="G604" s="1300">
        <f>F604*E604</f>
        <v>19320</v>
      </c>
      <c r="H604" s="1289">
        <v>1</v>
      </c>
      <c r="I604" s="1300">
        <f>H604*E604</f>
        <v>19320</v>
      </c>
      <c r="J604" s="1289">
        <v>1</v>
      </c>
      <c r="K604" s="1300">
        <f>J604*E604</f>
        <v>19320</v>
      </c>
      <c r="L604" s="1289">
        <v>1</v>
      </c>
      <c r="M604" s="1300">
        <f>L604*E604</f>
        <v>19320</v>
      </c>
      <c r="N604" s="1289">
        <v>1</v>
      </c>
      <c r="O604" s="1300">
        <f>N604*E604</f>
        <v>19320</v>
      </c>
      <c r="P604" s="1414">
        <f>G604+I604+K604+M604+O604</f>
        <v>96600</v>
      </c>
      <c r="R604" s="1361" t="s">
        <v>1295</v>
      </c>
      <c r="S604" s="1362" t="s">
        <v>1296</v>
      </c>
      <c r="T604" s="1363" t="s">
        <v>1297</v>
      </c>
      <c r="U604" s="1363" t="s">
        <v>1298</v>
      </c>
      <c r="V604" s="1363" t="s">
        <v>1299</v>
      </c>
      <c r="W604" s="1362" t="s">
        <v>1300</v>
      </c>
      <c r="X604" s="1363" t="s">
        <v>1301</v>
      </c>
      <c r="Y604" s="1364" t="s">
        <v>939</v>
      </c>
    </row>
    <row r="605" spans="1:25" ht="24.75" customHeight="1">
      <c r="A605" s="2187"/>
      <c r="B605" s="2174"/>
      <c r="C605" s="2191" t="s">
        <v>1383</v>
      </c>
      <c r="D605" s="1036" t="s">
        <v>927</v>
      </c>
      <c r="E605" s="2147">
        <v>3.6</v>
      </c>
      <c r="F605" s="1269">
        <v>120</v>
      </c>
      <c r="G605" s="2147">
        <f>F605*F606*E605</f>
        <v>8640</v>
      </c>
      <c r="H605" s="1269">
        <v>120</v>
      </c>
      <c r="I605" s="2147">
        <f>H605*H606*E605</f>
        <v>12960</v>
      </c>
      <c r="J605" s="1269">
        <v>120</v>
      </c>
      <c r="K605" s="2147">
        <f>J605*J606*E605</f>
        <v>10800</v>
      </c>
      <c r="L605" s="1269">
        <v>120</v>
      </c>
      <c r="M605" s="2147">
        <f>L605*L606*E605</f>
        <v>8640</v>
      </c>
      <c r="N605" s="1269">
        <v>120</v>
      </c>
      <c r="O605" s="2172">
        <f>N605*N606*E605</f>
        <v>12960</v>
      </c>
      <c r="P605" s="2226">
        <f>G605+I605+K605+M605+O605</f>
        <v>54000</v>
      </c>
      <c r="R605" s="1279" t="s">
        <v>1302</v>
      </c>
      <c r="S605" s="1280" t="s">
        <v>1427</v>
      </c>
      <c r="T605" s="1281" t="s">
        <v>1428</v>
      </c>
      <c r="U605" s="1282">
        <v>2000</v>
      </c>
      <c r="V605" s="1282" t="s">
        <v>1315</v>
      </c>
      <c r="W605" s="1283">
        <f ca="1">ROUND(IFERROR(IF(V605="MDL",U605,U605*INDIRECT(V605)),0),2)</f>
        <v>2000</v>
      </c>
      <c r="X605" s="1282">
        <f>U598</f>
        <v>2</v>
      </c>
      <c r="Y605" s="1284">
        <f ca="1">U598*W605*X605</f>
        <v>8000</v>
      </c>
    </row>
    <row r="606" spans="1:25" ht="24.75" customHeight="1">
      <c r="A606" s="2187"/>
      <c r="B606" s="2174"/>
      <c r="C606" s="2190"/>
      <c r="D606" s="1037" t="s">
        <v>1303</v>
      </c>
      <c r="E606" s="2148"/>
      <c r="F606" s="1268">
        <v>20</v>
      </c>
      <c r="G606" s="2148"/>
      <c r="H606" s="1268">
        <v>30</v>
      </c>
      <c r="I606" s="2148"/>
      <c r="J606" s="1268">
        <v>25</v>
      </c>
      <c r="K606" s="2148"/>
      <c r="L606" s="1268">
        <v>20</v>
      </c>
      <c r="M606" s="2148"/>
      <c r="N606" s="1268">
        <v>30</v>
      </c>
      <c r="O606" s="2148"/>
      <c r="P606" s="2225"/>
      <c r="R606" s="1285" t="s">
        <v>1304</v>
      </c>
      <c r="S606" s="1286" t="s">
        <v>1429</v>
      </c>
      <c r="T606" s="236" t="s">
        <v>1430</v>
      </c>
      <c r="U606" s="1287">
        <v>75</v>
      </c>
      <c r="V606" s="1287" t="s">
        <v>1315</v>
      </c>
      <c r="W606" s="185">
        <f t="shared" ref="W606:W607" ca="1" si="254">ROUND(IFERROR(IF(V606="MDL",U606,U606*INDIRECT(V606)),0),2)</f>
        <v>75</v>
      </c>
      <c r="X606" s="1287">
        <v>2</v>
      </c>
      <c r="Y606" s="1288">
        <f ca="1">X606*W606*U599*U600</f>
        <v>3750</v>
      </c>
    </row>
    <row r="607" spans="1:25" ht="24.75" customHeight="1">
      <c r="A607" s="2187"/>
      <c r="B607" s="2174"/>
      <c r="C607" s="2191" t="s">
        <v>1384</v>
      </c>
      <c r="D607" s="1035" t="s">
        <v>590</v>
      </c>
      <c r="E607" s="2227">
        <v>2000</v>
      </c>
      <c r="F607" s="1269">
        <v>1</v>
      </c>
      <c r="G607" s="2147">
        <f>F607*F608*E607</f>
        <v>20000</v>
      </c>
      <c r="H607" s="1269">
        <v>0</v>
      </c>
      <c r="I607" s="2147">
        <f>H607*H608*E607</f>
        <v>0</v>
      </c>
      <c r="J607" s="1269">
        <v>1</v>
      </c>
      <c r="K607" s="2147">
        <f>J607*J608*E607</f>
        <v>4000</v>
      </c>
      <c r="L607" s="1269">
        <v>0</v>
      </c>
      <c r="M607" s="2147">
        <f>L607*L608*E607</f>
        <v>0</v>
      </c>
      <c r="N607" s="1269">
        <v>0</v>
      </c>
      <c r="O607" s="2172">
        <f>N607*N608*E607</f>
        <v>0</v>
      </c>
      <c r="P607" s="2226">
        <f>G607+I607+K607+M607+O607</f>
        <v>24000</v>
      </c>
      <c r="R607" s="1285" t="s">
        <v>1307</v>
      </c>
      <c r="S607" s="1286" t="s">
        <v>1431</v>
      </c>
      <c r="T607" s="236" t="s">
        <v>1430</v>
      </c>
      <c r="U607" s="1287">
        <v>220</v>
      </c>
      <c r="V607" s="1287" t="s">
        <v>1315</v>
      </c>
      <c r="W607" s="185">
        <f t="shared" ca="1" si="254"/>
        <v>220</v>
      </c>
      <c r="X607" s="1287">
        <f>U600</f>
        <v>1</v>
      </c>
      <c r="Y607" s="1288">
        <f ca="1">U599*X607*W607</f>
        <v>5500</v>
      </c>
    </row>
    <row r="608" spans="1:25" ht="63" customHeight="1">
      <c r="A608" s="2187"/>
      <c r="B608" s="2174"/>
      <c r="C608" s="2190"/>
      <c r="D608" s="1037" t="s">
        <v>549</v>
      </c>
      <c r="E608" s="2228"/>
      <c r="F608" s="1268">
        <v>10</v>
      </c>
      <c r="G608" s="2148"/>
      <c r="H608" s="1268">
        <v>0</v>
      </c>
      <c r="I608" s="2148"/>
      <c r="J608" s="1268">
        <v>2</v>
      </c>
      <c r="K608" s="2148"/>
      <c r="L608" s="1268">
        <v>0</v>
      </c>
      <c r="M608" s="2148"/>
      <c r="N608" s="1268">
        <v>0</v>
      </c>
      <c r="O608" s="2148"/>
      <c r="P608" s="2225"/>
      <c r="R608" s="1285" t="s">
        <v>1308</v>
      </c>
      <c r="S608" s="1286" t="s">
        <v>1432</v>
      </c>
      <c r="T608" s="236" t="s">
        <v>1433</v>
      </c>
      <c r="U608" s="1287">
        <v>80</v>
      </c>
      <c r="V608" s="1287" t="s">
        <v>1315</v>
      </c>
      <c r="W608" s="185">
        <f ca="1">ROUND(IFERROR(IF(V608="MDL",U608,U608*INDIRECT(V608)),0),2)</f>
        <v>80</v>
      </c>
      <c r="X608" s="1290">
        <v>2</v>
      </c>
      <c r="Y608" s="1288">
        <f ca="1">X608*U602*W608</f>
        <v>3200</v>
      </c>
    </row>
    <row r="609" spans="1:25" ht="40.5" customHeight="1">
      <c r="A609" s="2187"/>
      <c r="B609" s="2174"/>
      <c r="C609" s="805" t="s">
        <v>1385</v>
      </c>
      <c r="D609" s="806" t="s">
        <v>560</v>
      </c>
      <c r="E609" s="1040">
        <v>0</v>
      </c>
      <c r="F609" s="1289">
        <v>1</v>
      </c>
      <c r="G609" s="1300">
        <f>F609*E609</f>
        <v>0</v>
      </c>
      <c r="H609" s="1289">
        <v>1</v>
      </c>
      <c r="I609" s="1300">
        <f>H609*E609</f>
        <v>0</v>
      </c>
      <c r="J609" s="1289">
        <v>1</v>
      </c>
      <c r="K609" s="1300">
        <f>J609*E609</f>
        <v>0</v>
      </c>
      <c r="L609" s="1289">
        <v>1</v>
      </c>
      <c r="M609" s="1300">
        <f>L609*E609</f>
        <v>0</v>
      </c>
      <c r="N609" s="1289">
        <v>1</v>
      </c>
      <c r="O609" s="1300">
        <f>N609*E609</f>
        <v>0</v>
      </c>
      <c r="P609" s="1414">
        <f>G609+I609+K609+M609+O609</f>
        <v>0</v>
      </c>
      <c r="R609" s="1285" t="s">
        <v>1311</v>
      </c>
      <c r="S609" s="1286" t="s">
        <v>1436</v>
      </c>
      <c r="T609" s="236" t="s">
        <v>1428</v>
      </c>
      <c r="U609" s="1287">
        <v>1800</v>
      </c>
      <c r="V609" s="1287" t="s">
        <v>1315</v>
      </c>
      <c r="W609" s="185">
        <f ca="1">ROUND(IFERROR(IF(V609="MDL",U609,U609*INDIRECT(V609)),0),2)</f>
        <v>1800</v>
      </c>
      <c r="X609" s="1287">
        <f>U600</f>
        <v>1</v>
      </c>
      <c r="Y609" s="1288">
        <f ca="1">X609*W609</f>
        <v>1800</v>
      </c>
    </row>
    <row r="610" spans="1:25" ht="40.5" customHeight="1">
      <c r="A610" s="2187"/>
      <c r="B610" s="2174"/>
      <c r="C610" s="805" t="s">
        <v>1386</v>
      </c>
      <c r="D610" s="806" t="s">
        <v>980</v>
      </c>
      <c r="E610" s="1420">
        <f ca="1">Y631</f>
        <v>23957.3</v>
      </c>
      <c r="F610" s="1289">
        <v>1</v>
      </c>
      <c r="G610" s="1300">
        <f ca="1">F610*E610</f>
        <v>23957.3</v>
      </c>
      <c r="H610" s="1289">
        <v>1</v>
      </c>
      <c r="I610" s="1300">
        <f ca="1">H610*E610</f>
        <v>23957.3</v>
      </c>
      <c r="J610" s="1289">
        <v>1</v>
      </c>
      <c r="K610" s="1300">
        <f ca="1">J610*E610</f>
        <v>23957.3</v>
      </c>
      <c r="L610" s="1289">
        <v>1</v>
      </c>
      <c r="M610" s="1300">
        <f ca="1">L610*E610</f>
        <v>23957.3</v>
      </c>
      <c r="N610" s="1289">
        <v>1</v>
      </c>
      <c r="O610" s="1300">
        <f ca="1">N610*E610</f>
        <v>23957.3</v>
      </c>
      <c r="P610" s="1414">
        <f ca="1">G610+I610+K610+M610+O610</f>
        <v>119786.5</v>
      </c>
      <c r="R610" s="1285" t="s">
        <v>1309</v>
      </c>
      <c r="S610" s="1286" t="s">
        <v>1434</v>
      </c>
      <c r="T610" s="236" t="s">
        <v>1435</v>
      </c>
      <c r="U610" s="1287">
        <v>140</v>
      </c>
      <c r="V610" s="1287" t="s">
        <v>1315</v>
      </c>
      <c r="W610" s="185">
        <f ca="1">ROUND(IFERROR(IF(V610="MDL",U610,U610*INDIRECT(V610)),0),2)</f>
        <v>140</v>
      </c>
      <c r="X610" s="1287">
        <v>1</v>
      </c>
      <c r="Y610" s="1288">
        <f ca="1">U600*X610*W610</f>
        <v>140</v>
      </c>
    </row>
    <row r="611" spans="1:25" ht="21.75" customHeight="1">
      <c r="A611" s="2187"/>
      <c r="B611" s="2174"/>
      <c r="C611" s="1416" t="s">
        <v>1285</v>
      </c>
      <c r="D611" s="1314"/>
      <c r="E611" s="1315">
        <v>7.0000000000000007E-2</v>
      </c>
      <c r="F611" s="1316"/>
      <c r="G611" s="1317">
        <f ca="1">(SUM(G602:G610))*E611</f>
        <v>5874.2110000000011</v>
      </c>
      <c r="H611" s="1318"/>
      <c r="I611" s="1317">
        <f ca="1">(SUM(I602:I610))*E611</f>
        <v>3936.6110000000008</v>
      </c>
      <c r="J611" s="1316"/>
      <c r="K611" s="1317">
        <f ca="1">(SUM(K602:K610))*E611</f>
        <v>4485.411000000001</v>
      </c>
      <c r="L611" s="1316"/>
      <c r="M611" s="1317">
        <f ca="1">(SUM(M602:M610))*E611</f>
        <v>3634.2110000000007</v>
      </c>
      <c r="N611" s="1316"/>
      <c r="O611" s="1317">
        <f ca="1">(SUM(O602:O610))*E611</f>
        <v>3936.6110000000008</v>
      </c>
      <c r="P611" s="1417">
        <f ca="1">G611+I611+K611+M611+O611</f>
        <v>21867.055000000004</v>
      </c>
      <c r="R611" s="1285"/>
      <c r="S611" s="185">
        <v>0</v>
      </c>
      <c r="T611" s="185">
        <v>0</v>
      </c>
      <c r="U611" s="1287">
        <v>0</v>
      </c>
      <c r="V611" s="1287">
        <v>0</v>
      </c>
      <c r="W611" s="185"/>
      <c r="X611" s="1287" t="str">
        <f>IFERROR(VLOOKUP(AG626,R608:T609,3,0),"")</f>
        <v/>
      </c>
      <c r="Y611" s="1293">
        <f ca="1">SUM(Y605:Y610)</f>
        <v>22390</v>
      </c>
    </row>
    <row r="612" spans="1:25" ht="21.75" customHeight="1" thickBot="1">
      <c r="A612" s="2187"/>
      <c r="B612" s="2174"/>
      <c r="C612" s="1324" t="s">
        <v>550</v>
      </c>
      <c r="D612" s="1320"/>
      <c r="E612" s="1323"/>
      <c r="F612" s="1322"/>
      <c r="G612" s="1323">
        <f ca="1">SUM(G602:G611)</f>
        <v>89791.510999999999</v>
      </c>
      <c r="H612" s="1324"/>
      <c r="I612" s="1323">
        <f ca="1">SUM(I602:I611)</f>
        <v>60173.911000000007</v>
      </c>
      <c r="J612" s="1324"/>
      <c r="K612" s="1323">
        <f ca="1">SUM(K602:K611)</f>
        <v>68562.71100000001</v>
      </c>
      <c r="L612" s="1324"/>
      <c r="M612" s="1323">
        <f ca="1">SUM(M602:M611)</f>
        <v>55551.511000000006</v>
      </c>
      <c r="N612" s="1324"/>
      <c r="O612" s="1323">
        <f ca="1">SUM(O602:O611)</f>
        <v>60173.911000000007</v>
      </c>
      <c r="P612" s="1418">
        <f ca="1">SUM(P602:P611)</f>
        <v>334253.55499999999</v>
      </c>
      <c r="R612" s="1295" t="s">
        <v>1314</v>
      </c>
      <c r="S612" s="1296" t="s">
        <v>621</v>
      </c>
      <c r="T612" s="1297"/>
      <c r="U612" s="1298">
        <v>7.0000000000000007E-2</v>
      </c>
      <c r="V612" s="1297" t="s">
        <v>1315</v>
      </c>
      <c r="W612" s="1297"/>
      <c r="X612" s="1297"/>
      <c r="Y612" s="1299">
        <f ca="1">ROUND(Y611*U612,2)</f>
        <v>1567.3</v>
      </c>
    </row>
    <row r="613" spans="1:25" ht="21.75" customHeight="1" thickBot="1">
      <c r="A613" s="2188"/>
      <c r="B613" s="2175"/>
      <c r="C613" s="1355" t="s">
        <v>932</v>
      </c>
      <c r="D613" s="1356"/>
      <c r="E613" s="1357"/>
      <c r="F613" s="1358"/>
      <c r="G613" s="1359">
        <f ca="1">G612/P612</f>
        <v>0.26863292747926049</v>
      </c>
      <c r="H613" s="1358"/>
      <c r="I613" s="1359">
        <f ca="1">I612/P612</f>
        <v>0.18002474498737944</v>
      </c>
      <c r="J613" s="1358"/>
      <c r="K613" s="1359">
        <f ca="1">K612/P612</f>
        <v>0.20512186025964635</v>
      </c>
      <c r="L613" s="1358"/>
      <c r="M613" s="1359">
        <f ca="1">M612/P612</f>
        <v>0.16619572228633442</v>
      </c>
      <c r="N613" s="1358"/>
      <c r="O613" s="1359">
        <f ca="1">O612/P612</f>
        <v>0.18002474498737944</v>
      </c>
      <c r="P613" s="1419"/>
      <c r="R613" s="1301" t="s">
        <v>1317</v>
      </c>
      <c r="S613" s="1302"/>
      <c r="T613" s="1302"/>
      <c r="U613" s="1302"/>
      <c r="V613" s="1302"/>
      <c r="W613" s="1302"/>
      <c r="X613" s="1302"/>
      <c r="Y613" s="1303">
        <f ca="1">Y612+Y611</f>
        <v>23957.3</v>
      </c>
    </row>
    <row r="614" spans="1:25" ht="23.25" customHeight="1" thickBot="1">
      <c r="A614" s="2128" t="s">
        <v>1272</v>
      </c>
      <c r="B614" s="2132"/>
      <c r="C614" s="2128" t="s">
        <v>545</v>
      </c>
      <c r="D614" s="2129" t="s">
        <v>1273</v>
      </c>
      <c r="E614" s="2180" t="s">
        <v>1274</v>
      </c>
      <c r="F614" s="2121">
        <v>2021</v>
      </c>
      <c r="G614" s="2122"/>
      <c r="H614" s="2121">
        <v>2022</v>
      </c>
      <c r="I614" s="2122"/>
      <c r="J614" s="2121">
        <v>2023</v>
      </c>
      <c r="K614" s="2122"/>
      <c r="L614" s="2121">
        <v>2024</v>
      </c>
      <c r="M614" s="2122"/>
      <c r="N614" s="2121">
        <v>2025</v>
      </c>
      <c r="O614" s="2122"/>
      <c r="P614" s="2223" t="s">
        <v>546</v>
      </c>
    </row>
    <row r="615" spans="1:25" ht="23.25" customHeight="1" thickBot="1">
      <c r="A615" s="2130"/>
      <c r="B615" s="2133"/>
      <c r="C615" s="2130"/>
      <c r="D615" s="2131"/>
      <c r="E615" s="2181"/>
      <c r="F615" s="1219" t="s">
        <v>1275</v>
      </c>
      <c r="G615" s="1220" t="s">
        <v>1276</v>
      </c>
      <c r="H615" s="1219" t="s">
        <v>1275</v>
      </c>
      <c r="I615" s="1220" t="s">
        <v>1276</v>
      </c>
      <c r="J615" s="1219" t="s">
        <v>1275</v>
      </c>
      <c r="K615" s="1220" t="s">
        <v>1276</v>
      </c>
      <c r="L615" s="1219" t="s">
        <v>1275</v>
      </c>
      <c r="M615" s="1220" t="s">
        <v>1276</v>
      </c>
      <c r="N615" s="1219" t="s">
        <v>1275</v>
      </c>
      <c r="O615" s="1220" t="s">
        <v>1276</v>
      </c>
      <c r="P615" s="2224"/>
      <c r="R615" s="1370" t="s">
        <v>1387</v>
      </c>
      <c r="S615" s="1371"/>
      <c r="T615" s="1371"/>
      <c r="U615" s="1371"/>
      <c r="V615" s="1371"/>
      <c r="W615" s="1371"/>
      <c r="X615" s="1371"/>
      <c r="Y615" s="1372"/>
    </row>
    <row r="616" spans="1:25" ht="24.75" customHeight="1">
      <c r="A616" s="2187" t="s">
        <v>595</v>
      </c>
      <c r="B616" s="2174" t="s">
        <v>596</v>
      </c>
      <c r="C616" s="2189" t="s">
        <v>981</v>
      </c>
      <c r="D616" s="1038" t="s">
        <v>590</v>
      </c>
      <c r="E616" s="2178">
        <v>2000</v>
      </c>
      <c r="F616" s="1267">
        <v>1</v>
      </c>
      <c r="G616" s="2153">
        <f>F616*F617*E616</f>
        <v>8000</v>
      </c>
      <c r="H616" s="1267">
        <v>1</v>
      </c>
      <c r="I616" s="2153">
        <f>H616*H617*E616</f>
        <v>8000</v>
      </c>
      <c r="J616" s="1267">
        <v>1</v>
      </c>
      <c r="K616" s="2153">
        <f>J616*J617*E616</f>
        <v>8000</v>
      </c>
      <c r="L616" s="1267">
        <v>1</v>
      </c>
      <c r="M616" s="2153">
        <f>L616*L617*E616</f>
        <v>8000</v>
      </c>
      <c r="N616" s="1267">
        <v>1</v>
      </c>
      <c r="O616" s="2153">
        <f>N616*N617*E616</f>
        <v>8000</v>
      </c>
      <c r="P616" s="2223">
        <f>G616+I616+K616+M616+O616</f>
        <v>40000</v>
      </c>
      <c r="R616" s="1261" t="s">
        <v>1287</v>
      </c>
      <c r="S616" s="1262"/>
      <c r="T616" s="1263"/>
      <c r="U616" s="1264">
        <v>2</v>
      </c>
      <c r="V616" s="1265"/>
      <c r="W616" s="1265"/>
      <c r="X616" s="1265"/>
      <c r="Y616" s="1266"/>
    </row>
    <row r="617" spans="1:25" ht="24.75" customHeight="1">
      <c r="A617" s="2187"/>
      <c r="B617" s="2174"/>
      <c r="C617" s="2190"/>
      <c r="D617" s="1037" t="s">
        <v>549</v>
      </c>
      <c r="E617" s="2179"/>
      <c r="F617" s="1268">
        <v>4</v>
      </c>
      <c r="G617" s="2148"/>
      <c r="H617" s="1268">
        <v>4</v>
      </c>
      <c r="I617" s="2148"/>
      <c r="J617" s="1268">
        <v>4</v>
      </c>
      <c r="K617" s="2148"/>
      <c r="L617" s="1268">
        <v>4</v>
      </c>
      <c r="M617" s="2148"/>
      <c r="N617" s="1268">
        <v>4</v>
      </c>
      <c r="O617" s="2148"/>
      <c r="P617" s="2225"/>
      <c r="R617" s="1261" t="s">
        <v>1289</v>
      </c>
      <c r="S617" s="1262"/>
      <c r="T617" s="1263"/>
      <c r="U617" s="1264">
        <v>25</v>
      </c>
      <c r="V617" s="1265"/>
      <c r="W617" s="1265"/>
      <c r="X617" s="1265"/>
      <c r="Y617" s="1266"/>
    </row>
    <row r="618" spans="1:25" ht="33" customHeight="1">
      <c r="A618" s="2187"/>
      <c r="B618" s="2174"/>
      <c r="C618" s="805" t="s">
        <v>597</v>
      </c>
      <c r="D618" s="806" t="s">
        <v>1388</v>
      </c>
      <c r="E618" s="808">
        <v>40</v>
      </c>
      <c r="F618" s="1289">
        <v>40</v>
      </c>
      <c r="G618" s="1300">
        <f>F618*E618</f>
        <v>1600</v>
      </c>
      <c r="H618" s="1289">
        <v>80</v>
      </c>
      <c r="I618" s="1300">
        <f>H618*E618</f>
        <v>3200</v>
      </c>
      <c r="J618" s="1289">
        <v>120</v>
      </c>
      <c r="K618" s="1300">
        <f>J618*E618</f>
        <v>4800</v>
      </c>
      <c r="L618" s="1289">
        <v>160</v>
      </c>
      <c r="M618" s="1300">
        <f>L618*E618</f>
        <v>6400</v>
      </c>
      <c r="N618" s="1289">
        <v>200</v>
      </c>
      <c r="O618" s="1300">
        <f>N618*E618</f>
        <v>8000</v>
      </c>
      <c r="P618" s="1414">
        <f>G618+I618+K618+M618+O618</f>
        <v>24000</v>
      </c>
      <c r="R618" s="1261" t="s">
        <v>1290</v>
      </c>
      <c r="S618" s="1262"/>
      <c r="T618" s="1263"/>
      <c r="U618" s="1264">
        <v>1</v>
      </c>
      <c r="V618" s="1265"/>
      <c r="W618" s="1265"/>
      <c r="X618" s="1265"/>
      <c r="Y618" s="1266"/>
    </row>
    <row r="619" spans="1:25" ht="21.75" customHeight="1">
      <c r="A619" s="2187"/>
      <c r="B619" s="2174"/>
      <c r="C619" s="1416" t="s">
        <v>1285</v>
      </c>
      <c r="D619" s="1314"/>
      <c r="E619" s="1315">
        <v>7.0000000000000007E-2</v>
      </c>
      <c r="F619" s="1316"/>
      <c r="G619" s="1317">
        <f>(SUM(G616:G618))*E619</f>
        <v>672.00000000000011</v>
      </c>
      <c r="H619" s="1318"/>
      <c r="I619" s="1317">
        <f>(SUM(I616:I618))*E619</f>
        <v>784.00000000000011</v>
      </c>
      <c r="J619" s="1316"/>
      <c r="K619" s="1317">
        <f>(SUM(K616:K618))*E619</f>
        <v>896.00000000000011</v>
      </c>
      <c r="L619" s="1316"/>
      <c r="M619" s="1317">
        <f>(SUM(M616:M618))*E619</f>
        <v>1008.0000000000001</v>
      </c>
      <c r="N619" s="1316"/>
      <c r="O619" s="1317">
        <f>(SUM(O616:O618))*E619</f>
        <v>1120</v>
      </c>
      <c r="P619" s="1417">
        <f>G619+I619+K619+M619+O619</f>
        <v>4480</v>
      </c>
      <c r="R619" s="1261" t="s">
        <v>1291</v>
      </c>
      <c r="S619" s="1262"/>
      <c r="T619" s="1270">
        <v>0</v>
      </c>
      <c r="U619" s="1271">
        <f>ROUND(U617*T619,0)</f>
        <v>0</v>
      </c>
      <c r="V619" s="1265"/>
      <c r="W619" s="1265"/>
      <c r="X619" s="1265"/>
      <c r="Y619" s="1266"/>
    </row>
    <row r="620" spans="1:25" ht="21.75" customHeight="1">
      <c r="A620" s="2187"/>
      <c r="B620" s="2174"/>
      <c r="C620" s="1324" t="s">
        <v>550</v>
      </c>
      <c r="D620" s="1320"/>
      <c r="E620" s="1323"/>
      <c r="F620" s="1322"/>
      <c r="G620" s="1323">
        <f>SUM(G616:G619)</f>
        <v>10272</v>
      </c>
      <c r="H620" s="1324"/>
      <c r="I620" s="1323">
        <f>SUM(I616:I619)</f>
        <v>11984</v>
      </c>
      <c r="J620" s="1324"/>
      <c r="K620" s="1323">
        <f>SUM(K616:K619)</f>
        <v>13696</v>
      </c>
      <c r="L620" s="1324"/>
      <c r="M620" s="1323">
        <f>SUM(M616:M619)</f>
        <v>15408</v>
      </c>
      <c r="N620" s="1324"/>
      <c r="O620" s="1323">
        <f>SUM(O616:O619)</f>
        <v>17120</v>
      </c>
      <c r="P620" s="1418">
        <f>SUM(P616:P619)</f>
        <v>68480</v>
      </c>
      <c r="R620" s="1261" t="s">
        <v>1292</v>
      </c>
      <c r="S620" s="1262"/>
      <c r="T620" s="1270">
        <v>0</v>
      </c>
      <c r="U620" s="1271">
        <v>20</v>
      </c>
      <c r="V620" s="1265"/>
      <c r="W620" s="1265"/>
      <c r="X620" s="1265"/>
      <c r="Y620" s="1266"/>
    </row>
    <row r="621" spans="1:25" ht="21.75" customHeight="1" thickBot="1">
      <c r="A621" s="2188"/>
      <c r="B621" s="2175"/>
      <c r="C621" s="1355" t="s">
        <v>932</v>
      </c>
      <c r="D621" s="1356"/>
      <c r="E621" s="1357"/>
      <c r="F621" s="1358"/>
      <c r="G621" s="1359">
        <f>G620/P620</f>
        <v>0.15</v>
      </c>
      <c r="H621" s="1358"/>
      <c r="I621" s="1359">
        <f>I620/P620</f>
        <v>0.17499999999999999</v>
      </c>
      <c r="J621" s="1358"/>
      <c r="K621" s="1359">
        <f>K620/P620</f>
        <v>0.2</v>
      </c>
      <c r="L621" s="1358"/>
      <c r="M621" s="1359">
        <f>M620/P620</f>
        <v>0.22500000000000001</v>
      </c>
      <c r="N621" s="1358"/>
      <c r="O621" s="1359">
        <f>O620/P620</f>
        <v>0.25</v>
      </c>
      <c r="P621" s="1419"/>
      <c r="R621" s="1276" t="s">
        <v>1294</v>
      </c>
      <c r="S621" s="1277"/>
      <c r="T621" s="1278"/>
      <c r="U621" s="1271">
        <f>U618-1</f>
        <v>0</v>
      </c>
      <c r="V621" s="1265"/>
      <c r="W621" s="1265"/>
      <c r="X621" s="1265"/>
      <c r="Y621" s="1266"/>
    </row>
    <row r="622" spans="1:25" ht="30.75" customHeight="1" thickBot="1">
      <c r="B622" s="388"/>
      <c r="C622" s="645"/>
      <c r="D622" s="645"/>
      <c r="E622" s="674"/>
      <c r="F622" s="674"/>
      <c r="G622" s="674"/>
      <c r="H622" s="674"/>
      <c r="I622" s="674"/>
      <c r="J622" s="645"/>
      <c r="K622" s="645"/>
      <c r="L622" s="645"/>
      <c r="R622" s="1361" t="s">
        <v>1295</v>
      </c>
      <c r="S622" s="1362" t="s">
        <v>1296</v>
      </c>
      <c r="T622" s="1363" t="s">
        <v>1297</v>
      </c>
      <c r="U622" s="1363" t="s">
        <v>1298</v>
      </c>
      <c r="V622" s="1363" t="s">
        <v>1299</v>
      </c>
      <c r="W622" s="1362" t="s">
        <v>1300</v>
      </c>
      <c r="X622" s="1363" t="s">
        <v>1301</v>
      </c>
      <c r="Y622" s="1364" t="s">
        <v>939</v>
      </c>
    </row>
    <row r="623" spans="1:25" ht="26.25" customHeight="1" thickBot="1">
      <c r="B623" s="388" t="s">
        <v>1389</v>
      </c>
      <c r="C623" s="645"/>
      <c r="D623" s="645"/>
      <c r="E623" s="674"/>
      <c r="F623" s="674"/>
      <c r="G623" s="674"/>
      <c r="H623" s="674"/>
      <c r="I623" s="674"/>
      <c r="J623" s="645"/>
      <c r="K623" s="645"/>
      <c r="L623" s="645"/>
      <c r="R623" s="1279" t="s">
        <v>1302</v>
      </c>
      <c r="S623" s="1280" t="s">
        <v>1427</v>
      </c>
      <c r="T623" s="1281" t="s">
        <v>1428</v>
      </c>
      <c r="U623" s="1282">
        <v>2000</v>
      </c>
      <c r="V623" s="1282" t="s">
        <v>1315</v>
      </c>
      <c r="W623" s="1283">
        <f ca="1">ROUND(IFERROR(IF(V623="MDL",U623,U623*INDIRECT(V623)),0),2)</f>
        <v>2000</v>
      </c>
      <c r="X623" s="1282">
        <f>U616</f>
        <v>2</v>
      </c>
      <c r="Y623" s="1284">
        <f ca="1">U616*W623*X623</f>
        <v>8000</v>
      </c>
    </row>
    <row r="624" spans="1:25" ht="23.25" customHeight="1">
      <c r="A624" s="2128" t="s">
        <v>1272</v>
      </c>
      <c r="B624" s="2132"/>
      <c r="C624" s="2128" t="s">
        <v>545</v>
      </c>
      <c r="D624" s="2129" t="s">
        <v>1273</v>
      </c>
      <c r="E624" s="2180" t="s">
        <v>1274</v>
      </c>
      <c r="F624" s="2121">
        <v>2021</v>
      </c>
      <c r="G624" s="2122"/>
      <c r="H624" s="2121">
        <v>2022</v>
      </c>
      <c r="I624" s="2122"/>
      <c r="J624" s="2121">
        <v>2023</v>
      </c>
      <c r="K624" s="2122"/>
      <c r="L624" s="2121">
        <v>2024</v>
      </c>
      <c r="M624" s="2122"/>
      <c r="N624" s="2121">
        <v>2025</v>
      </c>
      <c r="O624" s="2122"/>
      <c r="P624" s="2223" t="s">
        <v>546</v>
      </c>
      <c r="R624" s="1285" t="s">
        <v>1304</v>
      </c>
      <c r="S624" s="1286" t="s">
        <v>1429</v>
      </c>
      <c r="T624" s="236" t="s">
        <v>1430</v>
      </c>
      <c r="U624" s="1287">
        <v>75</v>
      </c>
      <c r="V624" s="1287" t="s">
        <v>1315</v>
      </c>
      <c r="W624" s="185">
        <f t="shared" ref="W624:W625" ca="1" si="255">ROUND(IFERROR(IF(V624="MDL",U624,U624*INDIRECT(V624)),0),2)</f>
        <v>75</v>
      </c>
      <c r="X624" s="1287">
        <v>2</v>
      </c>
      <c r="Y624" s="1288">
        <f ca="1">X624*W624*U617*U618</f>
        <v>3750</v>
      </c>
    </row>
    <row r="625" spans="1:25" ht="23.25" customHeight="1" thickBot="1">
      <c r="A625" s="2130"/>
      <c r="B625" s="2133"/>
      <c r="C625" s="2130"/>
      <c r="D625" s="2131"/>
      <c r="E625" s="2181"/>
      <c r="F625" s="1219" t="s">
        <v>1275</v>
      </c>
      <c r="G625" s="1220" t="s">
        <v>1276</v>
      </c>
      <c r="H625" s="1219" t="s">
        <v>1275</v>
      </c>
      <c r="I625" s="1220" t="s">
        <v>1276</v>
      </c>
      <c r="J625" s="1219" t="s">
        <v>1275</v>
      </c>
      <c r="K625" s="1220" t="s">
        <v>1276</v>
      </c>
      <c r="L625" s="1219" t="s">
        <v>1275</v>
      </c>
      <c r="M625" s="1220" t="s">
        <v>1276</v>
      </c>
      <c r="N625" s="1219" t="s">
        <v>1275</v>
      </c>
      <c r="O625" s="1220" t="s">
        <v>1276</v>
      </c>
      <c r="P625" s="2224"/>
      <c r="R625" s="1285" t="s">
        <v>1307</v>
      </c>
      <c r="S625" s="1286" t="s">
        <v>1431</v>
      </c>
      <c r="T625" s="236" t="s">
        <v>1430</v>
      </c>
      <c r="U625" s="1287">
        <v>220</v>
      </c>
      <c r="V625" s="1287" t="s">
        <v>1315</v>
      </c>
      <c r="W625" s="185">
        <f t="shared" ca="1" si="255"/>
        <v>220</v>
      </c>
      <c r="X625" s="1287">
        <f>U618</f>
        <v>1</v>
      </c>
      <c r="Y625" s="1288">
        <f ca="1">U617*X625*W625</f>
        <v>5500</v>
      </c>
    </row>
    <row r="626" spans="1:25" ht="24.75" customHeight="1">
      <c r="A626" s="2187" t="s">
        <v>599</v>
      </c>
      <c r="B626" s="2174" t="s">
        <v>600</v>
      </c>
      <c r="C626" s="2232" t="s">
        <v>601</v>
      </c>
      <c r="D626" s="1038" t="s">
        <v>548</v>
      </c>
      <c r="E626" s="2178">
        <v>2000</v>
      </c>
      <c r="F626" s="1267">
        <v>2</v>
      </c>
      <c r="G626" s="2153">
        <f>F626*F627*E626</f>
        <v>20000</v>
      </c>
      <c r="H626" s="1267">
        <v>0</v>
      </c>
      <c r="I626" s="2153">
        <f>H626*H627*E626</f>
        <v>0</v>
      </c>
      <c r="J626" s="1267">
        <v>0</v>
      </c>
      <c r="K626" s="2153">
        <f>J626*J627*E626</f>
        <v>0</v>
      </c>
      <c r="L626" s="1267">
        <v>0</v>
      </c>
      <c r="M626" s="2153">
        <f>L626*L627*E626</f>
        <v>0</v>
      </c>
      <c r="N626" s="1267">
        <v>2</v>
      </c>
      <c r="O626" s="2153">
        <f>N626*N627*E626</f>
        <v>16000</v>
      </c>
      <c r="P626" s="2223">
        <f>G626+I626+K626+M626+O626</f>
        <v>36000</v>
      </c>
      <c r="R626" s="1285" t="s">
        <v>1308</v>
      </c>
      <c r="S626" s="1286" t="s">
        <v>1432</v>
      </c>
      <c r="T626" s="236" t="s">
        <v>1433</v>
      </c>
      <c r="U626" s="1287">
        <v>80</v>
      </c>
      <c r="V626" s="1287" t="s">
        <v>1315</v>
      </c>
      <c r="W626" s="185">
        <f ca="1">ROUND(IFERROR(IF(V626="MDL",U626,U626*INDIRECT(V626)),0),2)</f>
        <v>80</v>
      </c>
      <c r="X626" s="1290">
        <v>2</v>
      </c>
      <c r="Y626" s="1288">
        <f ca="1">X626*U620*W626</f>
        <v>3200</v>
      </c>
    </row>
    <row r="627" spans="1:25" ht="24.75" customHeight="1">
      <c r="A627" s="2187"/>
      <c r="B627" s="2174"/>
      <c r="C627" s="2231"/>
      <c r="D627" s="1037" t="s">
        <v>549</v>
      </c>
      <c r="E627" s="2179"/>
      <c r="F627" s="1268">
        <v>5</v>
      </c>
      <c r="G627" s="2148"/>
      <c r="H627" s="1268">
        <v>0</v>
      </c>
      <c r="I627" s="2148"/>
      <c r="J627" s="1268">
        <v>0</v>
      </c>
      <c r="K627" s="2148"/>
      <c r="L627" s="1268">
        <v>0</v>
      </c>
      <c r="M627" s="2148"/>
      <c r="N627" s="1268">
        <v>4</v>
      </c>
      <c r="O627" s="2148"/>
      <c r="P627" s="2225"/>
      <c r="R627" s="1285" t="s">
        <v>1311</v>
      </c>
      <c r="S627" s="1286" t="s">
        <v>1436</v>
      </c>
      <c r="T627" s="236" t="s">
        <v>1428</v>
      </c>
      <c r="U627" s="1287">
        <v>1800</v>
      </c>
      <c r="V627" s="1287" t="s">
        <v>1315</v>
      </c>
      <c r="W627" s="185">
        <f ca="1">ROUND(IFERROR(IF(V627="MDL",U627,U627*INDIRECT(V627)),0),2)</f>
        <v>1800</v>
      </c>
      <c r="X627" s="1287">
        <f>U618</f>
        <v>1</v>
      </c>
      <c r="Y627" s="1288">
        <f ca="1">X627*W627</f>
        <v>1800</v>
      </c>
    </row>
    <row r="628" spans="1:25" ht="24.75" customHeight="1">
      <c r="A628" s="2187"/>
      <c r="B628" s="2174"/>
      <c r="C628" s="2230" t="s">
        <v>982</v>
      </c>
      <c r="D628" s="1035" t="s">
        <v>602</v>
      </c>
      <c r="E628" s="2185">
        <v>2000</v>
      </c>
      <c r="F628" s="1330">
        <v>2</v>
      </c>
      <c r="G628" s="2172">
        <f>F628*F629*E628</f>
        <v>8000</v>
      </c>
      <c r="H628" s="1330">
        <v>0</v>
      </c>
      <c r="I628" s="2172">
        <f>H628*H629*E628</f>
        <v>0</v>
      </c>
      <c r="J628" s="1330">
        <v>0</v>
      </c>
      <c r="K628" s="2172">
        <f>J628*J629*E628</f>
        <v>0</v>
      </c>
      <c r="L628" s="1330">
        <v>0</v>
      </c>
      <c r="M628" s="2172">
        <f>L628*L629*E628</f>
        <v>0</v>
      </c>
      <c r="N628" s="1330">
        <v>2</v>
      </c>
      <c r="O628" s="2172">
        <f>N628*N629*E628</f>
        <v>16000</v>
      </c>
      <c r="P628" s="2229">
        <f>G628+I628+K628+M628+O628</f>
        <v>24000</v>
      </c>
      <c r="R628" s="1285" t="s">
        <v>1309</v>
      </c>
      <c r="S628" s="1286" t="s">
        <v>1434</v>
      </c>
      <c r="T628" s="236" t="s">
        <v>1435</v>
      </c>
      <c r="U628" s="1287">
        <v>140</v>
      </c>
      <c r="V628" s="1287" t="s">
        <v>1315</v>
      </c>
      <c r="W628" s="185">
        <f ca="1">ROUND(IFERROR(IF(V628="MDL",U628,U628*INDIRECT(V628)),0),2)</f>
        <v>140</v>
      </c>
      <c r="X628" s="1287">
        <v>1</v>
      </c>
      <c r="Y628" s="1288">
        <f ca="1">U618*X628*W628</f>
        <v>140</v>
      </c>
    </row>
    <row r="629" spans="1:25" ht="24.75" customHeight="1">
      <c r="A629" s="2187"/>
      <c r="B629" s="2174"/>
      <c r="C629" s="2231"/>
      <c r="D629" s="1037" t="s">
        <v>549</v>
      </c>
      <c r="E629" s="2179"/>
      <c r="F629" s="1268">
        <v>2</v>
      </c>
      <c r="G629" s="2148"/>
      <c r="H629" s="1268">
        <v>0</v>
      </c>
      <c r="I629" s="2148"/>
      <c r="J629" s="1268">
        <v>0</v>
      </c>
      <c r="K629" s="2148"/>
      <c r="L629" s="1268">
        <v>0</v>
      </c>
      <c r="M629" s="2148"/>
      <c r="N629" s="1268">
        <v>4</v>
      </c>
      <c r="O629" s="2148"/>
      <c r="P629" s="2225"/>
      <c r="R629" s="1285"/>
      <c r="S629" s="185">
        <v>0</v>
      </c>
      <c r="T629" s="185">
        <v>0</v>
      </c>
      <c r="U629" s="1287">
        <v>0</v>
      </c>
      <c r="V629" s="1287">
        <v>0</v>
      </c>
      <c r="W629" s="185"/>
      <c r="X629" s="1287" t="str">
        <f>IFERROR(VLOOKUP(AG644,R626:T627,3,0),"")</f>
        <v/>
      </c>
      <c r="Y629" s="1293">
        <f ca="1">SUM(Y623:Y628)</f>
        <v>22390</v>
      </c>
    </row>
    <row r="630" spans="1:25" ht="24.75" customHeight="1" thickBot="1">
      <c r="A630" s="2187"/>
      <c r="B630" s="2174"/>
      <c r="C630" s="1421" t="s">
        <v>1390</v>
      </c>
      <c r="D630" s="806" t="s">
        <v>560</v>
      </c>
      <c r="E630" s="1422">
        <v>0</v>
      </c>
      <c r="F630" s="1289">
        <v>0</v>
      </c>
      <c r="G630" s="1300">
        <f>F630*E630</f>
        <v>0</v>
      </c>
      <c r="H630" s="1289">
        <v>0</v>
      </c>
      <c r="I630" s="1300">
        <f>H630*E630</f>
        <v>0</v>
      </c>
      <c r="J630" s="1289">
        <v>0</v>
      </c>
      <c r="K630" s="1300">
        <f>J630*E630</f>
        <v>0</v>
      </c>
      <c r="L630" s="1289">
        <v>0</v>
      </c>
      <c r="M630" s="1300">
        <f>L630*E630</f>
        <v>0</v>
      </c>
      <c r="N630" s="1289">
        <v>0</v>
      </c>
      <c r="O630" s="1300">
        <f>N630*E630</f>
        <v>0</v>
      </c>
      <c r="P630" s="1414">
        <f>G630+I630+K630+M630+O630</f>
        <v>0</v>
      </c>
      <c r="R630" s="1295" t="s">
        <v>1314</v>
      </c>
      <c r="S630" s="1296" t="s">
        <v>621</v>
      </c>
      <c r="T630" s="1297"/>
      <c r="U630" s="1298">
        <v>7.0000000000000007E-2</v>
      </c>
      <c r="V630" s="1297" t="s">
        <v>1315</v>
      </c>
      <c r="W630" s="1297"/>
      <c r="X630" s="1297"/>
      <c r="Y630" s="1299">
        <f ca="1">ROUND(Y629*U630,2)</f>
        <v>1567.3</v>
      </c>
    </row>
    <row r="631" spans="1:25" ht="24.75" customHeight="1" thickBot="1">
      <c r="A631" s="2187"/>
      <c r="B631" s="2174"/>
      <c r="C631" s="2230" t="s">
        <v>1391</v>
      </c>
      <c r="D631" s="1233" t="s">
        <v>604</v>
      </c>
      <c r="E631" s="2147">
        <v>2</v>
      </c>
      <c r="F631" s="1330">
        <v>55</v>
      </c>
      <c r="G631" s="2172">
        <f>F631*F632*E631</f>
        <v>27500</v>
      </c>
      <c r="H631" s="1330">
        <v>0</v>
      </c>
      <c r="I631" s="2172">
        <f>H631*H632*E631</f>
        <v>0</v>
      </c>
      <c r="J631" s="1330">
        <v>0</v>
      </c>
      <c r="K631" s="2172">
        <f>J631*J632*E631</f>
        <v>0</v>
      </c>
      <c r="L631" s="1330">
        <v>0</v>
      </c>
      <c r="M631" s="2172">
        <f>L631*L632*E631</f>
        <v>0</v>
      </c>
      <c r="N631" s="1330">
        <v>55</v>
      </c>
      <c r="O631" s="2172">
        <f>N631*N632*E631</f>
        <v>27500</v>
      </c>
      <c r="P631" s="2229">
        <f>G631+I631+K631+M631+O631</f>
        <v>55000</v>
      </c>
      <c r="R631" s="1301" t="s">
        <v>1317</v>
      </c>
      <c r="S631" s="1302"/>
      <c r="T631" s="1302"/>
      <c r="U631" s="1302"/>
      <c r="V631" s="1302"/>
      <c r="W631" s="1302"/>
      <c r="X631" s="1302"/>
      <c r="Y631" s="1303">
        <f ca="1">Y630+Y629</f>
        <v>23957.3</v>
      </c>
    </row>
    <row r="632" spans="1:25" ht="24.75" customHeight="1">
      <c r="A632" s="2187"/>
      <c r="B632" s="2174"/>
      <c r="C632" s="2231"/>
      <c r="D632" s="1234" t="s">
        <v>605</v>
      </c>
      <c r="E632" s="2148"/>
      <c r="F632" s="1268">
        <v>250</v>
      </c>
      <c r="G632" s="2148"/>
      <c r="H632" s="1268">
        <v>0</v>
      </c>
      <c r="I632" s="2148"/>
      <c r="J632" s="1268">
        <v>0</v>
      </c>
      <c r="K632" s="2148"/>
      <c r="L632" s="1268">
        <v>0</v>
      </c>
      <c r="M632" s="2148"/>
      <c r="N632" s="1268">
        <v>250</v>
      </c>
      <c r="O632" s="2148"/>
      <c r="P632" s="2225"/>
    </row>
    <row r="633" spans="1:25" ht="24.75" customHeight="1">
      <c r="A633" s="2187"/>
      <c r="B633" s="2174"/>
      <c r="C633" s="1421" t="s">
        <v>1392</v>
      </c>
      <c r="D633" s="1037" t="s">
        <v>560</v>
      </c>
      <c r="E633" s="1040">
        <v>0</v>
      </c>
      <c r="F633" s="1289">
        <v>0</v>
      </c>
      <c r="G633" s="1300">
        <f>F633*E633</f>
        <v>0</v>
      </c>
      <c r="H633" s="1289">
        <v>0</v>
      </c>
      <c r="I633" s="1300">
        <f>H633*E633</f>
        <v>0</v>
      </c>
      <c r="J633" s="1289">
        <v>0</v>
      </c>
      <c r="K633" s="1300">
        <f>J633*E633</f>
        <v>0</v>
      </c>
      <c r="L633" s="1289">
        <v>0</v>
      </c>
      <c r="M633" s="1300">
        <f>L633*E633</f>
        <v>0</v>
      </c>
      <c r="N633" s="1289">
        <v>0</v>
      </c>
      <c r="O633" s="1300">
        <f>N633*E633</f>
        <v>0</v>
      </c>
      <c r="P633" s="1414">
        <f>G633+I633+K633+M633+O633</f>
        <v>0</v>
      </c>
    </row>
    <row r="634" spans="1:25" ht="21.75" customHeight="1">
      <c r="A634" s="2187"/>
      <c r="B634" s="2174"/>
      <c r="C634" s="1416" t="s">
        <v>1285</v>
      </c>
      <c r="D634" s="1314"/>
      <c r="E634" s="1315">
        <v>7.0000000000000007E-2</v>
      </c>
      <c r="F634" s="1316"/>
      <c r="G634" s="1317">
        <f>(SUM(G626:G633))*E634</f>
        <v>3885.0000000000005</v>
      </c>
      <c r="H634" s="1318"/>
      <c r="I634" s="1317">
        <f>(SUM(I626:I633))*E634</f>
        <v>0</v>
      </c>
      <c r="J634" s="1316"/>
      <c r="K634" s="1317">
        <f>(SUM(K626:K633))*E634</f>
        <v>0</v>
      </c>
      <c r="L634" s="1316"/>
      <c r="M634" s="1317">
        <f>(SUM(M626:M633))*E634</f>
        <v>0</v>
      </c>
      <c r="N634" s="1316"/>
      <c r="O634" s="1317">
        <f>(SUM(O626:O633))*E634</f>
        <v>4165</v>
      </c>
      <c r="P634" s="1417">
        <f>G634+I634+K634+M634+O634</f>
        <v>8050</v>
      </c>
    </row>
    <row r="635" spans="1:25" ht="21.75" customHeight="1">
      <c r="A635" s="2187"/>
      <c r="B635" s="2174"/>
      <c r="C635" s="1324" t="s">
        <v>550</v>
      </c>
      <c r="D635" s="1320"/>
      <c r="E635" s="1323"/>
      <c r="F635" s="1322"/>
      <c r="G635" s="1323">
        <f>SUM(G626:G634)</f>
        <v>59385</v>
      </c>
      <c r="H635" s="1324"/>
      <c r="I635" s="1323">
        <f>SUM(I626:I634)</f>
        <v>0</v>
      </c>
      <c r="J635" s="1324"/>
      <c r="K635" s="1323">
        <f>SUM(K626:K634)</f>
        <v>0</v>
      </c>
      <c r="L635" s="1324"/>
      <c r="M635" s="1323">
        <f>SUM(M626:M634)</f>
        <v>0</v>
      </c>
      <c r="N635" s="1324"/>
      <c r="O635" s="1323">
        <f>SUM(O626:O634)</f>
        <v>63665</v>
      </c>
      <c r="P635" s="1418">
        <f>SUM(P626:P634)</f>
        <v>123050</v>
      </c>
    </row>
    <row r="636" spans="1:25" ht="21.75" customHeight="1" thickBot="1">
      <c r="A636" s="2188"/>
      <c r="B636" s="2175"/>
      <c r="C636" s="1355" t="s">
        <v>932</v>
      </c>
      <c r="D636" s="1356"/>
      <c r="E636" s="1357"/>
      <c r="F636" s="1358"/>
      <c r="G636" s="1359">
        <f>G635/P635</f>
        <v>0.4826086956521739</v>
      </c>
      <c r="H636" s="1358"/>
      <c r="I636" s="1359">
        <f>I635/P635</f>
        <v>0</v>
      </c>
      <c r="J636" s="1358"/>
      <c r="K636" s="1359">
        <f>K635/P635</f>
        <v>0</v>
      </c>
      <c r="L636" s="1358"/>
      <c r="M636" s="1359">
        <f>M635/P635</f>
        <v>0</v>
      </c>
      <c r="N636" s="1358"/>
      <c r="O636" s="1359">
        <f>O635/P635</f>
        <v>0.5173913043478261</v>
      </c>
      <c r="P636" s="1419"/>
    </row>
    <row r="637" spans="1:25" ht="23.25" customHeight="1">
      <c r="A637" s="2128" t="s">
        <v>1272</v>
      </c>
      <c r="B637" s="2132"/>
      <c r="C637" s="2128" t="s">
        <v>545</v>
      </c>
      <c r="D637" s="2129" t="s">
        <v>1273</v>
      </c>
      <c r="E637" s="2180" t="s">
        <v>1274</v>
      </c>
      <c r="F637" s="2121">
        <v>2021</v>
      </c>
      <c r="G637" s="2122"/>
      <c r="H637" s="2121">
        <v>2022</v>
      </c>
      <c r="I637" s="2122"/>
      <c r="J637" s="2121">
        <v>2023</v>
      </c>
      <c r="K637" s="2122"/>
      <c r="L637" s="2121">
        <v>2024</v>
      </c>
      <c r="M637" s="2122"/>
      <c r="N637" s="2121">
        <v>2025</v>
      </c>
      <c r="O637" s="2122"/>
      <c r="P637" s="2223" t="s">
        <v>546</v>
      </c>
    </row>
    <row r="638" spans="1:25" ht="23.25" customHeight="1" thickBot="1">
      <c r="A638" s="2130"/>
      <c r="B638" s="2133"/>
      <c r="C638" s="2130"/>
      <c r="D638" s="2131"/>
      <c r="E638" s="2181"/>
      <c r="F638" s="1219" t="s">
        <v>1275</v>
      </c>
      <c r="G638" s="1220" t="s">
        <v>1276</v>
      </c>
      <c r="H638" s="1219" t="s">
        <v>1275</v>
      </c>
      <c r="I638" s="1220" t="s">
        <v>1276</v>
      </c>
      <c r="J638" s="1219" t="s">
        <v>1275</v>
      </c>
      <c r="K638" s="1220" t="s">
        <v>1276</v>
      </c>
      <c r="L638" s="1219" t="s">
        <v>1275</v>
      </c>
      <c r="M638" s="1220" t="s">
        <v>1276</v>
      </c>
      <c r="N638" s="1219" t="s">
        <v>1275</v>
      </c>
      <c r="O638" s="1220" t="s">
        <v>1276</v>
      </c>
      <c r="P638" s="2224"/>
    </row>
    <row r="639" spans="1:25" ht="24.75" customHeight="1">
      <c r="A639" s="2187" t="s">
        <v>606</v>
      </c>
      <c r="B639" s="2174" t="s">
        <v>1393</v>
      </c>
      <c r="C639" s="2232" t="s">
        <v>607</v>
      </c>
      <c r="D639" s="1038" t="s">
        <v>548</v>
      </c>
      <c r="E639" s="2178">
        <v>2000</v>
      </c>
      <c r="F639" s="1267">
        <v>0</v>
      </c>
      <c r="G639" s="2153">
        <f>F639*F640*E639</f>
        <v>0</v>
      </c>
      <c r="H639" s="1267">
        <v>2</v>
      </c>
      <c r="I639" s="2153">
        <f>H639*H640*E639</f>
        <v>20000</v>
      </c>
      <c r="J639" s="1267">
        <v>0</v>
      </c>
      <c r="K639" s="2153">
        <f>J639*J640*E639</f>
        <v>0</v>
      </c>
      <c r="L639" s="1267">
        <v>0</v>
      </c>
      <c r="M639" s="2153">
        <f>L639*L640*E639</f>
        <v>0</v>
      </c>
      <c r="N639" s="1267">
        <v>2</v>
      </c>
      <c r="O639" s="2153">
        <f>N639*N640*E639</f>
        <v>20000</v>
      </c>
      <c r="P639" s="2223">
        <f>G639+I639+K639+M639+O639</f>
        <v>40000</v>
      </c>
    </row>
    <row r="640" spans="1:25" ht="24.75" customHeight="1">
      <c r="A640" s="2187"/>
      <c r="B640" s="2174"/>
      <c r="C640" s="2190"/>
      <c r="D640" s="1037" t="s">
        <v>549</v>
      </c>
      <c r="E640" s="2179"/>
      <c r="F640" s="1268">
        <v>0</v>
      </c>
      <c r="G640" s="2148"/>
      <c r="H640" s="1268">
        <v>5</v>
      </c>
      <c r="I640" s="2148"/>
      <c r="J640" s="1268">
        <v>0</v>
      </c>
      <c r="K640" s="2148"/>
      <c r="L640" s="1268">
        <v>0</v>
      </c>
      <c r="M640" s="2148"/>
      <c r="N640" s="1268">
        <v>5</v>
      </c>
      <c r="O640" s="2148"/>
      <c r="P640" s="2225"/>
    </row>
    <row r="641" spans="1:16" ht="24.75" customHeight="1">
      <c r="A641" s="2187"/>
      <c r="B641" s="2174"/>
      <c r="C641" s="2230" t="s">
        <v>1394</v>
      </c>
      <c r="D641" s="1035" t="s">
        <v>602</v>
      </c>
      <c r="E641" s="2185">
        <v>2000</v>
      </c>
      <c r="F641" s="1330">
        <v>0</v>
      </c>
      <c r="G641" s="2172">
        <f>F641*F642*E641</f>
        <v>0</v>
      </c>
      <c r="H641" s="1330">
        <v>2</v>
      </c>
      <c r="I641" s="2172">
        <f>H641*H642*E641</f>
        <v>16000</v>
      </c>
      <c r="J641" s="1330">
        <v>0</v>
      </c>
      <c r="K641" s="2172">
        <f>J641*J642*E641</f>
        <v>0</v>
      </c>
      <c r="L641" s="1330">
        <v>0</v>
      </c>
      <c r="M641" s="2172">
        <f>L641*L642*E641</f>
        <v>0</v>
      </c>
      <c r="N641" s="1330">
        <v>2</v>
      </c>
      <c r="O641" s="2172">
        <f>N641*N642*E641</f>
        <v>16000</v>
      </c>
      <c r="P641" s="2229">
        <f>G641+I641+K641+M641+O641</f>
        <v>32000</v>
      </c>
    </row>
    <row r="642" spans="1:16" ht="24.75" customHeight="1">
      <c r="A642" s="2187"/>
      <c r="B642" s="2174"/>
      <c r="C642" s="2231"/>
      <c r="D642" s="1037" t="s">
        <v>549</v>
      </c>
      <c r="E642" s="2179"/>
      <c r="F642" s="1268">
        <v>0</v>
      </c>
      <c r="G642" s="2148"/>
      <c r="H642" s="1268">
        <v>4</v>
      </c>
      <c r="I642" s="2148"/>
      <c r="J642" s="1268">
        <v>0</v>
      </c>
      <c r="K642" s="2148"/>
      <c r="L642" s="1268">
        <v>0</v>
      </c>
      <c r="M642" s="2148"/>
      <c r="N642" s="1268">
        <v>4</v>
      </c>
      <c r="O642" s="2148"/>
      <c r="P642" s="2225"/>
    </row>
    <row r="643" spans="1:16" ht="24.75" customHeight="1">
      <c r="A643" s="2187"/>
      <c r="B643" s="2174"/>
      <c r="C643" s="1421" t="s">
        <v>1395</v>
      </c>
      <c r="D643" s="806" t="s">
        <v>560</v>
      </c>
      <c r="E643" s="1422">
        <v>0</v>
      </c>
      <c r="F643" s="1289">
        <v>0</v>
      </c>
      <c r="G643" s="1300">
        <f>F643*E643</f>
        <v>0</v>
      </c>
      <c r="H643" s="1289">
        <v>0</v>
      </c>
      <c r="I643" s="1300">
        <f>H643*E643</f>
        <v>0</v>
      </c>
      <c r="J643" s="1289">
        <v>0</v>
      </c>
      <c r="K643" s="1300">
        <f>J643*E643</f>
        <v>0</v>
      </c>
      <c r="L643" s="1289">
        <v>0</v>
      </c>
      <c r="M643" s="1300">
        <f>L643*E643</f>
        <v>0</v>
      </c>
      <c r="N643" s="1289">
        <v>0</v>
      </c>
      <c r="O643" s="1300">
        <f>N643*E643</f>
        <v>0</v>
      </c>
      <c r="P643" s="1414">
        <f>G643+I643+K643+M643+O643</f>
        <v>0</v>
      </c>
    </row>
    <row r="644" spans="1:16" ht="24.75" customHeight="1">
      <c r="A644" s="2187"/>
      <c r="B644" s="2174"/>
      <c r="C644" s="2230" t="s">
        <v>1391</v>
      </c>
      <c r="D644" s="1233" t="s">
        <v>604</v>
      </c>
      <c r="E644" s="2147">
        <v>2</v>
      </c>
      <c r="F644" s="1330">
        <v>0</v>
      </c>
      <c r="G644" s="2172">
        <f>F644*F645*E644</f>
        <v>0</v>
      </c>
      <c r="H644" s="1330">
        <v>50</v>
      </c>
      <c r="I644" s="2172">
        <f>H644*H645*E644</f>
        <v>8000</v>
      </c>
      <c r="J644" s="1330">
        <v>0</v>
      </c>
      <c r="K644" s="2172">
        <f>J644*J645*E644</f>
        <v>0</v>
      </c>
      <c r="L644" s="1330">
        <v>0</v>
      </c>
      <c r="M644" s="2172">
        <f>L644*L645*E644</f>
        <v>0</v>
      </c>
      <c r="N644" s="1330">
        <v>50</v>
      </c>
      <c r="O644" s="2172">
        <f>N644*N645*E644</f>
        <v>8000</v>
      </c>
      <c r="P644" s="2229">
        <f>G644+I644+K644+M644+O644</f>
        <v>16000</v>
      </c>
    </row>
    <row r="645" spans="1:16" ht="24.75" customHeight="1">
      <c r="A645" s="2187"/>
      <c r="B645" s="2174"/>
      <c r="C645" s="2231"/>
      <c r="D645" s="1234" t="s">
        <v>605</v>
      </c>
      <c r="E645" s="2148"/>
      <c r="F645" s="1268">
        <v>0</v>
      </c>
      <c r="G645" s="2148"/>
      <c r="H645" s="1268">
        <v>80</v>
      </c>
      <c r="I645" s="2148"/>
      <c r="J645" s="1268">
        <v>0</v>
      </c>
      <c r="K645" s="2148"/>
      <c r="L645" s="1268">
        <v>0</v>
      </c>
      <c r="M645" s="2148"/>
      <c r="N645" s="1268">
        <v>80</v>
      </c>
      <c r="O645" s="2148"/>
      <c r="P645" s="2225"/>
    </row>
    <row r="646" spans="1:16" ht="24.75" customHeight="1">
      <c r="A646" s="2187"/>
      <c r="B646" s="2174"/>
      <c r="C646" s="1421" t="s">
        <v>1396</v>
      </c>
      <c r="D646" s="1037" t="s">
        <v>560</v>
      </c>
      <c r="E646" s="1040">
        <v>0</v>
      </c>
      <c r="F646" s="1289">
        <v>0</v>
      </c>
      <c r="G646" s="1300">
        <f>F646*E646</f>
        <v>0</v>
      </c>
      <c r="H646" s="1289">
        <v>0</v>
      </c>
      <c r="I646" s="1300">
        <f>H646*E646</f>
        <v>0</v>
      </c>
      <c r="J646" s="1289">
        <v>0</v>
      </c>
      <c r="K646" s="1300">
        <f>J646*E646</f>
        <v>0</v>
      </c>
      <c r="L646" s="1289">
        <v>0</v>
      </c>
      <c r="M646" s="1300">
        <f>L646*E646</f>
        <v>0</v>
      </c>
      <c r="N646" s="1289">
        <v>0</v>
      </c>
      <c r="O646" s="1300">
        <f>N646*E646</f>
        <v>0</v>
      </c>
      <c r="P646" s="1414">
        <f>G646+I646+K646+M646+O646</f>
        <v>0</v>
      </c>
    </row>
    <row r="647" spans="1:16" ht="21.75" customHeight="1">
      <c r="A647" s="2187"/>
      <c r="B647" s="2174"/>
      <c r="C647" s="1416" t="s">
        <v>1285</v>
      </c>
      <c r="D647" s="1314"/>
      <c r="E647" s="1315">
        <v>7.0000000000000007E-2</v>
      </c>
      <c r="F647" s="1316"/>
      <c r="G647" s="1317">
        <f>(SUM(G639:G646))*E647</f>
        <v>0</v>
      </c>
      <c r="H647" s="1318"/>
      <c r="I647" s="1317">
        <f>(SUM(I639:I646))*E647</f>
        <v>3080.0000000000005</v>
      </c>
      <c r="J647" s="1316"/>
      <c r="K647" s="1317">
        <f>(SUM(K639:K646))*E647</f>
        <v>0</v>
      </c>
      <c r="L647" s="1316"/>
      <c r="M647" s="1317">
        <f>(SUM(M639:M646))*E647</f>
        <v>0</v>
      </c>
      <c r="N647" s="1316"/>
      <c r="O647" s="1317">
        <f>(SUM(O639:O646))*E647</f>
        <v>3080.0000000000005</v>
      </c>
      <c r="P647" s="1417">
        <f>G647+I647+K647+M647+O647</f>
        <v>6160.0000000000009</v>
      </c>
    </row>
    <row r="648" spans="1:16" ht="21.75" customHeight="1">
      <c r="A648" s="2187"/>
      <c r="B648" s="2174"/>
      <c r="C648" s="1324" t="s">
        <v>550</v>
      </c>
      <c r="D648" s="1320"/>
      <c r="E648" s="1323"/>
      <c r="F648" s="1322"/>
      <c r="G648" s="1323">
        <f>SUM(G639:G647)</f>
        <v>0</v>
      </c>
      <c r="H648" s="1324"/>
      <c r="I648" s="1323">
        <f>SUM(I639:I647)</f>
        <v>47080</v>
      </c>
      <c r="J648" s="1324"/>
      <c r="K648" s="1323">
        <f>SUM(K639:K647)</f>
        <v>0</v>
      </c>
      <c r="L648" s="1324"/>
      <c r="M648" s="1323">
        <f>SUM(M639:M647)</f>
        <v>0</v>
      </c>
      <c r="N648" s="1324"/>
      <c r="O648" s="1323">
        <f>SUM(O639:O647)</f>
        <v>47080</v>
      </c>
      <c r="P648" s="1418">
        <f>SUM(P639:P647)</f>
        <v>94160</v>
      </c>
    </row>
    <row r="649" spans="1:16" ht="21.75" customHeight="1" thickBot="1">
      <c r="A649" s="2188"/>
      <c r="B649" s="2175"/>
      <c r="C649" s="1355" t="s">
        <v>932</v>
      </c>
      <c r="D649" s="1356"/>
      <c r="E649" s="1357"/>
      <c r="F649" s="1358"/>
      <c r="G649" s="1359">
        <f>G648/P648</f>
        <v>0</v>
      </c>
      <c r="H649" s="1358"/>
      <c r="I649" s="1359">
        <f>I648/P648</f>
        <v>0.5</v>
      </c>
      <c r="J649" s="1358"/>
      <c r="K649" s="1359">
        <f>K648/P648</f>
        <v>0</v>
      </c>
      <c r="L649" s="1358"/>
      <c r="M649" s="1359">
        <f>M648/P648</f>
        <v>0</v>
      </c>
      <c r="N649" s="1358"/>
      <c r="O649" s="1359">
        <f>O648/P648</f>
        <v>0.5</v>
      </c>
      <c r="P649" s="1419"/>
    </row>
    <row r="650" spans="1:16" ht="23.25" customHeight="1">
      <c r="A650" s="2128" t="s">
        <v>1272</v>
      </c>
      <c r="B650" s="2132"/>
      <c r="C650" s="2128" t="s">
        <v>545</v>
      </c>
      <c r="D650" s="2129" t="s">
        <v>1273</v>
      </c>
      <c r="E650" s="2180" t="s">
        <v>1274</v>
      </c>
      <c r="F650" s="2121">
        <v>2021</v>
      </c>
      <c r="G650" s="2122"/>
      <c r="H650" s="2121">
        <v>2022</v>
      </c>
      <c r="I650" s="2122"/>
      <c r="J650" s="2121">
        <v>2023</v>
      </c>
      <c r="K650" s="2122"/>
      <c r="L650" s="2121">
        <v>2024</v>
      </c>
      <c r="M650" s="2122"/>
      <c r="N650" s="2121">
        <v>2025</v>
      </c>
      <c r="O650" s="2122"/>
      <c r="P650" s="2223" t="s">
        <v>546</v>
      </c>
    </row>
    <row r="651" spans="1:16" ht="23.25" customHeight="1" thickBot="1">
      <c r="A651" s="2130"/>
      <c r="B651" s="2133"/>
      <c r="C651" s="2130"/>
      <c r="D651" s="2131"/>
      <c r="E651" s="2181"/>
      <c r="F651" s="1219" t="s">
        <v>1275</v>
      </c>
      <c r="G651" s="1220" t="s">
        <v>1276</v>
      </c>
      <c r="H651" s="1219" t="s">
        <v>1275</v>
      </c>
      <c r="I651" s="1220" t="s">
        <v>1276</v>
      </c>
      <c r="J651" s="1219" t="s">
        <v>1275</v>
      </c>
      <c r="K651" s="1220" t="s">
        <v>1276</v>
      </c>
      <c r="L651" s="1219" t="s">
        <v>1275</v>
      </c>
      <c r="M651" s="1220" t="s">
        <v>1276</v>
      </c>
      <c r="N651" s="1219" t="s">
        <v>1275</v>
      </c>
      <c r="O651" s="1220" t="s">
        <v>1276</v>
      </c>
      <c r="P651" s="2224"/>
    </row>
    <row r="652" spans="1:16" ht="24.75" customHeight="1">
      <c r="A652" s="2187" t="s">
        <v>942</v>
      </c>
      <c r="B652" s="2174" t="s">
        <v>1397</v>
      </c>
      <c r="C652" s="2189" t="s">
        <v>983</v>
      </c>
      <c r="D652" s="1038" t="s">
        <v>548</v>
      </c>
      <c r="E652" s="2178">
        <v>2000</v>
      </c>
      <c r="F652" s="1267">
        <v>2</v>
      </c>
      <c r="G652" s="2153">
        <f>F652*F653*E652</f>
        <v>20000</v>
      </c>
      <c r="H652" s="1267">
        <v>0</v>
      </c>
      <c r="I652" s="2153">
        <f>H652*H653*E652</f>
        <v>0</v>
      </c>
      <c r="J652" s="1267">
        <v>2</v>
      </c>
      <c r="K652" s="2153">
        <f>J652*J653*E652</f>
        <v>20000</v>
      </c>
      <c r="L652" s="1267">
        <v>0</v>
      </c>
      <c r="M652" s="2153">
        <f>L652*L653*E652</f>
        <v>0</v>
      </c>
      <c r="N652" s="1267">
        <v>2</v>
      </c>
      <c r="O652" s="2153">
        <f>N652*N653*E652</f>
        <v>20000</v>
      </c>
      <c r="P652" s="2223">
        <f>G652+I652+K652+M652+O652</f>
        <v>60000</v>
      </c>
    </row>
    <row r="653" spans="1:16" ht="24.75" customHeight="1">
      <c r="A653" s="2187"/>
      <c r="B653" s="2174"/>
      <c r="C653" s="2190"/>
      <c r="D653" s="1037" t="s">
        <v>549</v>
      </c>
      <c r="E653" s="2179"/>
      <c r="F653" s="1268">
        <v>5</v>
      </c>
      <c r="G653" s="2148"/>
      <c r="H653" s="1268">
        <v>0</v>
      </c>
      <c r="I653" s="2148"/>
      <c r="J653" s="1268">
        <v>5</v>
      </c>
      <c r="K653" s="2148"/>
      <c r="L653" s="1268">
        <v>0</v>
      </c>
      <c r="M653" s="2148"/>
      <c r="N653" s="1268">
        <v>5</v>
      </c>
      <c r="O653" s="2148"/>
      <c r="P653" s="2225"/>
    </row>
    <row r="654" spans="1:16" ht="24.75" customHeight="1">
      <c r="A654" s="2187"/>
      <c r="B654" s="2174"/>
      <c r="C654" s="2230" t="s">
        <v>1398</v>
      </c>
      <c r="D654" s="1233" t="s">
        <v>604</v>
      </c>
      <c r="E654" s="2147">
        <v>2</v>
      </c>
      <c r="F654" s="1330">
        <v>1</v>
      </c>
      <c r="G654" s="2172">
        <f>F654*F655*E654</f>
        <v>10000</v>
      </c>
      <c r="H654" s="1330">
        <v>0</v>
      </c>
      <c r="I654" s="2172">
        <f>H654*H655*E654</f>
        <v>0</v>
      </c>
      <c r="J654" s="1330">
        <v>1</v>
      </c>
      <c r="K654" s="2172">
        <f>J654*J655*I654</f>
        <v>0</v>
      </c>
      <c r="L654" s="1330">
        <v>0</v>
      </c>
      <c r="M654" s="2172">
        <f>L654*L655*E654</f>
        <v>0</v>
      </c>
      <c r="N654" s="1330">
        <v>1</v>
      </c>
      <c r="O654" s="2172">
        <f>N654*N655*M654</f>
        <v>0</v>
      </c>
      <c r="P654" s="2229">
        <f>G654+I654+K654+M654+O654</f>
        <v>10000</v>
      </c>
    </row>
    <row r="655" spans="1:16" ht="24.75" customHeight="1">
      <c r="A655" s="2187"/>
      <c r="B655" s="2174"/>
      <c r="C655" s="2231"/>
      <c r="D655" s="1234" t="s">
        <v>605</v>
      </c>
      <c r="E655" s="2148"/>
      <c r="F655" s="1268">
        <v>5000</v>
      </c>
      <c r="G655" s="2148"/>
      <c r="H655" s="1268">
        <v>0</v>
      </c>
      <c r="I655" s="2148"/>
      <c r="J655" s="1268">
        <v>5000</v>
      </c>
      <c r="K655" s="2148"/>
      <c r="L655" s="1268">
        <v>0</v>
      </c>
      <c r="M655" s="2148"/>
      <c r="N655" s="1268">
        <v>5000</v>
      </c>
      <c r="O655" s="2148"/>
      <c r="P655" s="2225"/>
    </row>
    <row r="656" spans="1:16" ht="24.75" customHeight="1">
      <c r="A656" s="2187"/>
      <c r="B656" s="2174"/>
      <c r="C656" s="1421" t="s">
        <v>984</v>
      </c>
      <c r="D656" s="1037" t="s">
        <v>560</v>
      </c>
      <c r="E656" s="1040">
        <v>0</v>
      </c>
      <c r="F656" s="1289">
        <v>0</v>
      </c>
      <c r="G656" s="1300">
        <f>F656*E656</f>
        <v>0</v>
      </c>
      <c r="H656" s="1289">
        <v>0</v>
      </c>
      <c r="I656" s="1300">
        <f>H656*E656</f>
        <v>0</v>
      </c>
      <c r="J656" s="1289">
        <v>0</v>
      </c>
      <c r="K656" s="1300">
        <f>J656*E656</f>
        <v>0</v>
      </c>
      <c r="L656" s="1289">
        <v>0</v>
      </c>
      <c r="M656" s="1300">
        <f>L656*E656</f>
        <v>0</v>
      </c>
      <c r="N656" s="1289">
        <v>0</v>
      </c>
      <c r="O656" s="1300">
        <f>N656*E656</f>
        <v>0</v>
      </c>
      <c r="P656" s="1414">
        <f>G656+I656+K656+M656+O656</f>
        <v>0</v>
      </c>
    </row>
    <row r="657" spans="1:25" ht="21.75" customHeight="1">
      <c r="A657" s="2187"/>
      <c r="B657" s="2174"/>
      <c r="C657" s="1416" t="s">
        <v>1285</v>
      </c>
      <c r="D657" s="1314"/>
      <c r="E657" s="1315">
        <v>7.0000000000000007E-2</v>
      </c>
      <c r="F657" s="1316"/>
      <c r="G657" s="1317">
        <f>(SUM(G652:G656))*E657</f>
        <v>2100</v>
      </c>
      <c r="H657" s="1318"/>
      <c r="I657" s="1317">
        <f>(SUM(I652:I656))*E657</f>
        <v>0</v>
      </c>
      <c r="J657" s="1316"/>
      <c r="K657" s="1317">
        <f>(SUM(K652:K656))*E657</f>
        <v>1400.0000000000002</v>
      </c>
      <c r="L657" s="1316"/>
      <c r="M657" s="1317">
        <f>(SUM(M652:M656))*E657</f>
        <v>0</v>
      </c>
      <c r="N657" s="1316"/>
      <c r="O657" s="1317">
        <f>(SUM(O652:O656))*E657</f>
        <v>1400.0000000000002</v>
      </c>
      <c r="P657" s="1417">
        <f>G657+I657+K657+M657+O657</f>
        <v>4900</v>
      </c>
    </row>
    <row r="658" spans="1:25" ht="21.75" customHeight="1">
      <c r="A658" s="2187"/>
      <c r="B658" s="2174"/>
      <c r="C658" s="1324" t="s">
        <v>550</v>
      </c>
      <c r="D658" s="1320"/>
      <c r="E658" s="1323"/>
      <c r="F658" s="1322"/>
      <c r="G658" s="1323">
        <f>SUM(G652:G657)</f>
        <v>32100</v>
      </c>
      <c r="H658" s="1324"/>
      <c r="I658" s="1323">
        <f>SUM(I652:I657)</f>
        <v>0</v>
      </c>
      <c r="J658" s="1324"/>
      <c r="K658" s="1323">
        <f>SUM(K652:K657)</f>
        <v>21400</v>
      </c>
      <c r="L658" s="1324"/>
      <c r="M658" s="1323">
        <f>SUM(M652:M657)</f>
        <v>0</v>
      </c>
      <c r="N658" s="1324"/>
      <c r="O658" s="1323">
        <f>SUM(O652:O657)</f>
        <v>21400</v>
      </c>
      <c r="P658" s="1418">
        <f>SUM(P652:P657)</f>
        <v>74900</v>
      </c>
    </row>
    <row r="659" spans="1:25" ht="21.75" customHeight="1" thickBot="1">
      <c r="A659" s="2188"/>
      <c r="B659" s="2175"/>
      <c r="C659" s="1355" t="s">
        <v>932</v>
      </c>
      <c r="D659" s="1356"/>
      <c r="E659" s="1357"/>
      <c r="F659" s="1358"/>
      <c r="G659" s="1359">
        <f>G658/P658</f>
        <v>0.42857142857142855</v>
      </c>
      <c r="H659" s="1358"/>
      <c r="I659" s="1359">
        <f>I658/P658</f>
        <v>0</v>
      </c>
      <c r="J659" s="1358"/>
      <c r="K659" s="1359">
        <f>K658/P658</f>
        <v>0.2857142857142857</v>
      </c>
      <c r="L659" s="1358"/>
      <c r="M659" s="1359">
        <f>M658/P658</f>
        <v>0</v>
      </c>
      <c r="N659" s="1358"/>
      <c r="O659" s="1359">
        <f>O658/P658</f>
        <v>0.2857142857142857</v>
      </c>
      <c r="P659" s="1419"/>
    </row>
    <row r="661" spans="1:25" ht="19.5" thickBot="1">
      <c r="B661" s="388" t="s">
        <v>1399</v>
      </c>
    </row>
    <row r="662" spans="1:25" ht="23.25" customHeight="1">
      <c r="A662" s="2128" t="s">
        <v>1272</v>
      </c>
      <c r="B662" s="2132"/>
      <c r="C662" s="2128" t="s">
        <v>545</v>
      </c>
      <c r="D662" s="2129" t="s">
        <v>1273</v>
      </c>
      <c r="E662" s="2180" t="s">
        <v>1274</v>
      </c>
      <c r="F662" s="2121">
        <v>2021</v>
      </c>
      <c r="G662" s="2122"/>
      <c r="H662" s="2121">
        <v>2022</v>
      </c>
      <c r="I662" s="2122"/>
      <c r="J662" s="2121">
        <v>2023</v>
      </c>
      <c r="K662" s="2122"/>
      <c r="L662" s="2121">
        <v>2024</v>
      </c>
      <c r="M662" s="2122"/>
      <c r="N662" s="2121">
        <v>2025</v>
      </c>
      <c r="O662" s="2122"/>
      <c r="P662" s="2223" t="s">
        <v>546</v>
      </c>
    </row>
    <row r="663" spans="1:25" ht="23.25" customHeight="1" thickBot="1">
      <c r="A663" s="2130"/>
      <c r="B663" s="2133"/>
      <c r="C663" s="2130"/>
      <c r="D663" s="2131"/>
      <c r="E663" s="2181"/>
      <c r="F663" s="1219" t="s">
        <v>1275</v>
      </c>
      <c r="G663" s="1220" t="s">
        <v>1276</v>
      </c>
      <c r="H663" s="1219" t="s">
        <v>1275</v>
      </c>
      <c r="I663" s="1220" t="s">
        <v>1276</v>
      </c>
      <c r="J663" s="1219" t="s">
        <v>1275</v>
      </c>
      <c r="K663" s="1220" t="s">
        <v>1276</v>
      </c>
      <c r="L663" s="1219" t="s">
        <v>1275</v>
      </c>
      <c r="M663" s="1220" t="s">
        <v>1276</v>
      </c>
      <c r="N663" s="1219" t="s">
        <v>1275</v>
      </c>
      <c r="O663" s="1220" t="s">
        <v>1276</v>
      </c>
      <c r="P663" s="2224"/>
    </row>
    <row r="664" spans="1:25" ht="24.75" customHeight="1">
      <c r="A664" s="2187" t="s">
        <v>608</v>
      </c>
      <c r="B664" s="2174" t="s">
        <v>985</v>
      </c>
      <c r="C664" s="1423" t="s">
        <v>1400</v>
      </c>
      <c r="D664" s="804" t="s">
        <v>1322</v>
      </c>
      <c r="E664" s="1374">
        <v>19320</v>
      </c>
      <c r="F664" s="1424">
        <v>1</v>
      </c>
      <c r="G664" s="1374">
        <f>E664*F664</f>
        <v>19320</v>
      </c>
      <c r="H664" s="1424">
        <v>0</v>
      </c>
      <c r="I664" s="1374">
        <f>H664*E664</f>
        <v>0</v>
      </c>
      <c r="J664" s="1424">
        <v>1</v>
      </c>
      <c r="K664" s="1374">
        <f>J664*E664</f>
        <v>19320</v>
      </c>
      <c r="L664" s="1424">
        <v>0</v>
      </c>
      <c r="M664" s="1374">
        <f>L664*E664</f>
        <v>0</v>
      </c>
      <c r="N664" s="1424">
        <v>1</v>
      </c>
      <c r="O664" s="1374">
        <f>N664*E664</f>
        <v>19320</v>
      </c>
      <c r="P664" s="1425">
        <f t="shared" ref="P664:P669" si="256">G664+I664+K664+M664+O664</f>
        <v>57960</v>
      </c>
    </row>
    <row r="665" spans="1:25" ht="24.75" customHeight="1">
      <c r="A665" s="2187"/>
      <c r="B665" s="2174"/>
      <c r="C665" s="1426" t="s">
        <v>1401</v>
      </c>
      <c r="D665" s="1037" t="s">
        <v>1322</v>
      </c>
      <c r="E665" s="1352">
        <v>19320</v>
      </c>
      <c r="F665" s="1289">
        <v>0</v>
      </c>
      <c r="G665" s="1300">
        <f>E665*F665</f>
        <v>0</v>
      </c>
      <c r="H665" s="1289">
        <v>1</v>
      </c>
      <c r="I665" s="1300">
        <f>H665*E665</f>
        <v>19320</v>
      </c>
      <c r="J665" s="1289">
        <v>0</v>
      </c>
      <c r="K665" s="1300">
        <f>J665*E665</f>
        <v>0</v>
      </c>
      <c r="L665" s="1289">
        <v>1</v>
      </c>
      <c r="M665" s="1300">
        <f>L665*E665</f>
        <v>19320</v>
      </c>
      <c r="N665" s="1289">
        <v>0</v>
      </c>
      <c r="O665" s="1300">
        <f>N665*E665</f>
        <v>0</v>
      </c>
      <c r="P665" s="1414">
        <f t="shared" si="256"/>
        <v>38640</v>
      </c>
    </row>
    <row r="666" spans="1:25" ht="24.75" customHeight="1">
      <c r="A666" s="2187"/>
      <c r="B666" s="2174"/>
      <c r="C666" s="1427" t="s">
        <v>1402</v>
      </c>
      <c r="D666" s="1235" t="s">
        <v>1322</v>
      </c>
      <c r="E666" s="1300">
        <v>19320</v>
      </c>
      <c r="F666" s="1289">
        <v>1</v>
      </c>
      <c r="G666" s="1300">
        <f t="shared" ref="G666:G668" si="257">E666*F666</f>
        <v>19320</v>
      </c>
      <c r="H666" s="1289">
        <v>0</v>
      </c>
      <c r="I666" s="1300">
        <f t="shared" ref="I666:I668" si="258">H666*E666</f>
        <v>0</v>
      </c>
      <c r="J666" s="1289">
        <v>0</v>
      </c>
      <c r="K666" s="1300">
        <f t="shared" ref="K666:K668" si="259">J666*E666</f>
        <v>0</v>
      </c>
      <c r="L666" s="1289">
        <v>0</v>
      </c>
      <c r="M666" s="1300">
        <f t="shared" ref="M666:M668" si="260">L666*E666</f>
        <v>0</v>
      </c>
      <c r="N666" s="1289">
        <v>0</v>
      </c>
      <c r="O666" s="1300">
        <f t="shared" ref="O666:O668" si="261">N666*E666</f>
        <v>0</v>
      </c>
      <c r="P666" s="1414">
        <f t="shared" si="256"/>
        <v>19320</v>
      </c>
    </row>
    <row r="667" spans="1:25" ht="24.75" customHeight="1">
      <c r="A667" s="2187"/>
      <c r="B667" s="2174"/>
      <c r="C667" s="1427" t="s">
        <v>1403</v>
      </c>
      <c r="D667" s="1235" t="s">
        <v>1322</v>
      </c>
      <c r="E667" s="1300">
        <v>19320</v>
      </c>
      <c r="F667" s="1289">
        <v>1</v>
      </c>
      <c r="G667" s="1300">
        <f t="shared" si="257"/>
        <v>19320</v>
      </c>
      <c r="H667" s="1289">
        <v>0</v>
      </c>
      <c r="I667" s="1300">
        <f t="shared" si="258"/>
        <v>0</v>
      </c>
      <c r="J667" s="1289">
        <v>1</v>
      </c>
      <c r="K667" s="1300">
        <f t="shared" si="259"/>
        <v>19320</v>
      </c>
      <c r="L667" s="1289">
        <v>0</v>
      </c>
      <c r="M667" s="1300">
        <f t="shared" si="260"/>
        <v>0</v>
      </c>
      <c r="N667" s="1289">
        <v>1</v>
      </c>
      <c r="O667" s="1300">
        <f t="shared" si="261"/>
        <v>19320</v>
      </c>
      <c r="P667" s="1414">
        <f t="shared" si="256"/>
        <v>57960</v>
      </c>
    </row>
    <row r="668" spans="1:25" ht="24.75" customHeight="1">
      <c r="A668" s="2187"/>
      <c r="B668" s="2174"/>
      <c r="C668" s="1427" t="s">
        <v>1404</v>
      </c>
      <c r="D668" s="1037" t="s">
        <v>1322</v>
      </c>
      <c r="E668" s="1040">
        <v>19320</v>
      </c>
      <c r="F668" s="1289">
        <v>1</v>
      </c>
      <c r="G668" s="1300">
        <f t="shared" si="257"/>
        <v>19320</v>
      </c>
      <c r="H668" s="1289">
        <v>0</v>
      </c>
      <c r="I668" s="1300">
        <f t="shared" si="258"/>
        <v>0</v>
      </c>
      <c r="J668" s="1289">
        <v>1</v>
      </c>
      <c r="K668" s="1300">
        <f t="shared" si="259"/>
        <v>19320</v>
      </c>
      <c r="L668" s="1289">
        <v>0</v>
      </c>
      <c r="M668" s="1300">
        <f t="shared" si="260"/>
        <v>0</v>
      </c>
      <c r="N668" s="1289">
        <v>1</v>
      </c>
      <c r="O668" s="1300">
        <f t="shared" si="261"/>
        <v>19320</v>
      </c>
      <c r="P668" s="1414">
        <f t="shared" si="256"/>
        <v>57960</v>
      </c>
    </row>
    <row r="669" spans="1:25" ht="21.75" customHeight="1">
      <c r="A669" s="2187"/>
      <c r="B669" s="2174"/>
      <c r="C669" s="1416" t="s">
        <v>1285</v>
      </c>
      <c r="D669" s="1314"/>
      <c r="E669" s="1315">
        <v>7.0000000000000007E-2</v>
      </c>
      <c r="F669" s="1316"/>
      <c r="G669" s="1317">
        <f>(SUM(G664:G668))*E669</f>
        <v>5409.6</v>
      </c>
      <c r="H669" s="1318"/>
      <c r="I669" s="1317">
        <f>(SUM(I664:I668))*E669</f>
        <v>1352.4</v>
      </c>
      <c r="J669" s="1316"/>
      <c r="K669" s="1317">
        <f>(SUM(K664:K668))*E669</f>
        <v>4057.2000000000003</v>
      </c>
      <c r="L669" s="1316"/>
      <c r="M669" s="1317">
        <f>(SUM(M664:M668))*E669</f>
        <v>1352.4</v>
      </c>
      <c r="N669" s="1316"/>
      <c r="O669" s="1317">
        <f>(SUM(O664:O668))*E669</f>
        <v>4057.2000000000003</v>
      </c>
      <c r="P669" s="1417">
        <f t="shared" si="256"/>
        <v>16228.800000000001</v>
      </c>
    </row>
    <row r="670" spans="1:25" ht="21.75" customHeight="1">
      <c r="A670" s="2187"/>
      <c r="B670" s="2174"/>
      <c r="C670" s="1324" t="s">
        <v>550</v>
      </c>
      <c r="D670" s="1320"/>
      <c r="E670" s="1323"/>
      <c r="F670" s="1322"/>
      <c r="G670" s="1323">
        <f>SUM(G664:G669)</f>
        <v>82689.600000000006</v>
      </c>
      <c r="H670" s="1324"/>
      <c r="I670" s="1323">
        <f>SUM(I664:I669)</f>
        <v>20672.400000000001</v>
      </c>
      <c r="J670" s="1324"/>
      <c r="K670" s="1323">
        <f>SUM(K664:K669)</f>
        <v>62017.2</v>
      </c>
      <c r="L670" s="1324"/>
      <c r="M670" s="1323">
        <f>SUM(M664:M669)</f>
        <v>20672.400000000001</v>
      </c>
      <c r="N670" s="1324"/>
      <c r="O670" s="1323">
        <f>SUM(O664:O669)</f>
        <v>62017.2</v>
      </c>
      <c r="P670" s="1418">
        <f>SUM(P664:P669)</f>
        <v>248068.8</v>
      </c>
    </row>
    <row r="671" spans="1:25" ht="21.75" customHeight="1" thickBot="1">
      <c r="A671" s="2188"/>
      <c r="B671" s="2175"/>
      <c r="C671" s="1355" t="s">
        <v>932</v>
      </c>
      <c r="D671" s="1356"/>
      <c r="E671" s="1357"/>
      <c r="F671" s="1358"/>
      <c r="G671" s="1359">
        <f>G670/P670</f>
        <v>0.33333333333333337</v>
      </c>
      <c r="H671" s="1358"/>
      <c r="I671" s="1359">
        <f>I670/P670</f>
        <v>8.3333333333333343E-2</v>
      </c>
      <c r="J671" s="1358"/>
      <c r="K671" s="1359">
        <f>K670/P670</f>
        <v>0.25</v>
      </c>
      <c r="L671" s="1358"/>
      <c r="M671" s="1359">
        <f>M670/P670</f>
        <v>8.3333333333333343E-2</v>
      </c>
      <c r="N671" s="1358"/>
      <c r="O671" s="1359">
        <f>O670/P670</f>
        <v>0.25</v>
      </c>
      <c r="P671" s="1419"/>
    </row>
    <row r="672" spans="1:25" ht="23.25" customHeight="1">
      <c r="A672" s="2128" t="s">
        <v>1272</v>
      </c>
      <c r="B672" s="2132"/>
      <c r="C672" s="2128" t="s">
        <v>545</v>
      </c>
      <c r="D672" s="2129" t="s">
        <v>1273</v>
      </c>
      <c r="E672" s="2180" t="s">
        <v>1274</v>
      </c>
      <c r="F672" s="2121">
        <v>2021</v>
      </c>
      <c r="G672" s="2122"/>
      <c r="H672" s="2121">
        <v>2022</v>
      </c>
      <c r="I672" s="2122"/>
      <c r="J672" s="2121">
        <v>2023</v>
      </c>
      <c r="K672" s="2122"/>
      <c r="L672" s="2121">
        <v>2024</v>
      </c>
      <c r="M672" s="2122"/>
      <c r="N672" s="2121">
        <v>2025</v>
      </c>
      <c r="O672" s="2122"/>
      <c r="P672" s="2223" t="s">
        <v>546</v>
      </c>
      <c r="R672" s="1370" t="s">
        <v>1387</v>
      </c>
      <c r="S672" s="1371"/>
      <c r="T672" s="1371"/>
      <c r="U672" s="1371"/>
      <c r="V672" s="1371"/>
      <c r="W672" s="1371"/>
      <c r="X672" s="1371"/>
      <c r="Y672" s="1372"/>
    </row>
    <row r="673" spans="1:25" ht="23.25" customHeight="1" thickBot="1">
      <c r="A673" s="2130"/>
      <c r="B673" s="2133"/>
      <c r="C673" s="2130"/>
      <c r="D673" s="2131"/>
      <c r="E673" s="2181"/>
      <c r="F673" s="1219" t="s">
        <v>1275</v>
      </c>
      <c r="G673" s="1220" t="s">
        <v>1276</v>
      </c>
      <c r="H673" s="1219" t="s">
        <v>1275</v>
      </c>
      <c r="I673" s="1220" t="s">
        <v>1276</v>
      </c>
      <c r="J673" s="1219" t="s">
        <v>1275</v>
      </c>
      <c r="K673" s="1220" t="s">
        <v>1276</v>
      </c>
      <c r="L673" s="1219" t="s">
        <v>1275</v>
      </c>
      <c r="M673" s="1220" t="s">
        <v>1276</v>
      </c>
      <c r="N673" s="1219" t="s">
        <v>1275</v>
      </c>
      <c r="O673" s="1220" t="s">
        <v>1276</v>
      </c>
      <c r="P673" s="2224"/>
      <c r="R673" s="1261" t="s">
        <v>1287</v>
      </c>
      <c r="S673" s="1262"/>
      <c r="T673" s="1263"/>
      <c r="U673" s="1264">
        <v>2</v>
      </c>
      <c r="V673" s="1265"/>
      <c r="W673" s="1265"/>
      <c r="X673" s="1265"/>
      <c r="Y673" s="1266"/>
    </row>
    <row r="674" spans="1:25" ht="39.75" customHeight="1">
      <c r="A674" s="2235" t="s">
        <v>609</v>
      </c>
      <c r="B674" s="2173" t="s">
        <v>610</v>
      </c>
      <c r="C674" s="1423" t="s">
        <v>1405</v>
      </c>
      <c r="D674" s="804" t="s">
        <v>1406</v>
      </c>
      <c r="E674" s="1428">
        <f ca="1">Y688</f>
        <v>23957.3</v>
      </c>
      <c r="F674" s="1424">
        <v>2</v>
      </c>
      <c r="G674" s="1374">
        <f ca="1">E674*F674</f>
        <v>47914.6</v>
      </c>
      <c r="H674" s="1424">
        <v>3</v>
      </c>
      <c r="I674" s="1374">
        <f ca="1">H674*E674</f>
        <v>71871.899999999994</v>
      </c>
      <c r="J674" s="1424">
        <v>3</v>
      </c>
      <c r="K674" s="1374">
        <f ca="1">J674*E674</f>
        <v>71871.899999999994</v>
      </c>
      <c r="L674" s="1424">
        <v>3</v>
      </c>
      <c r="M674" s="1374">
        <f ca="1">L674*E674</f>
        <v>71871.899999999994</v>
      </c>
      <c r="N674" s="1424">
        <v>3</v>
      </c>
      <c r="O674" s="1374">
        <f ca="1">N674*E674</f>
        <v>71871.899999999994</v>
      </c>
      <c r="P674" s="1425">
        <f ca="1">G674+I674+K674+M674+O674</f>
        <v>335402.19999999995</v>
      </c>
      <c r="R674" s="1261" t="s">
        <v>1289</v>
      </c>
      <c r="S674" s="1262"/>
      <c r="T674" s="1263"/>
      <c r="U674" s="1264">
        <v>25</v>
      </c>
      <c r="V674" s="1265"/>
      <c r="W674" s="1265"/>
      <c r="X674" s="1265"/>
      <c r="Y674" s="1266"/>
    </row>
    <row r="675" spans="1:25" ht="26.25" customHeight="1">
      <c r="A675" s="2187"/>
      <c r="B675" s="2174"/>
      <c r="C675" s="1416" t="s">
        <v>1285</v>
      </c>
      <c r="D675" s="1314"/>
      <c r="E675" s="1315">
        <v>7.0000000000000007E-2</v>
      </c>
      <c r="F675" s="1316"/>
      <c r="G675" s="1317">
        <f ca="1">(SUM(G674))*E675</f>
        <v>3354.0220000000004</v>
      </c>
      <c r="H675" s="1318"/>
      <c r="I675" s="1317">
        <f ca="1">(SUM(I674))*E675</f>
        <v>5031.0330000000004</v>
      </c>
      <c r="J675" s="1316"/>
      <c r="K675" s="1317">
        <f ca="1">(SUM(K674))*E675</f>
        <v>5031.0330000000004</v>
      </c>
      <c r="L675" s="1316"/>
      <c r="M675" s="1317">
        <f ca="1">(SUM(M674))*E675</f>
        <v>5031.0330000000004</v>
      </c>
      <c r="N675" s="1316"/>
      <c r="O675" s="1317">
        <f ca="1">(SUM(O674))*E675</f>
        <v>5031.0330000000004</v>
      </c>
      <c r="P675" s="1417">
        <f t="shared" ref="P675" ca="1" si="262">G675+I675+K675+M675+O675</f>
        <v>23478.153999999999</v>
      </c>
      <c r="R675" s="1261" t="s">
        <v>1290</v>
      </c>
      <c r="S675" s="1262"/>
      <c r="T675" s="1263"/>
      <c r="U675" s="1264">
        <v>1</v>
      </c>
      <c r="V675" s="1265"/>
      <c r="W675" s="1265"/>
      <c r="X675" s="1265"/>
      <c r="Y675" s="1266"/>
    </row>
    <row r="676" spans="1:25" ht="21.75" customHeight="1">
      <c r="A676" s="2187"/>
      <c r="B676" s="2174"/>
      <c r="C676" s="1324" t="s">
        <v>550</v>
      </c>
      <c r="D676" s="1320"/>
      <c r="E676" s="1323"/>
      <c r="F676" s="1322"/>
      <c r="G676" s="1323">
        <f ca="1">SUM(G674:G674)</f>
        <v>47914.6</v>
      </c>
      <c r="H676" s="1324"/>
      <c r="I676" s="1323">
        <f ca="1">SUM(I674:I674)</f>
        <v>71871.899999999994</v>
      </c>
      <c r="J676" s="1324"/>
      <c r="K676" s="1323">
        <f ca="1">SUM(K674:K674)</f>
        <v>71871.899999999994</v>
      </c>
      <c r="L676" s="1324"/>
      <c r="M676" s="1323">
        <f ca="1">SUM(M674:M674)</f>
        <v>71871.899999999994</v>
      </c>
      <c r="N676" s="1324"/>
      <c r="O676" s="1323">
        <f ca="1">SUM(O674:O674)</f>
        <v>71871.899999999994</v>
      </c>
      <c r="P676" s="1418">
        <f ca="1">SUM(P674:P674)</f>
        <v>335402.19999999995</v>
      </c>
      <c r="R676" s="1261" t="s">
        <v>1291</v>
      </c>
      <c r="S676" s="1262"/>
      <c r="T676" s="1270">
        <v>0</v>
      </c>
      <c r="U676" s="1271">
        <f>ROUND(U674*T676,0)</f>
        <v>0</v>
      </c>
      <c r="V676" s="1265"/>
      <c r="W676" s="1265"/>
      <c r="X676" s="1265"/>
      <c r="Y676" s="1266"/>
    </row>
    <row r="677" spans="1:25" ht="21.75" customHeight="1" thickBot="1">
      <c r="A677" s="2188"/>
      <c r="B677" s="2175"/>
      <c r="C677" s="1355" t="s">
        <v>932</v>
      </c>
      <c r="D677" s="1356"/>
      <c r="E677" s="1357"/>
      <c r="F677" s="1358"/>
      <c r="G677" s="1359">
        <f ca="1">G676/P676</f>
        <v>0.14285714285714288</v>
      </c>
      <c r="H677" s="1358"/>
      <c r="I677" s="1359">
        <f ca="1">I676/P676</f>
        <v>0.2142857142857143</v>
      </c>
      <c r="J677" s="1358"/>
      <c r="K677" s="1359">
        <f ca="1">K676/P676</f>
        <v>0.2142857142857143</v>
      </c>
      <c r="L677" s="1358"/>
      <c r="M677" s="1359">
        <f ca="1">M676/P676</f>
        <v>0.2142857142857143</v>
      </c>
      <c r="N677" s="1358"/>
      <c r="O677" s="1359">
        <f ca="1">O676/P676</f>
        <v>0.2142857142857143</v>
      </c>
      <c r="P677" s="1419"/>
      <c r="R677" s="1261" t="s">
        <v>1292</v>
      </c>
      <c r="S677" s="1262"/>
      <c r="T677" s="1270">
        <v>0</v>
      </c>
      <c r="U677" s="1271">
        <v>20</v>
      </c>
      <c r="V677" s="1265"/>
      <c r="W677" s="1265"/>
      <c r="X677" s="1265"/>
      <c r="Y677" s="1266"/>
    </row>
    <row r="678" spans="1:25" ht="15.75" thickBot="1">
      <c r="R678" s="1276" t="s">
        <v>1294</v>
      </c>
      <c r="S678" s="1277"/>
      <c r="T678" s="1278"/>
      <c r="U678" s="1271">
        <f>U675-1</f>
        <v>0</v>
      </c>
      <c r="V678" s="1265"/>
      <c r="W678" s="1265"/>
      <c r="X678" s="1265"/>
      <c r="Y678" s="1266"/>
    </row>
    <row r="679" spans="1:25" ht="51.75" thickBot="1">
      <c r="R679" s="1361" t="s">
        <v>1295</v>
      </c>
      <c r="S679" s="1362" t="s">
        <v>1296</v>
      </c>
      <c r="T679" s="1363" t="s">
        <v>1297</v>
      </c>
      <c r="U679" s="1363" t="s">
        <v>1298</v>
      </c>
      <c r="V679" s="1363" t="s">
        <v>1299</v>
      </c>
      <c r="W679" s="1362" t="s">
        <v>1300</v>
      </c>
      <c r="X679" s="1363" t="s">
        <v>1301</v>
      </c>
      <c r="Y679" s="1364" t="s">
        <v>939</v>
      </c>
    </row>
    <row r="680" spans="1:25" ht="38.25">
      <c r="R680" s="1279" t="s">
        <v>1302</v>
      </c>
      <c r="S680" s="1280" t="s">
        <v>1427</v>
      </c>
      <c r="T680" s="1281" t="s">
        <v>1428</v>
      </c>
      <c r="U680" s="1282">
        <v>2000</v>
      </c>
      <c r="V680" s="1282" t="s">
        <v>1315</v>
      </c>
      <c r="W680" s="1283">
        <f ca="1">ROUND(IFERROR(IF(V680="MDL",U680,U680*INDIRECT(V680)),0),2)</f>
        <v>2000</v>
      </c>
      <c r="X680" s="1282">
        <f>U673</f>
        <v>2</v>
      </c>
      <c r="Y680" s="1284">
        <f ca="1">U673*W680*X680</f>
        <v>8000</v>
      </c>
    </row>
    <row r="681" spans="1:25">
      <c r="R681" s="1285" t="s">
        <v>1304</v>
      </c>
      <c r="S681" s="1286" t="s">
        <v>1429</v>
      </c>
      <c r="T681" s="236" t="s">
        <v>1430</v>
      </c>
      <c r="U681" s="1287">
        <v>75</v>
      </c>
      <c r="V681" s="1287" t="s">
        <v>1315</v>
      </c>
      <c r="W681" s="185">
        <f t="shared" ref="W681:W682" ca="1" si="263">ROUND(IFERROR(IF(V681="MDL",U681,U681*INDIRECT(V681)),0),2)</f>
        <v>75</v>
      </c>
      <c r="X681" s="1287">
        <v>2</v>
      </c>
      <c r="Y681" s="1288">
        <f ca="1">X681*W681*U674*U675</f>
        <v>3750</v>
      </c>
    </row>
    <row r="682" spans="1:25">
      <c r="R682" s="1285" t="s">
        <v>1307</v>
      </c>
      <c r="S682" s="1286" t="s">
        <v>1431</v>
      </c>
      <c r="T682" s="236" t="s">
        <v>1430</v>
      </c>
      <c r="U682" s="1287">
        <v>220</v>
      </c>
      <c r="V682" s="1287" t="s">
        <v>1315</v>
      </c>
      <c r="W682" s="185">
        <f t="shared" ca="1" si="263"/>
        <v>220</v>
      </c>
      <c r="X682" s="1287">
        <f>U675</f>
        <v>1</v>
      </c>
      <c r="Y682" s="1288">
        <f ca="1">U674*X682*W682</f>
        <v>5500</v>
      </c>
    </row>
    <row r="683" spans="1:25" ht="30">
      <c r="R683" s="1285" t="s">
        <v>1308</v>
      </c>
      <c r="S683" s="1286" t="s">
        <v>1432</v>
      </c>
      <c r="T683" s="236" t="s">
        <v>1433</v>
      </c>
      <c r="U683" s="1287">
        <v>80</v>
      </c>
      <c r="V683" s="1287" t="s">
        <v>1315</v>
      </c>
      <c r="W683" s="185">
        <f ca="1">ROUND(IFERROR(IF(V683="MDL",U683,U683*INDIRECT(V683)),0),2)</f>
        <v>80</v>
      </c>
      <c r="X683" s="1290">
        <v>2</v>
      </c>
      <c r="Y683" s="1288">
        <f ca="1">X683*U677*W683</f>
        <v>3200</v>
      </c>
    </row>
    <row r="684" spans="1:25" ht="25.5">
      <c r="R684" s="1285" t="s">
        <v>1311</v>
      </c>
      <c r="S684" s="1286" t="s">
        <v>1436</v>
      </c>
      <c r="T684" s="236" t="s">
        <v>1428</v>
      </c>
      <c r="U684" s="1287">
        <v>1800</v>
      </c>
      <c r="V684" s="1287" t="s">
        <v>1315</v>
      </c>
      <c r="W684" s="185">
        <f ca="1">ROUND(IFERROR(IF(V684="MDL",U684,U684*INDIRECT(V684)),0),2)</f>
        <v>1800</v>
      </c>
      <c r="X684" s="1287">
        <f>U675</f>
        <v>1</v>
      </c>
      <c r="Y684" s="1288">
        <f ca="1">X684*W684</f>
        <v>1800</v>
      </c>
    </row>
    <row r="685" spans="1:25" ht="30">
      <c r="R685" s="1285" t="s">
        <v>1309</v>
      </c>
      <c r="S685" s="1286" t="s">
        <v>1434</v>
      </c>
      <c r="T685" s="236" t="s">
        <v>1435</v>
      </c>
      <c r="U685" s="1287">
        <v>140</v>
      </c>
      <c r="V685" s="1287" t="s">
        <v>1315</v>
      </c>
      <c r="W685" s="185">
        <f ca="1">ROUND(IFERROR(IF(V685="MDL",U685,U685*INDIRECT(V685)),0),2)</f>
        <v>140</v>
      </c>
      <c r="X685" s="1287">
        <v>1</v>
      </c>
      <c r="Y685" s="1288">
        <f ca="1">U675*X685*W685</f>
        <v>140</v>
      </c>
    </row>
    <row r="686" spans="1:25">
      <c r="R686" s="1285"/>
      <c r="S686" s="185">
        <v>0</v>
      </c>
      <c r="T686" s="185">
        <v>0</v>
      </c>
      <c r="U686" s="1287">
        <v>0</v>
      </c>
      <c r="V686" s="1287">
        <v>0</v>
      </c>
      <c r="W686" s="185"/>
      <c r="X686" s="1287" t="str">
        <f>IFERROR(VLOOKUP(AG701,R683:T684,3,0),"")</f>
        <v/>
      </c>
      <c r="Y686" s="1293">
        <f ca="1">SUM(Y680:Y685)</f>
        <v>22390</v>
      </c>
    </row>
    <row r="687" spans="1:25" ht="39" thickBot="1">
      <c r="R687" s="1295" t="s">
        <v>1314</v>
      </c>
      <c r="S687" s="1296" t="s">
        <v>621</v>
      </c>
      <c r="T687" s="1297"/>
      <c r="U687" s="1298">
        <v>7.0000000000000007E-2</v>
      </c>
      <c r="V687" s="1297" t="s">
        <v>1315</v>
      </c>
      <c r="W687" s="1297"/>
      <c r="X687" s="1297"/>
      <c r="Y687" s="1299">
        <f ca="1">ROUND(Y686*U687,2)</f>
        <v>1567.3</v>
      </c>
    </row>
    <row r="688" spans="1:25" ht="15.75" thickBot="1">
      <c r="R688" s="1301" t="s">
        <v>1317</v>
      </c>
      <c r="S688" s="1302"/>
      <c r="T688" s="1302"/>
      <c r="U688" s="1302"/>
      <c r="V688" s="1302"/>
      <c r="W688" s="1302"/>
      <c r="X688" s="1302"/>
      <c r="Y688" s="1303">
        <f ca="1">Y687+Y686</f>
        <v>23957.3</v>
      </c>
    </row>
  </sheetData>
  <mergeCells count="723">
    <mergeCell ref="A410:D410"/>
    <mergeCell ref="E410:J410"/>
    <mergeCell ref="K410:S410"/>
    <mergeCell ref="A411:A413"/>
    <mergeCell ref="J672:K672"/>
    <mergeCell ref="L672:M672"/>
    <mergeCell ref="N672:O672"/>
    <mergeCell ref="P672:P673"/>
    <mergeCell ref="A674:A677"/>
    <mergeCell ref="B674:B677"/>
    <mergeCell ref="A672:B673"/>
    <mergeCell ref="C672:C673"/>
    <mergeCell ref="D672:D673"/>
    <mergeCell ref="E672:E673"/>
    <mergeCell ref="F672:G672"/>
    <mergeCell ref="H672:I672"/>
    <mergeCell ref="J662:K662"/>
    <mergeCell ref="L662:M662"/>
    <mergeCell ref="N662:O662"/>
    <mergeCell ref="P662:P663"/>
    <mergeCell ref="A664:A671"/>
    <mergeCell ref="B664:B671"/>
    <mergeCell ref="A662:B663"/>
    <mergeCell ref="C662:C663"/>
    <mergeCell ref="D662:D663"/>
    <mergeCell ref="E662:E663"/>
    <mergeCell ref="F662:G662"/>
    <mergeCell ref="H662:I662"/>
    <mergeCell ref="O652:O653"/>
    <mergeCell ref="P652:P653"/>
    <mergeCell ref="C654:C655"/>
    <mergeCell ref="E654:E655"/>
    <mergeCell ref="G654:G655"/>
    <mergeCell ref="I654:I655"/>
    <mergeCell ref="K654:K655"/>
    <mergeCell ref="M654:M655"/>
    <mergeCell ref="O654:O655"/>
    <mergeCell ref="P654:P655"/>
    <mergeCell ref="N650:O650"/>
    <mergeCell ref="P650:P651"/>
    <mergeCell ref="A652:A659"/>
    <mergeCell ref="B652:B659"/>
    <mergeCell ref="C652:C653"/>
    <mergeCell ref="E652:E653"/>
    <mergeCell ref="G652:G653"/>
    <mergeCell ref="I652:I653"/>
    <mergeCell ref="K652:K653"/>
    <mergeCell ref="M652:M653"/>
    <mergeCell ref="A650:B651"/>
    <mergeCell ref="C650:C651"/>
    <mergeCell ref="D650:D651"/>
    <mergeCell ref="E650:E651"/>
    <mergeCell ref="F650:G650"/>
    <mergeCell ref="H650:I650"/>
    <mergeCell ref="J650:K650"/>
    <mergeCell ref="L650:M650"/>
    <mergeCell ref="K639:K640"/>
    <mergeCell ref="M639:M640"/>
    <mergeCell ref="O639:O640"/>
    <mergeCell ref="P639:P640"/>
    <mergeCell ref="C641:C642"/>
    <mergeCell ref="E641:E642"/>
    <mergeCell ref="G641:G642"/>
    <mergeCell ref="I641:I642"/>
    <mergeCell ref="K641:K642"/>
    <mergeCell ref="M641:M642"/>
    <mergeCell ref="O641:O642"/>
    <mergeCell ref="P641:P642"/>
    <mergeCell ref="O644:O645"/>
    <mergeCell ref="P644:P645"/>
    <mergeCell ref="A637:B638"/>
    <mergeCell ref="C637:C638"/>
    <mergeCell ref="D637:D638"/>
    <mergeCell ref="E637:E638"/>
    <mergeCell ref="F637:G637"/>
    <mergeCell ref="H637:I637"/>
    <mergeCell ref="J637:K637"/>
    <mergeCell ref="L637:M637"/>
    <mergeCell ref="C644:C645"/>
    <mergeCell ref="E644:E645"/>
    <mergeCell ref="G644:G645"/>
    <mergeCell ref="I644:I645"/>
    <mergeCell ref="K644:K645"/>
    <mergeCell ref="M644:M645"/>
    <mergeCell ref="N637:O637"/>
    <mergeCell ref="P637:P638"/>
    <mergeCell ref="A639:A649"/>
    <mergeCell ref="B639:B649"/>
    <mergeCell ref="C639:C640"/>
    <mergeCell ref="E639:E640"/>
    <mergeCell ref="G639:G640"/>
    <mergeCell ref="I639:I640"/>
    <mergeCell ref="K626:K627"/>
    <mergeCell ref="M626:M627"/>
    <mergeCell ref="O626:O627"/>
    <mergeCell ref="P626:P627"/>
    <mergeCell ref="C628:C629"/>
    <mergeCell ref="E628:E629"/>
    <mergeCell ref="G628:G629"/>
    <mergeCell ref="I628:I629"/>
    <mergeCell ref="K628:K629"/>
    <mergeCell ref="M628:M629"/>
    <mergeCell ref="O628:O629"/>
    <mergeCell ref="P628:P629"/>
    <mergeCell ref="O631:O632"/>
    <mergeCell ref="P631:P632"/>
    <mergeCell ref="A624:B625"/>
    <mergeCell ref="C624:C625"/>
    <mergeCell ref="D624:D625"/>
    <mergeCell ref="E624:E625"/>
    <mergeCell ref="F624:G624"/>
    <mergeCell ref="H624:I624"/>
    <mergeCell ref="J624:K624"/>
    <mergeCell ref="L624:M624"/>
    <mergeCell ref="N624:O624"/>
    <mergeCell ref="C631:C632"/>
    <mergeCell ref="E631:E632"/>
    <mergeCell ref="G631:G632"/>
    <mergeCell ref="I631:I632"/>
    <mergeCell ref="K631:K632"/>
    <mergeCell ref="M631:M632"/>
    <mergeCell ref="P624:P625"/>
    <mergeCell ref="A626:A636"/>
    <mergeCell ref="B626:B636"/>
    <mergeCell ref="C626:C627"/>
    <mergeCell ref="E626:E627"/>
    <mergeCell ref="G626:G627"/>
    <mergeCell ref="I626:I627"/>
    <mergeCell ref="N614:O614"/>
    <mergeCell ref="P614:P615"/>
    <mergeCell ref="A616:A621"/>
    <mergeCell ref="B616:B621"/>
    <mergeCell ref="C616:C617"/>
    <mergeCell ref="E616:E617"/>
    <mergeCell ref="G616:G617"/>
    <mergeCell ref="I616:I617"/>
    <mergeCell ref="K616:K617"/>
    <mergeCell ref="M616:M617"/>
    <mergeCell ref="O616:O617"/>
    <mergeCell ref="P616:P617"/>
    <mergeCell ref="A614:B615"/>
    <mergeCell ref="C614:C615"/>
    <mergeCell ref="D614:D615"/>
    <mergeCell ref="E614:E615"/>
    <mergeCell ref="F614:G614"/>
    <mergeCell ref="H614:I614"/>
    <mergeCell ref="J614:K614"/>
    <mergeCell ref="L614:M614"/>
    <mergeCell ref="K602:K603"/>
    <mergeCell ref="M602:M603"/>
    <mergeCell ref="O602:O603"/>
    <mergeCell ref="P602:P603"/>
    <mergeCell ref="C605:C606"/>
    <mergeCell ref="E605:E606"/>
    <mergeCell ref="G605:G606"/>
    <mergeCell ref="I605:I606"/>
    <mergeCell ref="K605:K606"/>
    <mergeCell ref="M605:M606"/>
    <mergeCell ref="O605:O606"/>
    <mergeCell ref="P605:P606"/>
    <mergeCell ref="O607:O608"/>
    <mergeCell ref="P607:P608"/>
    <mergeCell ref="A600:B601"/>
    <mergeCell ref="C600:C601"/>
    <mergeCell ref="D600:D601"/>
    <mergeCell ref="E600:E601"/>
    <mergeCell ref="F600:G600"/>
    <mergeCell ref="H600:I600"/>
    <mergeCell ref="J600:K600"/>
    <mergeCell ref="L600:M600"/>
    <mergeCell ref="N600:O600"/>
    <mergeCell ref="C607:C608"/>
    <mergeCell ref="E607:E608"/>
    <mergeCell ref="G607:G608"/>
    <mergeCell ref="I607:I608"/>
    <mergeCell ref="K607:K608"/>
    <mergeCell ref="M607:M608"/>
    <mergeCell ref="P600:P601"/>
    <mergeCell ref="A602:A613"/>
    <mergeCell ref="B602:B613"/>
    <mergeCell ref="C602:C603"/>
    <mergeCell ref="E602:E603"/>
    <mergeCell ref="G602:G603"/>
    <mergeCell ref="I602:I603"/>
    <mergeCell ref="K592:K593"/>
    <mergeCell ref="M592:M593"/>
    <mergeCell ref="O592:O593"/>
    <mergeCell ref="P592:P593"/>
    <mergeCell ref="C594:C595"/>
    <mergeCell ref="E594:E595"/>
    <mergeCell ref="G594:G595"/>
    <mergeCell ref="I594:I595"/>
    <mergeCell ref="K594:K595"/>
    <mergeCell ref="M594:M595"/>
    <mergeCell ref="O594:O595"/>
    <mergeCell ref="P594:P595"/>
    <mergeCell ref="A592:A599"/>
    <mergeCell ref="B592:B599"/>
    <mergeCell ref="C592:C593"/>
    <mergeCell ref="E592:E593"/>
    <mergeCell ref="G592:G593"/>
    <mergeCell ref="I592:I593"/>
    <mergeCell ref="A590:B591"/>
    <mergeCell ref="C590:C591"/>
    <mergeCell ref="D590:D591"/>
    <mergeCell ref="E590:E591"/>
    <mergeCell ref="F590:G590"/>
    <mergeCell ref="H590:I590"/>
    <mergeCell ref="E583:E584"/>
    <mergeCell ref="G583:G584"/>
    <mergeCell ref="I583:I584"/>
    <mergeCell ref="K583:K584"/>
    <mergeCell ref="M583:M584"/>
    <mergeCell ref="O583:O584"/>
    <mergeCell ref="P583:P584"/>
    <mergeCell ref="J590:K590"/>
    <mergeCell ref="L590:M590"/>
    <mergeCell ref="N590:O590"/>
    <mergeCell ref="P590:P591"/>
    <mergeCell ref="A579:B580"/>
    <mergeCell ref="C579:C580"/>
    <mergeCell ref="D579:D580"/>
    <mergeCell ref="J549:K549"/>
    <mergeCell ref="L549:M549"/>
    <mergeCell ref="N549:O549"/>
    <mergeCell ref="P579:P580"/>
    <mergeCell ref="A581:A589"/>
    <mergeCell ref="B581:B589"/>
    <mergeCell ref="C581:C582"/>
    <mergeCell ref="E581:E582"/>
    <mergeCell ref="G581:G582"/>
    <mergeCell ref="I581:I582"/>
    <mergeCell ref="K581:K582"/>
    <mergeCell ref="M581:M582"/>
    <mergeCell ref="O581:O582"/>
    <mergeCell ref="E579:E580"/>
    <mergeCell ref="F579:G579"/>
    <mergeCell ref="H579:I579"/>
    <mergeCell ref="J579:K579"/>
    <mergeCell ref="L579:M579"/>
    <mergeCell ref="N579:O579"/>
    <mergeCell ref="P581:P582"/>
    <mergeCell ref="C583:C584"/>
    <mergeCell ref="P549:P550"/>
    <mergeCell ref="Q549:Q550"/>
    <mergeCell ref="A551:A576"/>
    <mergeCell ref="B551:B576"/>
    <mergeCell ref="C551:C553"/>
    <mergeCell ref="C555:C557"/>
    <mergeCell ref="C559:C560"/>
    <mergeCell ref="A549:B550"/>
    <mergeCell ref="C549:C550"/>
    <mergeCell ref="D549:D550"/>
    <mergeCell ref="E549:E550"/>
    <mergeCell ref="F549:G549"/>
    <mergeCell ref="H549:I549"/>
    <mergeCell ref="C562:C563"/>
    <mergeCell ref="C565:C567"/>
    <mergeCell ref="C571:C572"/>
    <mergeCell ref="J530:K530"/>
    <mergeCell ref="L530:M530"/>
    <mergeCell ref="N530:O530"/>
    <mergeCell ref="P530:P531"/>
    <mergeCell ref="Q530:Q531"/>
    <mergeCell ref="A532:A548"/>
    <mergeCell ref="B532:B548"/>
    <mergeCell ref="A530:B531"/>
    <mergeCell ref="C530:C531"/>
    <mergeCell ref="D530:D531"/>
    <mergeCell ref="E530:E531"/>
    <mergeCell ref="F530:G530"/>
    <mergeCell ref="H530:I530"/>
    <mergeCell ref="J520:K520"/>
    <mergeCell ref="L520:M520"/>
    <mergeCell ref="N520:O520"/>
    <mergeCell ref="P520:P521"/>
    <mergeCell ref="A522:A529"/>
    <mergeCell ref="B522:B529"/>
    <mergeCell ref="A520:B521"/>
    <mergeCell ref="C520:C521"/>
    <mergeCell ref="D520:D521"/>
    <mergeCell ref="E520:E521"/>
    <mergeCell ref="F520:G520"/>
    <mergeCell ref="H520:I520"/>
    <mergeCell ref="M504:M505"/>
    <mergeCell ref="O504:O505"/>
    <mergeCell ref="P504:P505"/>
    <mergeCell ref="J513:K513"/>
    <mergeCell ref="L513:M513"/>
    <mergeCell ref="N513:O513"/>
    <mergeCell ref="P513:P514"/>
    <mergeCell ref="A515:A519"/>
    <mergeCell ref="B515:B519"/>
    <mergeCell ref="A513:B514"/>
    <mergeCell ref="C513:C514"/>
    <mergeCell ref="D513:D514"/>
    <mergeCell ref="E513:E514"/>
    <mergeCell ref="F513:G513"/>
    <mergeCell ref="H513:I513"/>
    <mergeCell ref="P498:P499"/>
    <mergeCell ref="A500:A512"/>
    <mergeCell ref="B500:B512"/>
    <mergeCell ref="C500:C501"/>
    <mergeCell ref="E500:E501"/>
    <mergeCell ref="G500:G501"/>
    <mergeCell ref="I500:I501"/>
    <mergeCell ref="K500:K501"/>
    <mergeCell ref="M500:M501"/>
    <mergeCell ref="O500:O501"/>
    <mergeCell ref="P500:P501"/>
    <mergeCell ref="C502:C503"/>
    <mergeCell ref="E502:E503"/>
    <mergeCell ref="G502:G503"/>
    <mergeCell ref="I502:I503"/>
    <mergeCell ref="K502:K503"/>
    <mergeCell ref="M502:M503"/>
    <mergeCell ref="O502:O503"/>
    <mergeCell ref="P502:P503"/>
    <mergeCell ref="C504:C505"/>
    <mergeCell ref="E504:E505"/>
    <mergeCell ref="G504:G505"/>
    <mergeCell ref="I504:I505"/>
    <mergeCell ref="K504:K505"/>
    <mergeCell ref="A498:B499"/>
    <mergeCell ref="C498:C499"/>
    <mergeCell ref="D498:D499"/>
    <mergeCell ref="E498:E499"/>
    <mergeCell ref="F498:G498"/>
    <mergeCell ref="H498:I498"/>
    <mergeCell ref="J498:K498"/>
    <mergeCell ref="L498:M498"/>
    <mergeCell ref="N498:O498"/>
    <mergeCell ref="J490:K490"/>
    <mergeCell ref="L490:M490"/>
    <mergeCell ref="N490:O490"/>
    <mergeCell ref="P490:P491"/>
    <mergeCell ref="A492:A497"/>
    <mergeCell ref="B492:B497"/>
    <mergeCell ref="C492:C493"/>
    <mergeCell ref="E492:E493"/>
    <mergeCell ref="G492:G493"/>
    <mergeCell ref="I492:I493"/>
    <mergeCell ref="A490:B491"/>
    <mergeCell ref="C490:C491"/>
    <mergeCell ref="D490:D491"/>
    <mergeCell ref="E490:E491"/>
    <mergeCell ref="F490:G490"/>
    <mergeCell ref="H490:I490"/>
    <mergeCell ref="K492:K493"/>
    <mergeCell ref="M492:M493"/>
    <mergeCell ref="O492:O493"/>
    <mergeCell ref="P492:P493"/>
    <mergeCell ref="P480:P481"/>
    <mergeCell ref="A482:A489"/>
    <mergeCell ref="B482:B489"/>
    <mergeCell ref="C482:C483"/>
    <mergeCell ref="E482:E483"/>
    <mergeCell ref="G482:G483"/>
    <mergeCell ref="I482:I483"/>
    <mergeCell ref="K482:K483"/>
    <mergeCell ref="M482:M483"/>
    <mergeCell ref="O482:O483"/>
    <mergeCell ref="P482:P483"/>
    <mergeCell ref="C484:C485"/>
    <mergeCell ref="E484:E485"/>
    <mergeCell ref="G484:G485"/>
    <mergeCell ref="I484:I485"/>
    <mergeCell ref="K484:K485"/>
    <mergeCell ref="M484:M485"/>
    <mergeCell ref="O484:O485"/>
    <mergeCell ref="P484:P485"/>
    <mergeCell ref="A480:B481"/>
    <mergeCell ref="C480:C481"/>
    <mergeCell ref="D480:D481"/>
    <mergeCell ref="E480:E481"/>
    <mergeCell ref="F480:G480"/>
    <mergeCell ref="H480:I480"/>
    <mergeCell ref="J480:K480"/>
    <mergeCell ref="L480:M480"/>
    <mergeCell ref="N480:O480"/>
    <mergeCell ref="AE469:AE470"/>
    <mergeCell ref="AF469:AF470"/>
    <mergeCell ref="AG469:AG470"/>
    <mergeCell ref="AH469:AH470"/>
    <mergeCell ref="C472:C473"/>
    <mergeCell ref="E472:E473"/>
    <mergeCell ref="G472:G473"/>
    <mergeCell ref="I472:I473"/>
    <mergeCell ref="K472:K473"/>
    <mergeCell ref="M472:M473"/>
    <mergeCell ref="X469:X470"/>
    <mergeCell ref="Y469:Y470"/>
    <mergeCell ref="AA469:AA470"/>
    <mergeCell ref="AB469:AB470"/>
    <mergeCell ref="AC469:AC470"/>
    <mergeCell ref="AD469:AD470"/>
    <mergeCell ref="R469:R470"/>
    <mergeCell ref="S469:S470"/>
    <mergeCell ref="T469:T470"/>
    <mergeCell ref="U469:U470"/>
    <mergeCell ref="V469:V470"/>
    <mergeCell ref="W469:W470"/>
    <mergeCell ref="O472:O473"/>
    <mergeCell ref="P472:P473"/>
    <mergeCell ref="K465:K466"/>
    <mergeCell ref="M465:M466"/>
    <mergeCell ref="O465:O466"/>
    <mergeCell ref="P465:P466"/>
    <mergeCell ref="C469:C470"/>
    <mergeCell ref="E469:E470"/>
    <mergeCell ref="G469:G470"/>
    <mergeCell ref="I469:I470"/>
    <mergeCell ref="K469:K470"/>
    <mergeCell ref="M469:M470"/>
    <mergeCell ref="O469:O470"/>
    <mergeCell ref="P469:P470"/>
    <mergeCell ref="J461:K461"/>
    <mergeCell ref="L461:M461"/>
    <mergeCell ref="N461:O461"/>
    <mergeCell ref="P461:P462"/>
    <mergeCell ref="A463:A477"/>
    <mergeCell ref="B463:B477"/>
    <mergeCell ref="C463:C464"/>
    <mergeCell ref="E463:E464"/>
    <mergeCell ref="G463:G464"/>
    <mergeCell ref="I463:I464"/>
    <mergeCell ref="A461:B462"/>
    <mergeCell ref="C461:C462"/>
    <mergeCell ref="D461:D462"/>
    <mergeCell ref="E461:E462"/>
    <mergeCell ref="F461:G461"/>
    <mergeCell ref="H461:I461"/>
    <mergeCell ref="K463:K464"/>
    <mergeCell ref="M463:M464"/>
    <mergeCell ref="O463:O464"/>
    <mergeCell ref="P463:P464"/>
    <mergeCell ref="C465:C466"/>
    <mergeCell ref="E465:E466"/>
    <mergeCell ref="G465:G466"/>
    <mergeCell ref="I465:I466"/>
    <mergeCell ref="O449:O450"/>
    <mergeCell ref="P449:P450"/>
    <mergeCell ref="C453:C454"/>
    <mergeCell ref="E453:E454"/>
    <mergeCell ref="G453:G454"/>
    <mergeCell ref="I453:I454"/>
    <mergeCell ref="K453:K454"/>
    <mergeCell ref="M453:M454"/>
    <mergeCell ref="O453:O454"/>
    <mergeCell ref="P453:P454"/>
    <mergeCell ref="C449:C450"/>
    <mergeCell ref="E449:E450"/>
    <mergeCell ref="G449:G450"/>
    <mergeCell ref="I449:I450"/>
    <mergeCell ref="K449:K450"/>
    <mergeCell ref="M449:M450"/>
    <mergeCell ref="K444:K445"/>
    <mergeCell ref="M444:M445"/>
    <mergeCell ref="O444:O445"/>
    <mergeCell ref="P444:P445"/>
    <mergeCell ref="C446:C447"/>
    <mergeCell ref="E446:E447"/>
    <mergeCell ref="G446:G447"/>
    <mergeCell ref="I446:I447"/>
    <mergeCell ref="K446:K447"/>
    <mergeCell ref="M446:M447"/>
    <mergeCell ref="O446:O447"/>
    <mergeCell ref="P446:P447"/>
    <mergeCell ref="J440:K440"/>
    <mergeCell ref="L440:M440"/>
    <mergeCell ref="N440:O440"/>
    <mergeCell ref="P440:P441"/>
    <mergeCell ref="A442:A458"/>
    <mergeCell ref="B442:B458"/>
    <mergeCell ref="C442:C443"/>
    <mergeCell ref="E442:E443"/>
    <mergeCell ref="G442:G443"/>
    <mergeCell ref="I442:I443"/>
    <mergeCell ref="A440:B441"/>
    <mergeCell ref="C440:C441"/>
    <mergeCell ref="D440:D441"/>
    <mergeCell ref="E440:E441"/>
    <mergeCell ref="F440:G440"/>
    <mergeCell ref="H440:I440"/>
    <mergeCell ref="K442:K443"/>
    <mergeCell ref="M442:M443"/>
    <mergeCell ref="O442:O443"/>
    <mergeCell ref="P442:P443"/>
    <mergeCell ref="C444:C445"/>
    <mergeCell ref="E444:E445"/>
    <mergeCell ref="G444:G445"/>
    <mergeCell ref="I444:I445"/>
    <mergeCell ref="O427:O428"/>
    <mergeCell ref="P427:P428"/>
    <mergeCell ref="C430:C431"/>
    <mergeCell ref="E430:E431"/>
    <mergeCell ref="G430:G431"/>
    <mergeCell ref="I430:I431"/>
    <mergeCell ref="K430:K431"/>
    <mergeCell ref="M430:M431"/>
    <mergeCell ref="O430:O431"/>
    <mergeCell ref="P430:P431"/>
    <mergeCell ref="C427:C428"/>
    <mergeCell ref="E427:E428"/>
    <mergeCell ref="G427:G428"/>
    <mergeCell ref="I427:I428"/>
    <mergeCell ref="K427:K428"/>
    <mergeCell ref="M427:M428"/>
    <mergeCell ref="X423:X424"/>
    <mergeCell ref="Y423:Y424"/>
    <mergeCell ref="C425:C426"/>
    <mergeCell ref="E425:E426"/>
    <mergeCell ref="G425:G426"/>
    <mergeCell ref="I425:I426"/>
    <mergeCell ref="K425:K426"/>
    <mergeCell ref="M425:M426"/>
    <mergeCell ref="O425:O426"/>
    <mergeCell ref="P425:P426"/>
    <mergeCell ref="R423:R424"/>
    <mergeCell ref="S423:S424"/>
    <mergeCell ref="T423:T424"/>
    <mergeCell ref="U423:U424"/>
    <mergeCell ref="V423:V424"/>
    <mergeCell ref="W423:W424"/>
    <mergeCell ref="E420:E421"/>
    <mergeCell ref="G420:G421"/>
    <mergeCell ref="I420:I421"/>
    <mergeCell ref="K420:K421"/>
    <mergeCell ref="M420:M421"/>
    <mergeCell ref="O420:O421"/>
    <mergeCell ref="P420:P421"/>
    <mergeCell ref="C423:C424"/>
    <mergeCell ref="E423:E424"/>
    <mergeCell ref="G423:G424"/>
    <mergeCell ref="I423:I424"/>
    <mergeCell ref="K423:K424"/>
    <mergeCell ref="M423:M424"/>
    <mergeCell ref="O423:O424"/>
    <mergeCell ref="P423:P424"/>
    <mergeCell ref="M399:M400"/>
    <mergeCell ref="O399:O400"/>
    <mergeCell ref="P399:P400"/>
    <mergeCell ref="J416:K416"/>
    <mergeCell ref="L416:M416"/>
    <mergeCell ref="N416:O416"/>
    <mergeCell ref="P416:P417"/>
    <mergeCell ref="A418:A437"/>
    <mergeCell ref="B418:B437"/>
    <mergeCell ref="C418:C419"/>
    <mergeCell ref="E418:E419"/>
    <mergeCell ref="G418:G419"/>
    <mergeCell ref="I418:I419"/>
    <mergeCell ref="A416:B417"/>
    <mergeCell ref="C416:C417"/>
    <mergeCell ref="D416:D417"/>
    <mergeCell ref="E416:E417"/>
    <mergeCell ref="F416:G416"/>
    <mergeCell ref="H416:I416"/>
    <mergeCell ref="K418:K419"/>
    <mergeCell ref="M418:M419"/>
    <mergeCell ref="O418:O419"/>
    <mergeCell ref="P418:P419"/>
    <mergeCell ref="C420:C421"/>
    <mergeCell ref="M391:M392"/>
    <mergeCell ref="O391:O392"/>
    <mergeCell ref="P391:P392"/>
    <mergeCell ref="C393:C394"/>
    <mergeCell ref="E393:E394"/>
    <mergeCell ref="G393:G394"/>
    <mergeCell ref="I393:I394"/>
    <mergeCell ref="K393:K394"/>
    <mergeCell ref="M393:M394"/>
    <mergeCell ref="O393:O394"/>
    <mergeCell ref="P393:P394"/>
    <mergeCell ref="A391:A407"/>
    <mergeCell ref="B391:B407"/>
    <mergeCell ref="C391:C392"/>
    <mergeCell ref="E391:E392"/>
    <mergeCell ref="G391:G392"/>
    <mergeCell ref="I391:I392"/>
    <mergeCell ref="F389:G389"/>
    <mergeCell ref="H389:I389"/>
    <mergeCell ref="J389:K389"/>
    <mergeCell ref="K391:K392"/>
    <mergeCell ref="C399:C400"/>
    <mergeCell ref="E399:E400"/>
    <mergeCell ref="G399:G400"/>
    <mergeCell ref="I399:I400"/>
    <mergeCell ref="K399:K400"/>
    <mergeCell ref="L389:M389"/>
    <mergeCell ref="N389:O389"/>
    <mergeCell ref="P389:P390"/>
    <mergeCell ref="A330:A334"/>
    <mergeCell ref="A335:A339"/>
    <mergeCell ref="A340:A344"/>
    <mergeCell ref="B347:E347"/>
    <mergeCell ref="A389:B390"/>
    <mergeCell ref="C389:C390"/>
    <mergeCell ref="D389:D390"/>
    <mergeCell ref="E389:E390"/>
    <mergeCell ref="E315:J315"/>
    <mergeCell ref="K315:S315"/>
    <mergeCell ref="A316:A322"/>
    <mergeCell ref="A325:A328"/>
    <mergeCell ref="A329:D329"/>
    <mergeCell ref="E329:J329"/>
    <mergeCell ref="K329:S329"/>
    <mergeCell ref="A268:A276"/>
    <mergeCell ref="A277:A285"/>
    <mergeCell ref="A286:A294"/>
    <mergeCell ref="A297:A305"/>
    <mergeCell ref="B297:B298"/>
    <mergeCell ref="A306:A314"/>
    <mergeCell ref="B306:B307"/>
    <mergeCell ref="E246:J246"/>
    <mergeCell ref="K246:S246"/>
    <mergeCell ref="A247:A253"/>
    <mergeCell ref="A254:A257"/>
    <mergeCell ref="A261:B262"/>
    <mergeCell ref="A267:D267"/>
    <mergeCell ref="E267:J267"/>
    <mergeCell ref="K267:S267"/>
    <mergeCell ref="A235:A238"/>
    <mergeCell ref="B235:B236"/>
    <mergeCell ref="B237:B238"/>
    <mergeCell ref="A239:A241"/>
    <mergeCell ref="B240:B241"/>
    <mergeCell ref="A242:A245"/>
    <mergeCell ref="A224:B224"/>
    <mergeCell ref="A225:A231"/>
    <mergeCell ref="B225:B227"/>
    <mergeCell ref="A232:B232"/>
    <mergeCell ref="A233:A234"/>
    <mergeCell ref="B233:B234"/>
    <mergeCell ref="A217:B217"/>
    <mergeCell ref="A218:A223"/>
    <mergeCell ref="B218:B220"/>
    <mergeCell ref="C218:C219"/>
    <mergeCell ref="B221:B223"/>
    <mergeCell ref="C221:C222"/>
    <mergeCell ref="B215:B216"/>
    <mergeCell ref="E215:E216"/>
    <mergeCell ref="F215:F216"/>
    <mergeCell ref="G215:G216"/>
    <mergeCell ref="H215:H216"/>
    <mergeCell ref="I215:I216"/>
    <mergeCell ref="K183:S183"/>
    <mergeCell ref="A184:A192"/>
    <mergeCell ref="A194:A202"/>
    <mergeCell ref="A204:A212"/>
    <mergeCell ref="B164:B167"/>
    <mergeCell ref="B168:B170"/>
    <mergeCell ref="B171:B173"/>
    <mergeCell ref="C171:D172"/>
    <mergeCell ref="B174:B176"/>
    <mergeCell ref="B177:B179"/>
    <mergeCell ref="C177:D178"/>
    <mergeCell ref="A143:B144"/>
    <mergeCell ref="A145:A182"/>
    <mergeCell ref="B147:B148"/>
    <mergeCell ref="B149:B150"/>
    <mergeCell ref="B152:B153"/>
    <mergeCell ref="B156:B159"/>
    <mergeCell ref="B160:B163"/>
    <mergeCell ref="B180:B182"/>
    <mergeCell ref="E183:J183"/>
    <mergeCell ref="B124:B125"/>
    <mergeCell ref="B126:B127"/>
    <mergeCell ref="B128:B130"/>
    <mergeCell ref="B131:B132"/>
    <mergeCell ref="C131:D132"/>
    <mergeCell ref="B133:B136"/>
    <mergeCell ref="A97:B98"/>
    <mergeCell ref="A99:A142"/>
    <mergeCell ref="B101:B102"/>
    <mergeCell ref="B103:B104"/>
    <mergeCell ref="B105:B106"/>
    <mergeCell ref="B108:B109"/>
    <mergeCell ref="B110:B111"/>
    <mergeCell ref="B112:B113"/>
    <mergeCell ref="B116:B119"/>
    <mergeCell ref="B120:B123"/>
    <mergeCell ref="B137:B139"/>
    <mergeCell ref="C137:D138"/>
    <mergeCell ref="B140:B142"/>
    <mergeCell ref="A51:B52"/>
    <mergeCell ref="A53:A96"/>
    <mergeCell ref="B55:B56"/>
    <mergeCell ref="B57:B58"/>
    <mergeCell ref="B59:B60"/>
    <mergeCell ref="B62:B63"/>
    <mergeCell ref="B85:B87"/>
    <mergeCell ref="C85:D86"/>
    <mergeCell ref="B88:B90"/>
    <mergeCell ref="B91:B93"/>
    <mergeCell ref="C91:D92"/>
    <mergeCell ref="B94:B96"/>
    <mergeCell ref="B64:B65"/>
    <mergeCell ref="B66:B67"/>
    <mergeCell ref="B70:B73"/>
    <mergeCell ref="B74:B77"/>
    <mergeCell ref="B78:B81"/>
    <mergeCell ref="B82:B84"/>
    <mergeCell ref="B28:B31"/>
    <mergeCell ref="B32:B35"/>
    <mergeCell ref="C32:D33"/>
    <mergeCell ref="B36:B38"/>
    <mergeCell ref="B39:B41"/>
    <mergeCell ref="C39:D40"/>
    <mergeCell ref="B2:I2"/>
    <mergeCell ref="A5:B6"/>
    <mergeCell ref="A7:A50"/>
    <mergeCell ref="B9:B10"/>
    <mergeCell ref="B11:B12"/>
    <mergeCell ref="B13:B14"/>
    <mergeCell ref="B16:B17"/>
    <mergeCell ref="B18:B19"/>
    <mergeCell ref="B20:B21"/>
    <mergeCell ref="B24:B27"/>
    <mergeCell ref="B42:B44"/>
    <mergeCell ref="B45:B47"/>
    <mergeCell ref="C45:D46"/>
    <mergeCell ref="B48:B50"/>
  </mergeCells>
  <conditionalFormatting sqref="E6:I6 C401:C404 C482 C484 C486 D494">
    <cfRule type="expression" dxfId="549" priority="535">
      <formula>#REF! = "produs"</formula>
    </cfRule>
    <cfRule type="expression" dxfId="548" priority="536">
      <formula>#REF! = "obiectiv"</formula>
    </cfRule>
  </conditionalFormatting>
  <conditionalFormatting sqref="D6 D429">
    <cfRule type="expression" dxfId="547" priority="533">
      <formula>#REF! = "produs"</formula>
    </cfRule>
    <cfRule type="expression" dxfId="546" priority="534">
      <formula>#REF! = "obiectiv"</formula>
    </cfRule>
  </conditionalFormatting>
  <conditionalFormatting sqref="D144">
    <cfRule type="expression" dxfId="545" priority="531">
      <formula>#REF! = "produs"</formula>
    </cfRule>
    <cfRule type="expression" dxfId="544" priority="532">
      <formula>#REF! = "obiectiv"</formula>
    </cfRule>
  </conditionalFormatting>
  <conditionalFormatting sqref="E217:I217">
    <cfRule type="expression" dxfId="543" priority="529">
      <formula>#REF! = "produs"</formula>
    </cfRule>
    <cfRule type="expression" dxfId="542" priority="530">
      <formula>#REF! = "obiectiv"</formula>
    </cfRule>
  </conditionalFormatting>
  <conditionalFormatting sqref="E242:I242">
    <cfRule type="expression" dxfId="541" priority="527">
      <formula>#REF! = "produs"</formula>
    </cfRule>
    <cfRule type="expression" dxfId="540" priority="528">
      <formula>#REF! = "obiectiv"</formula>
    </cfRule>
  </conditionalFormatting>
  <conditionalFormatting sqref="E224:I224">
    <cfRule type="expression" dxfId="539" priority="525">
      <formula>#REF! = "produs"</formula>
    </cfRule>
    <cfRule type="expression" dxfId="538" priority="526">
      <formula>#REF! = "obiectiv"</formula>
    </cfRule>
  </conditionalFormatting>
  <conditionalFormatting sqref="D471">
    <cfRule type="expression" dxfId="537" priority="523">
      <formula>#REF! = "produs"</formula>
    </cfRule>
    <cfRule type="expression" dxfId="536" priority="524">
      <formula>#REF! = "obiectiv"</formula>
    </cfRule>
  </conditionalFormatting>
  <conditionalFormatting sqref="E298:I298">
    <cfRule type="expression" dxfId="535" priority="521">
      <formula>#REF! = "produs"</formula>
    </cfRule>
    <cfRule type="expression" dxfId="534" priority="522">
      <formula>#REF! = "obiectiv"</formula>
    </cfRule>
  </conditionalFormatting>
  <conditionalFormatting sqref="D393:D394">
    <cfRule type="expression" dxfId="533" priority="505">
      <formula>#REF! = "produs"</formula>
    </cfRule>
    <cfRule type="expression" dxfId="532" priority="506">
      <formula>#REF! = "obiectiv"</formula>
    </cfRule>
  </conditionalFormatting>
  <conditionalFormatting sqref="D298">
    <cfRule type="expression" dxfId="531" priority="519">
      <formula>#REF! = "produs"</formula>
    </cfRule>
    <cfRule type="expression" dxfId="530" priority="520">
      <formula>#REF! = "obiectiv"</formula>
    </cfRule>
  </conditionalFormatting>
  <conditionalFormatting sqref="C393">
    <cfRule type="expression" dxfId="529" priority="507">
      <formula>#REF! = "produs"</formula>
    </cfRule>
    <cfRule type="expression" dxfId="528" priority="508">
      <formula>#REF! = "obiectiv"</formula>
    </cfRule>
  </conditionalFormatting>
  <conditionalFormatting sqref="D403:D404">
    <cfRule type="expression" dxfId="527" priority="493">
      <formula>#REF! = "produs"</formula>
    </cfRule>
    <cfRule type="expression" dxfId="526" priority="494">
      <formula>#REF! = "obiectiv"</formula>
    </cfRule>
  </conditionalFormatting>
  <conditionalFormatting sqref="D420:D421">
    <cfRule type="expression" dxfId="525" priority="471">
      <formula>#REF! = "produs"</formula>
    </cfRule>
    <cfRule type="expression" dxfId="524" priority="472">
      <formula>#REF! = "obiectiv"</formula>
    </cfRule>
  </conditionalFormatting>
  <conditionalFormatting sqref="C405">
    <cfRule type="expression" dxfId="523" priority="511">
      <formula>#REF! = "produs"</formula>
    </cfRule>
    <cfRule type="expression" dxfId="522" priority="512">
      <formula>#REF! = "obiectiv"</formula>
    </cfRule>
  </conditionalFormatting>
  <conditionalFormatting sqref="C391:D391 D392">
    <cfRule type="expression" dxfId="521" priority="509">
      <formula>#REF! = "produs"</formula>
    </cfRule>
    <cfRule type="expression" dxfId="520" priority="510">
      <formula>#REF! = "obiectiv"</formula>
    </cfRule>
  </conditionalFormatting>
  <conditionalFormatting sqref="D395">
    <cfRule type="expression" dxfId="519" priority="503">
      <formula>#REF! = "produs"</formula>
    </cfRule>
    <cfRule type="expression" dxfId="518" priority="504">
      <formula>#REF! = "obiectiv"</formula>
    </cfRule>
  </conditionalFormatting>
  <conditionalFormatting sqref="P395:P399 D399:D401 P405 E395:E399">
    <cfRule type="expression" dxfId="517" priority="517">
      <formula>#REF! = "produs"</formula>
    </cfRule>
    <cfRule type="expression" dxfId="516" priority="518">
      <formula>#REF! = "obiectiv"</formula>
    </cfRule>
  </conditionalFormatting>
  <conditionalFormatting sqref="D396">
    <cfRule type="expression" dxfId="515" priority="499">
      <formula>#REF! = "produs"</formula>
    </cfRule>
    <cfRule type="expression" dxfId="514" priority="500">
      <formula>#REF! = "obiectiv"</formula>
    </cfRule>
  </conditionalFormatting>
  <conditionalFormatting sqref="C406 P391 B391:B394 E391 P393">
    <cfRule type="expression" dxfId="513" priority="515">
      <formula>#REF! = "produs"</formula>
    </cfRule>
    <cfRule type="expression" dxfId="512" priority="516">
      <formula>#REF! = "obiectiv"</formula>
    </cfRule>
  </conditionalFormatting>
  <conditionalFormatting sqref="C397:D398">
    <cfRule type="expression" dxfId="511" priority="501">
      <formula>#REF! = "produs"</formula>
    </cfRule>
    <cfRule type="expression" dxfId="510" priority="502">
      <formula>#REF! = "obiectiv"</formula>
    </cfRule>
  </conditionalFormatting>
  <conditionalFormatting sqref="C407">
    <cfRule type="expression" dxfId="509" priority="513">
      <formula>#REF! = "produs"</formula>
    </cfRule>
    <cfRule type="expression" dxfId="508" priority="514">
      <formula>#REF! = "obiectiv"</formula>
    </cfRule>
  </conditionalFormatting>
  <conditionalFormatting sqref="D402">
    <cfRule type="expression" dxfId="507" priority="489">
      <formula>#REF! = "produs"</formula>
    </cfRule>
    <cfRule type="expression" dxfId="506" priority="490">
      <formula>#REF! = "obiectiv"</formula>
    </cfRule>
  </conditionalFormatting>
  <conditionalFormatting sqref="E402 P402">
    <cfRule type="expression" dxfId="505" priority="491">
      <formula>#REF! = "produs"</formula>
    </cfRule>
    <cfRule type="expression" dxfId="504" priority="492">
      <formula>#REF! = "obiectiv"</formula>
    </cfRule>
  </conditionalFormatting>
  <conditionalFormatting sqref="E404 P404">
    <cfRule type="expression" dxfId="503" priority="485">
      <formula>#REF! = "produs"</formula>
    </cfRule>
    <cfRule type="expression" dxfId="502" priority="486">
      <formula>#REF! = "obiectiv"</formula>
    </cfRule>
  </conditionalFormatting>
  <conditionalFormatting sqref="C399">
    <cfRule type="expression" dxfId="501" priority="497">
      <formula>#REF! = "produs"</formula>
    </cfRule>
    <cfRule type="expression" dxfId="500" priority="498">
      <formula>#REF! = "obiectiv"</formula>
    </cfRule>
  </conditionalFormatting>
  <conditionalFormatting sqref="E403 P403">
    <cfRule type="expression" dxfId="499" priority="495">
      <formula>#REF! = "produs"</formula>
    </cfRule>
    <cfRule type="expression" dxfId="498" priority="496">
      <formula>#REF! = "obiectiv"</formula>
    </cfRule>
  </conditionalFormatting>
  <conditionalFormatting sqref="P401">
    <cfRule type="expression" dxfId="497" priority="487">
      <formula>#REF! = "produs"</formula>
    </cfRule>
    <cfRule type="expression" dxfId="496" priority="488">
      <formula>#REF! = "obiectiv"</formula>
    </cfRule>
  </conditionalFormatting>
  <conditionalFormatting sqref="P422 P435 E422 E427 E429">
    <cfRule type="expression" dxfId="495" priority="483">
      <formula>#REF! = "produs"</formula>
    </cfRule>
    <cfRule type="expression" dxfId="494" priority="484">
      <formula>#REF! = "obiectiv"</formula>
    </cfRule>
  </conditionalFormatting>
  <conditionalFormatting sqref="C436 P418 B418:B421 E418 P420">
    <cfRule type="expression" dxfId="493" priority="481">
      <formula>#REF! = "produs"</formula>
    </cfRule>
    <cfRule type="expression" dxfId="492" priority="482">
      <formula>#REF! = "obiectiv"</formula>
    </cfRule>
  </conditionalFormatting>
  <conditionalFormatting sqref="C437">
    <cfRule type="expression" dxfId="491" priority="479">
      <formula>#REF! = "produs"</formula>
    </cfRule>
    <cfRule type="expression" dxfId="490" priority="480">
      <formula>#REF! = "obiectiv"</formula>
    </cfRule>
  </conditionalFormatting>
  <conditionalFormatting sqref="C420">
    <cfRule type="expression" dxfId="489" priority="473">
      <formula>#REF! = "produs"</formula>
    </cfRule>
    <cfRule type="expression" dxfId="488" priority="474">
      <formula>#REF! = "obiectiv"</formula>
    </cfRule>
  </conditionalFormatting>
  <conditionalFormatting sqref="C418:D418 D419">
    <cfRule type="expression" dxfId="487" priority="475">
      <formula>#REF! = "produs"</formula>
    </cfRule>
    <cfRule type="expression" dxfId="486" priority="476">
      <formula>#REF! = "obiectiv"</formula>
    </cfRule>
  </conditionalFormatting>
  <conditionalFormatting sqref="D430:D431 E430">
    <cfRule type="expression" dxfId="485" priority="441">
      <formula>#REF! = "produs"</formula>
    </cfRule>
    <cfRule type="expression" dxfId="484" priority="442">
      <formula>#REF! = "obiectiv"</formula>
    </cfRule>
  </conditionalFormatting>
  <conditionalFormatting sqref="C435">
    <cfRule type="expression" dxfId="483" priority="477">
      <formula>#REF! = "produs"</formula>
    </cfRule>
    <cfRule type="expression" dxfId="482" priority="478">
      <formula>#REF! = "obiectiv"</formula>
    </cfRule>
  </conditionalFormatting>
  <conditionalFormatting sqref="C427:D427 C425 D428">
    <cfRule type="expression" dxfId="481" priority="467">
      <formula>#REF! = "produs"</formula>
    </cfRule>
    <cfRule type="expression" dxfId="480" priority="468">
      <formula>#REF! = "obiectiv"</formula>
    </cfRule>
  </conditionalFormatting>
  <conditionalFormatting sqref="D422">
    <cfRule type="expression" dxfId="479" priority="469">
      <formula>#REF! = "produs"</formula>
    </cfRule>
    <cfRule type="expression" dxfId="478" priority="470">
      <formula>#REF! = "obiectiv"</formula>
    </cfRule>
  </conditionalFormatting>
  <conditionalFormatting sqref="C429">
    <cfRule type="expression" dxfId="477" priority="465">
      <formula>#REF! = "produs"</formula>
    </cfRule>
    <cfRule type="expression" dxfId="476" priority="466">
      <formula>#REF! = "obiectiv"</formula>
    </cfRule>
  </conditionalFormatting>
  <conditionalFormatting sqref="D433">
    <cfRule type="expression" dxfId="475" priority="463">
      <formula>#REF! = "produs"</formula>
    </cfRule>
    <cfRule type="expression" dxfId="474" priority="464">
      <formula>#REF! = "obiectiv"</formula>
    </cfRule>
  </conditionalFormatting>
  <conditionalFormatting sqref="C430">
    <cfRule type="expression" dxfId="473" priority="459">
      <formula>#REF! = "produs"</formula>
    </cfRule>
    <cfRule type="expression" dxfId="472" priority="460">
      <formula>#REF! = "obiectiv"</formula>
    </cfRule>
  </conditionalFormatting>
  <conditionalFormatting sqref="C432">
    <cfRule type="expression" dxfId="471" priority="455">
      <formula>#REF! = "produs"</formula>
    </cfRule>
    <cfRule type="expression" dxfId="470" priority="456">
      <formula>#REF! = "obiectiv"</formula>
    </cfRule>
  </conditionalFormatting>
  <conditionalFormatting sqref="E433">
    <cfRule type="expression" dxfId="469" priority="461">
      <formula>#REF! = "produs"</formula>
    </cfRule>
    <cfRule type="expression" dxfId="468" priority="462">
      <formula>#REF! = "obiectiv"</formula>
    </cfRule>
  </conditionalFormatting>
  <conditionalFormatting sqref="D423:D424">
    <cfRule type="expression" dxfId="467" priority="449">
      <formula>#REF! = "produs"</formula>
    </cfRule>
    <cfRule type="expression" dxfId="466" priority="450">
      <formula>#REF! = "obiectiv"</formula>
    </cfRule>
  </conditionalFormatting>
  <conditionalFormatting sqref="P423 E423">
    <cfRule type="expression" dxfId="465" priority="451">
      <formula>#REF! = "produs"</formula>
    </cfRule>
    <cfRule type="expression" dxfId="464" priority="452">
      <formula>#REF! = "obiectiv"</formula>
    </cfRule>
  </conditionalFormatting>
  <conditionalFormatting sqref="D432">
    <cfRule type="expression" dxfId="463" priority="457">
      <formula>#REF! = "produs"</formula>
    </cfRule>
    <cfRule type="expression" dxfId="462" priority="458">
      <formula>#REF! = "obiectiv"</formula>
    </cfRule>
  </conditionalFormatting>
  <conditionalFormatting sqref="C433:C434">
    <cfRule type="expression" dxfId="461" priority="453">
      <formula>#REF! = "produs"</formula>
    </cfRule>
    <cfRule type="expression" dxfId="460" priority="454">
      <formula>#REF! = "obiectiv"</formula>
    </cfRule>
  </conditionalFormatting>
  <conditionalFormatting sqref="P425 E425">
    <cfRule type="expression" dxfId="459" priority="447">
      <formula>#REF! = "produs"</formula>
    </cfRule>
    <cfRule type="expression" dxfId="458" priority="448">
      <formula>#REF! = "obiectiv"</formula>
    </cfRule>
  </conditionalFormatting>
  <conditionalFormatting sqref="D425:D426">
    <cfRule type="expression" dxfId="457" priority="445">
      <formula>#REF! = "produs"</formula>
    </cfRule>
    <cfRule type="expression" dxfId="456" priority="446">
      <formula>#REF! = "obiectiv"</formula>
    </cfRule>
  </conditionalFormatting>
  <conditionalFormatting sqref="P427">
    <cfRule type="expression" dxfId="455" priority="443">
      <formula>#REF! = "produs"</formula>
    </cfRule>
    <cfRule type="expression" dxfId="454" priority="444">
      <formula>#REF! = "obiectiv"</formula>
    </cfRule>
  </conditionalFormatting>
  <conditionalFormatting sqref="P430">
    <cfRule type="expression" dxfId="453" priority="439">
      <formula>#REF! = "produs"</formula>
    </cfRule>
    <cfRule type="expression" dxfId="452" priority="440">
      <formula>#REF! = "obiectiv"</formula>
    </cfRule>
  </conditionalFormatting>
  <conditionalFormatting sqref="P429">
    <cfRule type="expression" dxfId="451" priority="437">
      <formula>#REF! = "produs"</formula>
    </cfRule>
    <cfRule type="expression" dxfId="450" priority="438">
      <formula>#REF! = "obiectiv"</formula>
    </cfRule>
  </conditionalFormatting>
  <conditionalFormatting sqref="P432">
    <cfRule type="expression" dxfId="449" priority="435">
      <formula>#REF! = "produs"</formula>
    </cfRule>
    <cfRule type="expression" dxfId="448" priority="436">
      <formula>#REF! = "obiectiv"</formula>
    </cfRule>
  </conditionalFormatting>
  <conditionalFormatting sqref="P433">
    <cfRule type="expression" dxfId="447" priority="433">
      <formula>#REF! = "produs"</formula>
    </cfRule>
    <cfRule type="expression" dxfId="446" priority="434">
      <formula>#REF! = "obiectiv"</formula>
    </cfRule>
  </conditionalFormatting>
  <conditionalFormatting sqref="D434">
    <cfRule type="expression" dxfId="445" priority="431">
      <formula>#REF! = "produs"</formula>
    </cfRule>
    <cfRule type="expression" dxfId="444" priority="432">
      <formula>#REF! = "obiectiv"</formula>
    </cfRule>
  </conditionalFormatting>
  <conditionalFormatting sqref="E434">
    <cfRule type="expression" dxfId="443" priority="429">
      <formula>#REF! = "produs"</formula>
    </cfRule>
    <cfRule type="expression" dxfId="442" priority="430">
      <formula>#REF! = "obiectiv"</formula>
    </cfRule>
  </conditionalFormatting>
  <conditionalFormatting sqref="P434">
    <cfRule type="expression" dxfId="441" priority="427">
      <formula>#REF! = "produs"</formula>
    </cfRule>
    <cfRule type="expression" dxfId="440" priority="428">
      <formula>#REF! = "obiectiv"</formula>
    </cfRule>
  </conditionalFormatting>
  <conditionalFormatting sqref="P448">
    <cfRule type="expression" dxfId="439" priority="389">
      <formula>#REF! = "produs"</formula>
    </cfRule>
    <cfRule type="expression" dxfId="438" priority="390">
      <formula>#REF! = "obiectiv"</formula>
    </cfRule>
  </conditionalFormatting>
  <conditionalFormatting sqref="D452">
    <cfRule type="expression" dxfId="437" priority="425">
      <formula>#REF! = "produs"</formula>
    </cfRule>
    <cfRule type="expression" dxfId="436" priority="426">
      <formula>#REF! = "obiectiv"</formula>
    </cfRule>
  </conditionalFormatting>
  <conditionalFormatting sqref="C458">
    <cfRule type="expression" dxfId="435" priority="419">
      <formula>#REF! = "produs"</formula>
    </cfRule>
    <cfRule type="expression" dxfId="434" priority="420">
      <formula>#REF! = "obiectiv"</formula>
    </cfRule>
  </conditionalFormatting>
  <conditionalFormatting sqref="P456 E452">
    <cfRule type="expression" dxfId="433" priority="423">
      <formula>#REF! = "produs"</formula>
    </cfRule>
    <cfRule type="expression" dxfId="432" priority="424">
      <formula>#REF! = "obiectiv"</formula>
    </cfRule>
  </conditionalFormatting>
  <conditionalFormatting sqref="C457 P442 B442:B445 E442 P444">
    <cfRule type="expression" dxfId="431" priority="421">
      <formula>#REF! = "produs"</formula>
    </cfRule>
    <cfRule type="expression" dxfId="430" priority="422">
      <formula>#REF! = "obiectiv"</formula>
    </cfRule>
  </conditionalFormatting>
  <conditionalFormatting sqref="D453:D454 E453">
    <cfRule type="expression" dxfId="429" priority="407">
      <formula>#REF! = "produs"</formula>
    </cfRule>
    <cfRule type="expression" dxfId="428" priority="408">
      <formula>#REF! = "obiectiv"</formula>
    </cfRule>
  </conditionalFormatting>
  <conditionalFormatting sqref="C456">
    <cfRule type="expression" dxfId="427" priority="417">
      <formula>#REF! = "produs"</formula>
    </cfRule>
    <cfRule type="expression" dxfId="426" priority="418">
      <formula>#REF! = "obiectiv"</formula>
    </cfRule>
  </conditionalFormatting>
  <conditionalFormatting sqref="D442:D443">
    <cfRule type="expression" dxfId="425" priority="415">
      <formula>#REF! = "produs"</formula>
    </cfRule>
    <cfRule type="expression" dxfId="424" priority="416">
      <formula>#REF! = "obiectiv"</formula>
    </cfRule>
  </conditionalFormatting>
  <conditionalFormatting sqref="P452">
    <cfRule type="expression" dxfId="423" priority="403">
      <formula>#REF! = "produs"</formula>
    </cfRule>
    <cfRule type="expression" dxfId="422" priority="404">
      <formula>#REF! = "obiectiv"</formula>
    </cfRule>
  </conditionalFormatting>
  <conditionalFormatting sqref="D444:D445">
    <cfRule type="expression" dxfId="421" priority="413">
      <formula>#REF! = "produs"</formula>
    </cfRule>
    <cfRule type="expression" dxfId="420" priority="414">
      <formula>#REF! = "obiectiv"</formula>
    </cfRule>
  </conditionalFormatting>
  <conditionalFormatting sqref="D448">
    <cfRule type="expression" dxfId="419" priority="387">
      <formula>#REF! = "produs"</formula>
    </cfRule>
    <cfRule type="expression" dxfId="418" priority="388">
      <formula>#REF! = "obiectiv"</formula>
    </cfRule>
  </conditionalFormatting>
  <conditionalFormatting sqref="D449:D450">
    <cfRule type="expression" dxfId="417" priority="377">
      <formula>#REF! = "produs"</formula>
    </cfRule>
    <cfRule type="expression" dxfId="416" priority="378">
      <formula>#REF! = "obiectiv"</formula>
    </cfRule>
  </conditionalFormatting>
  <conditionalFormatting sqref="C452">
    <cfRule type="expression" dxfId="415" priority="393">
      <formula>#REF! = "produs"</formula>
    </cfRule>
    <cfRule type="expression" dxfId="414" priority="394">
      <formula>#REF! = "obiectiv"</formula>
    </cfRule>
  </conditionalFormatting>
  <conditionalFormatting sqref="E451">
    <cfRule type="expression" dxfId="413" priority="409">
      <formula>#REF! = "produs"</formula>
    </cfRule>
    <cfRule type="expression" dxfId="412" priority="410">
      <formula>#REF! = "obiectiv"</formula>
    </cfRule>
  </conditionalFormatting>
  <conditionalFormatting sqref="D455">
    <cfRule type="expression" dxfId="411" priority="411">
      <formula>#REF! = "produs"</formula>
    </cfRule>
    <cfRule type="expression" dxfId="410" priority="412">
      <formula>#REF! = "obiectiv"</formula>
    </cfRule>
  </conditionalFormatting>
  <conditionalFormatting sqref="P455">
    <cfRule type="expression" dxfId="409" priority="401">
      <formula>#REF! = "produs"</formula>
    </cfRule>
    <cfRule type="expression" dxfId="408" priority="402">
      <formula>#REF! = "obiectiv"</formula>
    </cfRule>
  </conditionalFormatting>
  <conditionalFormatting sqref="D451">
    <cfRule type="expression" dxfId="407" priority="375">
      <formula>#REF! = "produs"</formula>
    </cfRule>
    <cfRule type="expression" dxfId="406" priority="376">
      <formula>#REF! = "obiectiv"</formula>
    </cfRule>
  </conditionalFormatting>
  <conditionalFormatting sqref="P449">
    <cfRule type="expression" dxfId="405" priority="379">
      <formula>#REF! = "produs"</formula>
    </cfRule>
    <cfRule type="expression" dxfId="404" priority="380">
      <formula>#REF! = "obiectiv"</formula>
    </cfRule>
  </conditionalFormatting>
  <conditionalFormatting sqref="P453">
    <cfRule type="expression" dxfId="403" priority="405">
      <formula>#REF! = "produs"</formula>
    </cfRule>
    <cfRule type="expression" dxfId="402" priority="406">
      <formula>#REF! = "obiectiv"</formula>
    </cfRule>
  </conditionalFormatting>
  <conditionalFormatting sqref="C477">
    <cfRule type="expression" dxfId="401" priority="365">
      <formula>#REF! = "produs"</formula>
    </cfRule>
    <cfRule type="expression" dxfId="400" priority="366">
      <formula>#REF! = "obiectiv"</formula>
    </cfRule>
  </conditionalFormatting>
  <conditionalFormatting sqref="C449">
    <cfRule type="expression" dxfId="399" priority="395">
      <formula>#REF! = "produs"</formula>
    </cfRule>
    <cfRule type="expression" dxfId="398" priority="396">
      <formula>#REF! = "obiectiv"</formula>
    </cfRule>
  </conditionalFormatting>
  <conditionalFormatting sqref="C446">
    <cfRule type="expression" dxfId="397" priority="385">
      <formula>#REF! = "produs"</formula>
    </cfRule>
    <cfRule type="expression" dxfId="396" priority="386">
      <formula>#REF! = "obiectiv"</formula>
    </cfRule>
  </conditionalFormatting>
  <conditionalFormatting sqref="D446:D447">
    <cfRule type="expression" dxfId="395" priority="381">
      <formula>#REF! = "produs"</formula>
    </cfRule>
    <cfRule type="expression" dxfId="394" priority="382">
      <formula>#REF! = "obiectiv"</formula>
    </cfRule>
  </conditionalFormatting>
  <conditionalFormatting sqref="C455">
    <cfRule type="expression" dxfId="393" priority="399">
      <formula>#REF! = "produs"</formula>
    </cfRule>
    <cfRule type="expression" dxfId="392" priority="400">
      <formula>#REF! = "obiectiv"</formula>
    </cfRule>
  </conditionalFormatting>
  <conditionalFormatting sqref="C442 C444 C453">
    <cfRule type="expression" dxfId="391" priority="397">
      <formula>#REF! = "produs"</formula>
    </cfRule>
    <cfRule type="expression" dxfId="390" priority="398">
      <formula>#REF! = "obiectiv"</formula>
    </cfRule>
  </conditionalFormatting>
  <conditionalFormatting sqref="C448">
    <cfRule type="expression" dxfId="389" priority="391">
      <formula>#REF! = "produs"</formula>
    </cfRule>
    <cfRule type="expression" dxfId="388" priority="392">
      <formula>#REF! = "obiectiv"</formula>
    </cfRule>
  </conditionalFormatting>
  <conditionalFormatting sqref="P446">
    <cfRule type="expression" dxfId="387" priority="383">
      <formula>#REF! = "produs"</formula>
    </cfRule>
    <cfRule type="expression" dxfId="386" priority="384">
      <formula>#REF! = "obiectiv"</formula>
    </cfRule>
  </conditionalFormatting>
  <conditionalFormatting sqref="C476 P463 B463 E463 P465">
    <cfRule type="expression" dxfId="385" priority="367">
      <formula>#REF! = "produs"</formula>
    </cfRule>
    <cfRule type="expression" dxfId="384" priority="368">
      <formula>#REF! = "obiectiv"</formula>
    </cfRule>
  </conditionalFormatting>
  <conditionalFormatting sqref="P475">
    <cfRule type="expression" dxfId="383" priority="369">
      <formula>#REF! = "produs"</formula>
    </cfRule>
    <cfRule type="expression" dxfId="382" priority="370">
      <formula>#REF! = "obiectiv"</formula>
    </cfRule>
  </conditionalFormatting>
  <conditionalFormatting sqref="C451">
    <cfRule type="expression" dxfId="381" priority="373">
      <formula>#REF! = "produs"</formula>
    </cfRule>
    <cfRule type="expression" dxfId="380" priority="374">
      <formula>#REF! = "obiectiv"</formula>
    </cfRule>
  </conditionalFormatting>
  <conditionalFormatting sqref="P451">
    <cfRule type="expression" dxfId="379" priority="371">
      <formula>#REF! = "produs"</formula>
    </cfRule>
    <cfRule type="expression" dxfId="378" priority="372">
      <formula>#REF! = "obiectiv"</formula>
    </cfRule>
  </conditionalFormatting>
  <conditionalFormatting sqref="D465:D466">
    <cfRule type="expression" dxfId="377" priority="359">
      <formula>#REF! = "produs"</formula>
    </cfRule>
    <cfRule type="expression" dxfId="376" priority="360">
      <formula>#REF! = "obiectiv"</formula>
    </cfRule>
  </conditionalFormatting>
  <conditionalFormatting sqref="C475">
    <cfRule type="expression" dxfId="375" priority="363">
      <formula>#REF! = "produs"</formula>
    </cfRule>
    <cfRule type="expression" dxfId="374" priority="364">
      <formula>#REF! = "obiectiv"</formula>
    </cfRule>
  </conditionalFormatting>
  <conditionalFormatting sqref="D463:D464">
    <cfRule type="expression" dxfId="373" priority="361">
      <formula>#REF! = "produs"</formula>
    </cfRule>
    <cfRule type="expression" dxfId="372" priority="362">
      <formula>#REF! = "obiectiv"</formula>
    </cfRule>
  </conditionalFormatting>
  <conditionalFormatting sqref="D468">
    <cfRule type="expression" dxfId="371" priority="355">
      <formula>#REF! = "produs"</formula>
    </cfRule>
    <cfRule type="expression" dxfId="370" priority="356">
      <formula>#REF! = "obiectiv"</formula>
    </cfRule>
  </conditionalFormatting>
  <conditionalFormatting sqref="D467">
    <cfRule type="expression" dxfId="369" priority="351">
      <formula>#REF! = "produs"</formula>
    </cfRule>
    <cfRule type="expression" dxfId="368" priority="352">
      <formula>#REF! = "obiectiv"</formula>
    </cfRule>
  </conditionalFormatting>
  <conditionalFormatting sqref="P468">
    <cfRule type="expression" dxfId="367" priority="357">
      <formula>#REF! = "produs"</formula>
    </cfRule>
    <cfRule type="expression" dxfId="366" priority="358">
      <formula>#REF! = "obiectiv"</formula>
    </cfRule>
  </conditionalFormatting>
  <conditionalFormatting sqref="P467">
    <cfRule type="expression" dxfId="365" priority="353">
      <formula>#REF! = "produs"</formula>
    </cfRule>
    <cfRule type="expression" dxfId="364" priority="354">
      <formula>#REF! = "obiectiv"</formula>
    </cfRule>
  </conditionalFormatting>
  <conditionalFormatting sqref="P471">
    <cfRule type="expression" dxfId="363" priority="349">
      <formula>#REF! = "produs"</formula>
    </cfRule>
    <cfRule type="expression" dxfId="362" priority="350">
      <formula>#REF! = "obiectiv"</formula>
    </cfRule>
  </conditionalFormatting>
  <conditionalFormatting sqref="C463 C465">
    <cfRule type="expression" dxfId="361" priority="347">
      <formula>#REF! = "produs"</formula>
    </cfRule>
    <cfRule type="expression" dxfId="360" priority="348">
      <formula>#REF! = "obiectiv"</formula>
    </cfRule>
  </conditionalFormatting>
  <conditionalFormatting sqref="C471">
    <cfRule type="expression" dxfId="359" priority="343">
      <formula>#REF! = "produs"</formula>
    </cfRule>
    <cfRule type="expression" dxfId="358" priority="344">
      <formula>#REF! = "obiectiv"</formula>
    </cfRule>
  </conditionalFormatting>
  <conditionalFormatting sqref="C467">
    <cfRule type="expression" dxfId="357" priority="345">
      <formula>#REF! = "produs"</formula>
    </cfRule>
    <cfRule type="expression" dxfId="356" priority="346">
      <formula>#REF! = "obiectiv"</formula>
    </cfRule>
  </conditionalFormatting>
  <conditionalFormatting sqref="C468">
    <cfRule type="expression" dxfId="355" priority="341">
      <formula>#REF! = "produs"</formula>
    </cfRule>
    <cfRule type="expression" dxfId="354" priority="342">
      <formula>#REF! = "obiectiv"</formula>
    </cfRule>
  </conditionalFormatting>
  <conditionalFormatting sqref="P469 E469">
    <cfRule type="expression" dxfId="353" priority="339">
      <formula>#REF! = "produs"</formula>
    </cfRule>
    <cfRule type="expression" dxfId="352" priority="340">
      <formula>#REF! = "obiectiv"</formula>
    </cfRule>
  </conditionalFormatting>
  <conditionalFormatting sqref="D469:D470">
    <cfRule type="expression" dxfId="351" priority="337">
      <formula>#REF! = "produs"</formula>
    </cfRule>
    <cfRule type="expression" dxfId="350" priority="338">
      <formula>#REF! = "obiectiv"</formula>
    </cfRule>
  </conditionalFormatting>
  <conditionalFormatting sqref="C469">
    <cfRule type="expression" dxfId="349" priority="335">
      <formula>#REF! = "produs"</formula>
    </cfRule>
    <cfRule type="expression" dxfId="348" priority="336">
      <formula>#REF! = "obiectiv"</formula>
    </cfRule>
  </conditionalFormatting>
  <conditionalFormatting sqref="P472">
    <cfRule type="expression" dxfId="347" priority="333">
      <formula>#REF! = "produs"</formula>
    </cfRule>
    <cfRule type="expression" dxfId="346" priority="334">
      <formula>#REF! = "obiectiv"</formula>
    </cfRule>
  </conditionalFormatting>
  <conditionalFormatting sqref="D472:D473">
    <cfRule type="expression" dxfId="345" priority="331">
      <formula>#REF! = "produs"</formula>
    </cfRule>
    <cfRule type="expression" dxfId="344" priority="332">
      <formula>#REF! = "obiectiv"</formula>
    </cfRule>
  </conditionalFormatting>
  <conditionalFormatting sqref="C472">
    <cfRule type="expression" dxfId="343" priority="329">
      <formula>#REF! = "produs"</formula>
    </cfRule>
    <cfRule type="expression" dxfId="342" priority="330">
      <formula>#REF! = "obiectiv"</formula>
    </cfRule>
  </conditionalFormatting>
  <conditionalFormatting sqref="C474">
    <cfRule type="expression" dxfId="341" priority="325">
      <formula>#REF! = "produs"</formula>
    </cfRule>
    <cfRule type="expression" dxfId="340" priority="326">
      <formula>#REF! = "obiectiv"</formula>
    </cfRule>
  </conditionalFormatting>
  <conditionalFormatting sqref="D474">
    <cfRule type="expression" dxfId="339" priority="327">
      <formula>#REF! = "produs"</formula>
    </cfRule>
    <cfRule type="expression" dxfId="338" priority="328">
      <formula>#REF! = "obiectiv"</formula>
    </cfRule>
  </conditionalFormatting>
  <conditionalFormatting sqref="P474">
    <cfRule type="expression" dxfId="337" priority="323">
      <formula>#REF! = "produs"</formula>
    </cfRule>
    <cfRule type="expression" dxfId="336" priority="324">
      <formula>#REF! = "obiectiv"</formula>
    </cfRule>
  </conditionalFormatting>
  <conditionalFormatting sqref="C489">
    <cfRule type="expression" dxfId="335" priority="317">
      <formula>#REF! = "produs"</formula>
    </cfRule>
    <cfRule type="expression" dxfId="334" priority="318">
      <formula>#REF! = "obiectiv"</formula>
    </cfRule>
  </conditionalFormatting>
  <conditionalFormatting sqref="C488 P482 B482 E482 P484">
    <cfRule type="expression" dxfId="333" priority="319">
      <formula>#REF! = "produs"</formula>
    </cfRule>
    <cfRule type="expression" dxfId="332" priority="320">
      <formula>#REF! = "obiectiv"</formula>
    </cfRule>
  </conditionalFormatting>
  <conditionalFormatting sqref="P487">
    <cfRule type="expression" dxfId="331" priority="321">
      <formula>#REF! = "produs"</formula>
    </cfRule>
    <cfRule type="expression" dxfId="330" priority="322">
      <formula>#REF! = "obiectiv"</formula>
    </cfRule>
  </conditionalFormatting>
  <conditionalFormatting sqref="D484:D486">
    <cfRule type="expression" dxfId="329" priority="311">
      <formula>#REF! = "produs"</formula>
    </cfRule>
    <cfRule type="expression" dxfId="328" priority="312">
      <formula>#REF! = "obiectiv"</formula>
    </cfRule>
  </conditionalFormatting>
  <conditionalFormatting sqref="C487">
    <cfRule type="expression" dxfId="327" priority="315">
      <formula>#REF! = "produs"</formula>
    </cfRule>
    <cfRule type="expression" dxfId="326" priority="316">
      <formula>#REF! = "obiectiv"</formula>
    </cfRule>
  </conditionalFormatting>
  <conditionalFormatting sqref="D482:D483">
    <cfRule type="expression" dxfId="325" priority="313">
      <formula>#REF! = "produs"</formula>
    </cfRule>
    <cfRule type="expression" dxfId="324" priority="314">
      <formula>#REF! = "obiectiv"</formula>
    </cfRule>
  </conditionalFormatting>
  <conditionalFormatting sqref="P495">
    <cfRule type="expression" dxfId="323" priority="309">
      <formula>#REF! = "produs"</formula>
    </cfRule>
    <cfRule type="expression" dxfId="322" priority="310">
      <formula>#REF! = "obiectiv"</formula>
    </cfRule>
  </conditionalFormatting>
  <conditionalFormatting sqref="C510">
    <cfRule type="expression" dxfId="321" priority="291">
      <formula>#REF! = "produs"</formula>
    </cfRule>
    <cfRule type="expression" dxfId="320" priority="292">
      <formula>#REF! = "obiectiv"</formula>
    </cfRule>
  </conditionalFormatting>
  <conditionalFormatting sqref="C496 P492 B492 E492">
    <cfRule type="expression" dxfId="319" priority="307">
      <formula>#REF! = "produs"</formula>
    </cfRule>
    <cfRule type="expression" dxfId="318" priority="308">
      <formula>#REF! = "obiectiv"</formula>
    </cfRule>
  </conditionalFormatting>
  <conditionalFormatting sqref="C495">
    <cfRule type="expression" dxfId="317" priority="303">
      <formula>#REF! = "produs"</formula>
    </cfRule>
    <cfRule type="expression" dxfId="316" priority="304">
      <formula>#REF! = "obiectiv"</formula>
    </cfRule>
  </conditionalFormatting>
  <conditionalFormatting sqref="C497">
    <cfRule type="expression" dxfId="315" priority="305">
      <formula>#REF! = "produs"</formula>
    </cfRule>
    <cfRule type="expression" dxfId="314" priority="306">
      <formula>#REF! = "obiectiv"</formula>
    </cfRule>
  </conditionalFormatting>
  <conditionalFormatting sqref="D492:D493">
    <cfRule type="expression" dxfId="313" priority="301">
      <formula>#REF! = "produs"</formula>
    </cfRule>
    <cfRule type="expression" dxfId="312" priority="302">
      <formula>#REF! = "obiectiv"</formula>
    </cfRule>
  </conditionalFormatting>
  <conditionalFormatting sqref="C494">
    <cfRule type="expression" dxfId="311" priority="299">
      <formula>#REF! = "produs"</formula>
    </cfRule>
    <cfRule type="expression" dxfId="310" priority="300">
      <formula>#REF! = "obiectiv"</formula>
    </cfRule>
  </conditionalFormatting>
  <conditionalFormatting sqref="D502:D503">
    <cfRule type="expression" dxfId="309" priority="283">
      <formula>#REF! = "produs"</formula>
    </cfRule>
    <cfRule type="expression" dxfId="308" priority="284">
      <formula>#REF! = "obiectiv"</formula>
    </cfRule>
  </conditionalFormatting>
  <conditionalFormatting sqref="D500:D501">
    <cfRule type="expression" dxfId="307" priority="287">
      <formula>#REF! = "produs"</formula>
    </cfRule>
    <cfRule type="expression" dxfId="306" priority="288">
      <formula>#REF! = "obiectiv"</formula>
    </cfRule>
  </conditionalFormatting>
  <conditionalFormatting sqref="C506">
    <cfRule type="expression" dxfId="305" priority="273">
      <formula>#REF! = "produs"</formula>
    </cfRule>
    <cfRule type="expression" dxfId="304" priority="274">
      <formula>#REF! = "obiectiv"</formula>
    </cfRule>
  </conditionalFormatting>
  <conditionalFormatting sqref="D508">
    <cfRule type="expression" dxfId="303" priority="269">
      <formula>#REF! = "produs"</formula>
    </cfRule>
    <cfRule type="expression" dxfId="302" priority="270">
      <formula>#REF! = "obiectiv"</formula>
    </cfRule>
  </conditionalFormatting>
  <conditionalFormatting sqref="P509">
    <cfRule type="expression" dxfId="301" priority="261">
      <formula>#REF! = "produs"</formula>
    </cfRule>
    <cfRule type="expression" dxfId="300" priority="262">
      <formula>#REF! = "obiectiv"</formula>
    </cfRule>
  </conditionalFormatting>
  <conditionalFormatting sqref="C515:C516">
    <cfRule type="expression" dxfId="299" priority="249">
      <formula>#REF! = "produs"</formula>
    </cfRule>
    <cfRule type="expression" dxfId="298" priority="250">
      <formula>#REF! = "obiectiv"</formula>
    </cfRule>
  </conditionalFormatting>
  <conditionalFormatting sqref="C511 P500 B500 E500">
    <cfRule type="expression" dxfId="297" priority="295">
      <formula>#REF! = "produs"</formula>
    </cfRule>
    <cfRule type="expression" dxfId="296" priority="296">
      <formula>#REF! = "obiectiv"</formula>
    </cfRule>
  </conditionalFormatting>
  <conditionalFormatting sqref="C512">
    <cfRule type="expression" dxfId="295" priority="293">
      <formula>#REF! = "produs"</formula>
    </cfRule>
    <cfRule type="expression" dxfId="294" priority="294">
      <formula>#REF! = "obiectiv"</formula>
    </cfRule>
  </conditionalFormatting>
  <conditionalFormatting sqref="C502">
    <cfRule type="expression" dxfId="293" priority="285">
      <formula>#REF! = "produs"</formula>
    </cfRule>
    <cfRule type="expression" dxfId="292" priority="286">
      <formula>#REF! = "obiectiv"</formula>
    </cfRule>
  </conditionalFormatting>
  <conditionalFormatting sqref="P510">
    <cfRule type="expression" dxfId="291" priority="297">
      <formula>#REF! = "produs"</formula>
    </cfRule>
    <cfRule type="expression" dxfId="290" priority="298">
      <formula>#REF! = "obiectiv"</formula>
    </cfRule>
  </conditionalFormatting>
  <conditionalFormatting sqref="P502">
    <cfRule type="expression" dxfId="289" priority="281">
      <formula>#REF! = "produs"</formula>
    </cfRule>
    <cfRule type="expression" dxfId="288" priority="282">
      <formula>#REF! = "obiectiv"</formula>
    </cfRule>
  </conditionalFormatting>
  <conditionalFormatting sqref="C504">
    <cfRule type="expression" dxfId="287" priority="279">
      <formula>#REF! = "produs"</formula>
    </cfRule>
    <cfRule type="expression" dxfId="286" priority="280">
      <formula>#REF! = "obiectiv"</formula>
    </cfRule>
  </conditionalFormatting>
  <conditionalFormatting sqref="C500">
    <cfRule type="expression" dxfId="285" priority="289">
      <formula>#REF! = "produs"</formula>
    </cfRule>
    <cfRule type="expression" dxfId="284" priority="290">
      <formula>#REF! = "obiectiv"</formula>
    </cfRule>
  </conditionalFormatting>
  <conditionalFormatting sqref="D515:D516">
    <cfRule type="expression" dxfId="283" priority="259">
      <formula>#REF! = "produs"</formula>
    </cfRule>
    <cfRule type="expression" dxfId="282" priority="260">
      <formula>#REF! = "obiectiv"</formula>
    </cfRule>
  </conditionalFormatting>
  <conditionalFormatting sqref="P508">
    <cfRule type="expression" dxfId="281" priority="271">
      <formula>#REF! = "produs"</formula>
    </cfRule>
    <cfRule type="expression" dxfId="280" priority="272">
      <formula>#REF! = "obiectiv"</formula>
    </cfRule>
  </conditionalFormatting>
  <conditionalFormatting sqref="P516:P517">
    <cfRule type="expression" dxfId="279" priority="257">
      <formula>#REF! = "produs"</formula>
    </cfRule>
    <cfRule type="expression" dxfId="278" priority="258">
      <formula>#REF! = "obiectiv"</formula>
    </cfRule>
  </conditionalFormatting>
  <conditionalFormatting sqref="D504:D505">
    <cfRule type="expression" dxfId="277" priority="277">
      <formula>#REF! = "produs"</formula>
    </cfRule>
    <cfRule type="expression" dxfId="276" priority="278">
      <formula>#REF! = "obiectiv"</formula>
    </cfRule>
  </conditionalFormatting>
  <conditionalFormatting sqref="P504">
    <cfRule type="expression" dxfId="275" priority="275">
      <formula>#REF! = "produs"</formula>
    </cfRule>
    <cfRule type="expression" dxfId="274" priority="276">
      <formula>#REF! = "obiectiv"</formula>
    </cfRule>
  </conditionalFormatting>
  <conditionalFormatting sqref="C507">
    <cfRule type="expression" dxfId="273" priority="267">
      <formula>#REF! = "produs"</formula>
    </cfRule>
    <cfRule type="expression" dxfId="272" priority="268">
      <formula>#REF! = "obiectiv"</formula>
    </cfRule>
  </conditionalFormatting>
  <conditionalFormatting sqref="C519">
    <cfRule type="expression" dxfId="271" priority="253">
      <formula>#REF! = "produs"</formula>
    </cfRule>
    <cfRule type="expression" dxfId="270" priority="254">
      <formula>#REF! = "obiectiv"</formula>
    </cfRule>
  </conditionalFormatting>
  <conditionalFormatting sqref="C508">
    <cfRule type="expression" dxfId="269" priority="265">
      <formula>#REF! = "produs"</formula>
    </cfRule>
    <cfRule type="expression" dxfId="268" priority="266">
      <formula>#REF! = "obiectiv"</formula>
    </cfRule>
  </conditionalFormatting>
  <conditionalFormatting sqref="C509">
    <cfRule type="expression" dxfId="267" priority="263">
      <formula>#REF! = "produs"</formula>
    </cfRule>
    <cfRule type="expression" dxfId="266" priority="264">
      <formula>#REF! = "obiectiv"</formula>
    </cfRule>
  </conditionalFormatting>
  <conditionalFormatting sqref="C529">
    <cfRule type="expression" dxfId="265" priority="243">
      <formula>#REF! = "produs"</formula>
    </cfRule>
    <cfRule type="expression" dxfId="264" priority="244">
      <formula>#REF! = "obiectiv"</formula>
    </cfRule>
  </conditionalFormatting>
  <conditionalFormatting sqref="C518">
    <cfRule type="expression" dxfId="263" priority="255">
      <formula>#REF! = "produs"</formula>
    </cfRule>
    <cfRule type="expression" dxfId="262" priority="256">
      <formula>#REF! = "obiectiv"</formula>
    </cfRule>
  </conditionalFormatting>
  <conditionalFormatting sqref="C517">
    <cfRule type="expression" dxfId="261" priority="251">
      <formula>#REF! = "produs"</formula>
    </cfRule>
    <cfRule type="expression" dxfId="260" priority="252">
      <formula>#REF! = "obiectiv"</formula>
    </cfRule>
  </conditionalFormatting>
  <conditionalFormatting sqref="C528">
    <cfRule type="expression" dxfId="259" priority="245">
      <formula>#REF! = "produs"</formula>
    </cfRule>
    <cfRule type="expression" dxfId="258" priority="246">
      <formula>#REF! = "obiectiv"</formula>
    </cfRule>
  </conditionalFormatting>
  <conditionalFormatting sqref="C527">
    <cfRule type="expression" dxfId="257" priority="241">
      <formula>#REF! = "produs"</formula>
    </cfRule>
    <cfRule type="expression" dxfId="256" priority="242">
      <formula>#REF! = "obiectiv"</formula>
    </cfRule>
  </conditionalFormatting>
  <conditionalFormatting sqref="P527">
    <cfRule type="expression" dxfId="255" priority="247">
      <formula>#REF! = "produs"</formula>
    </cfRule>
    <cfRule type="expression" dxfId="254" priority="248">
      <formula>#REF! = "obiectiv"</formula>
    </cfRule>
  </conditionalFormatting>
  <conditionalFormatting sqref="C548">
    <cfRule type="expression" dxfId="253" priority="237">
      <formula>#REF! = "produs"</formula>
    </cfRule>
    <cfRule type="expression" dxfId="252" priority="238">
      <formula>#REF! = "obiectiv"</formula>
    </cfRule>
  </conditionalFormatting>
  <conditionalFormatting sqref="C547">
    <cfRule type="expression" dxfId="251" priority="239">
      <formula>#REF! = "produs"</formula>
    </cfRule>
    <cfRule type="expression" dxfId="250" priority="240">
      <formula>#REF! = "obiectiv"</formula>
    </cfRule>
  </conditionalFormatting>
  <conditionalFormatting sqref="D585:D586">
    <cfRule type="expression" dxfId="249" priority="197">
      <formula>#REF! = "produs"</formula>
    </cfRule>
    <cfRule type="expression" dxfId="248" priority="198">
      <formula>#REF! = "obiectiv"</formula>
    </cfRule>
  </conditionalFormatting>
  <conditionalFormatting sqref="C575">
    <cfRule type="expression" dxfId="247" priority="235">
      <formula>#REF! = "produs"</formula>
    </cfRule>
    <cfRule type="expression" dxfId="246" priority="236">
      <formula>#REF! = "obiectiv"</formula>
    </cfRule>
  </conditionalFormatting>
  <conditionalFormatting sqref="C554">
    <cfRule type="expression" dxfId="245" priority="233">
      <formula>#REF! = "produs"</formula>
    </cfRule>
    <cfRule type="expression" dxfId="244" priority="234">
      <formula>#REF! = "obiectiv"</formula>
    </cfRule>
  </conditionalFormatting>
  <conditionalFormatting sqref="C558">
    <cfRule type="expression" dxfId="243" priority="231">
      <formula>#REF! = "produs"</formula>
    </cfRule>
    <cfRule type="expression" dxfId="242" priority="232">
      <formula>#REF! = "obiectiv"</formula>
    </cfRule>
  </conditionalFormatting>
  <conditionalFormatting sqref="C561">
    <cfRule type="expression" dxfId="241" priority="229">
      <formula>#REF! = "produs"</formula>
    </cfRule>
    <cfRule type="expression" dxfId="240" priority="230">
      <formula>#REF! = "obiectiv"</formula>
    </cfRule>
  </conditionalFormatting>
  <conditionalFormatting sqref="C564">
    <cfRule type="expression" dxfId="239" priority="227">
      <formula>#REF! = "produs"</formula>
    </cfRule>
    <cfRule type="expression" dxfId="238" priority="228">
      <formula>#REF! = "obiectiv"</formula>
    </cfRule>
  </conditionalFormatting>
  <conditionalFormatting sqref="C568">
    <cfRule type="expression" dxfId="237" priority="225">
      <formula>#REF! = "produs"</formula>
    </cfRule>
    <cfRule type="expression" dxfId="236" priority="226">
      <formula>#REF! = "obiectiv"</formula>
    </cfRule>
  </conditionalFormatting>
  <conditionalFormatting sqref="C570">
    <cfRule type="expression" dxfId="235" priority="223">
      <formula>#REF! = "produs"</formula>
    </cfRule>
    <cfRule type="expression" dxfId="234" priority="224">
      <formula>#REF! = "obiectiv"</formula>
    </cfRule>
  </conditionalFormatting>
  <conditionalFormatting sqref="C573">
    <cfRule type="expression" dxfId="233" priority="221">
      <formula>#REF! = "produs"</formula>
    </cfRule>
    <cfRule type="expression" dxfId="232" priority="222">
      <formula>#REF! = "obiectiv"</formula>
    </cfRule>
  </conditionalFormatting>
  <conditionalFormatting sqref="C576">
    <cfRule type="expression" dxfId="231" priority="219">
      <formula>#REF! = "produs"</formula>
    </cfRule>
    <cfRule type="expression" dxfId="230" priority="220">
      <formula>#REF! = "obiectiv"</formula>
    </cfRule>
  </conditionalFormatting>
  <conditionalFormatting sqref="C574">
    <cfRule type="expression" dxfId="229" priority="217">
      <formula>#REF! = "produs"</formula>
    </cfRule>
    <cfRule type="expression" dxfId="228" priority="218">
      <formula>#REF! = "obiectiv"</formula>
    </cfRule>
  </conditionalFormatting>
  <conditionalFormatting sqref="C587">
    <cfRule type="expression" dxfId="227" priority="209">
      <formula>#REF! = "produs"</formula>
    </cfRule>
    <cfRule type="expression" dxfId="226" priority="210">
      <formula>#REF! = "obiectiv"</formula>
    </cfRule>
  </conditionalFormatting>
  <conditionalFormatting sqref="C581:D581 D582">
    <cfRule type="expression" dxfId="225" priority="203">
      <formula>#REF! = "produs"</formula>
    </cfRule>
    <cfRule type="expression" dxfId="224" priority="204">
      <formula>#REF! = "obiectiv"</formula>
    </cfRule>
  </conditionalFormatting>
  <conditionalFormatting sqref="C583">
    <cfRule type="expression" dxfId="223" priority="207">
      <formula>#REF! = "produs"</formula>
    </cfRule>
    <cfRule type="expression" dxfId="222" priority="208">
      <formula>#REF! = "obiectiv"</formula>
    </cfRule>
  </conditionalFormatting>
  <conditionalFormatting sqref="C599">
    <cfRule type="expression" dxfId="221" priority="191">
      <formula>#REF! = "produs"</formula>
    </cfRule>
    <cfRule type="expression" dxfId="220" priority="192">
      <formula>#REF! = "obiectiv"</formula>
    </cfRule>
  </conditionalFormatting>
  <conditionalFormatting sqref="C597">
    <cfRule type="expression" dxfId="219" priority="189">
      <formula>#REF! = "produs"</formula>
    </cfRule>
    <cfRule type="expression" dxfId="218" priority="190">
      <formula>#REF! = "obiectiv"</formula>
    </cfRule>
  </conditionalFormatting>
  <conditionalFormatting sqref="C585:C586">
    <cfRule type="expression" dxfId="217" priority="201">
      <formula>#REF! = "produs"</formula>
    </cfRule>
    <cfRule type="expression" dxfId="216" priority="202">
      <formula>#REF! = "obiectiv"</formula>
    </cfRule>
  </conditionalFormatting>
  <conditionalFormatting sqref="C588 P581 B581 E581">
    <cfRule type="expression" dxfId="215" priority="213">
      <formula>#REF! = "produs"</formula>
    </cfRule>
    <cfRule type="expression" dxfId="214" priority="214">
      <formula>#REF! = "obiectiv"</formula>
    </cfRule>
  </conditionalFormatting>
  <conditionalFormatting sqref="C589">
    <cfRule type="expression" dxfId="213" priority="211">
      <formula>#REF! = "produs"</formula>
    </cfRule>
    <cfRule type="expression" dxfId="212" priority="212">
      <formula>#REF! = "obiectiv"</formula>
    </cfRule>
  </conditionalFormatting>
  <conditionalFormatting sqref="D583:D584">
    <cfRule type="expression" dxfId="211" priority="199">
      <formula>#REF! = "produs"</formula>
    </cfRule>
    <cfRule type="expression" dxfId="210" priority="200">
      <formula>#REF! = "obiectiv"</formula>
    </cfRule>
  </conditionalFormatting>
  <conditionalFormatting sqref="P587">
    <cfRule type="expression" dxfId="209" priority="215">
      <formula>#REF! = "produs"</formula>
    </cfRule>
    <cfRule type="expression" dxfId="208" priority="216">
      <formula>#REF! = "obiectiv"</formula>
    </cfRule>
  </conditionalFormatting>
  <conditionalFormatting sqref="P583">
    <cfRule type="expression" dxfId="207" priority="205">
      <formula>#REF! = "produs"</formula>
    </cfRule>
    <cfRule type="expression" dxfId="206" priority="206">
      <formula>#REF! = "obiectiv"</formula>
    </cfRule>
  </conditionalFormatting>
  <conditionalFormatting sqref="P597">
    <cfRule type="expression" dxfId="205" priority="195">
      <formula>#REF! = "produs"</formula>
    </cfRule>
    <cfRule type="expression" dxfId="204" priority="196">
      <formula>#REF! = "obiectiv"</formula>
    </cfRule>
  </conditionalFormatting>
  <conditionalFormatting sqref="D594:D595">
    <cfRule type="expression" dxfId="203" priority="183">
      <formula>#REF! = "produs"</formula>
    </cfRule>
    <cfRule type="expression" dxfId="202" priority="184">
      <formula>#REF! = "obiectiv"</formula>
    </cfRule>
  </conditionalFormatting>
  <conditionalFormatting sqref="C613">
    <cfRule type="expression" dxfId="201" priority="171">
      <formula>#REF! = "produs"</formula>
    </cfRule>
    <cfRule type="expression" dxfId="200" priority="172">
      <formula>#REF! = "obiectiv"</formula>
    </cfRule>
  </conditionalFormatting>
  <conditionalFormatting sqref="P611">
    <cfRule type="expression" dxfId="199" priority="175">
      <formula>#REF! = "produs"</formula>
    </cfRule>
    <cfRule type="expression" dxfId="198" priority="176">
      <formula>#REF! = "obiectiv"</formula>
    </cfRule>
  </conditionalFormatting>
  <conditionalFormatting sqref="C598 P592 B592 E592">
    <cfRule type="expression" dxfId="197" priority="193">
      <formula>#REF! = "produs"</formula>
    </cfRule>
    <cfRule type="expression" dxfId="196" priority="194">
      <formula>#REF! = "obiectiv"</formula>
    </cfRule>
  </conditionalFormatting>
  <conditionalFormatting sqref="P594">
    <cfRule type="expression" dxfId="195" priority="187">
      <formula>#REF! = "produs"</formula>
    </cfRule>
    <cfRule type="expression" dxfId="194" priority="188">
      <formula>#REF! = "obiectiv"</formula>
    </cfRule>
  </conditionalFormatting>
  <conditionalFormatting sqref="D602:D603">
    <cfRule type="expression" dxfId="193" priority="165">
      <formula>#REF! = "produs"</formula>
    </cfRule>
    <cfRule type="expression" dxfId="192" priority="166">
      <formula>#REF! = "obiectiv"</formula>
    </cfRule>
  </conditionalFormatting>
  <conditionalFormatting sqref="C596">
    <cfRule type="expression" dxfId="191" priority="179">
      <formula>#REF! = "produs"</formula>
    </cfRule>
    <cfRule type="expression" dxfId="190" priority="180">
      <formula>#REF! = "obiectiv"</formula>
    </cfRule>
  </conditionalFormatting>
  <conditionalFormatting sqref="C592:D592 D593">
    <cfRule type="expression" dxfId="189" priority="185">
      <formula>#REF! = "produs"</formula>
    </cfRule>
    <cfRule type="expression" dxfId="188" priority="186">
      <formula>#REF! = "obiectiv"</formula>
    </cfRule>
  </conditionalFormatting>
  <conditionalFormatting sqref="C621">
    <cfRule type="expression" dxfId="187" priority="141">
      <formula>#REF! = "produs"</formula>
    </cfRule>
    <cfRule type="expression" dxfId="186" priority="142">
      <formula>#REF! = "obiectiv"</formula>
    </cfRule>
  </conditionalFormatting>
  <conditionalFormatting sqref="D596">
    <cfRule type="expression" dxfId="185" priority="181">
      <formula>#REF! = "produs"</formula>
    </cfRule>
    <cfRule type="expression" dxfId="184" priority="182">
      <formula>#REF! = "obiectiv"</formula>
    </cfRule>
  </conditionalFormatting>
  <conditionalFormatting sqref="C594:C595">
    <cfRule type="expression" dxfId="183" priority="177">
      <formula>#REF! = "produs"</formula>
    </cfRule>
    <cfRule type="expression" dxfId="182" priority="178">
      <formula>#REF! = "obiectiv"</formula>
    </cfRule>
  </conditionalFormatting>
  <conditionalFormatting sqref="C611">
    <cfRule type="expression" dxfId="181" priority="169">
      <formula>#REF! = "produs"</formula>
    </cfRule>
    <cfRule type="expression" dxfId="180" priority="170">
      <formula>#REF! = "obiectiv"</formula>
    </cfRule>
  </conditionalFormatting>
  <conditionalFormatting sqref="P605">
    <cfRule type="expression" dxfId="179" priority="167">
      <formula>#REF! = "produs"</formula>
    </cfRule>
    <cfRule type="expression" dxfId="178" priority="168">
      <formula>#REF! = "obiectiv"</formula>
    </cfRule>
  </conditionalFormatting>
  <conditionalFormatting sqref="C612 P602 B602 E602">
    <cfRule type="expression" dxfId="177" priority="173">
      <formula>#REF! = "produs"</formula>
    </cfRule>
    <cfRule type="expression" dxfId="176" priority="174">
      <formula>#REF! = "obiectiv"</formula>
    </cfRule>
  </conditionalFormatting>
  <conditionalFormatting sqref="C620 P616 B616 E616">
    <cfRule type="expression" dxfId="175" priority="143">
      <formula>#REF! = "produs"</formula>
    </cfRule>
    <cfRule type="expression" dxfId="174" priority="144">
      <formula>#REF! = "obiectiv"</formula>
    </cfRule>
  </conditionalFormatting>
  <conditionalFormatting sqref="C619">
    <cfRule type="expression" dxfId="173" priority="139">
      <formula>#REF! = "produs"</formula>
    </cfRule>
    <cfRule type="expression" dxfId="172" priority="140">
      <formula>#REF! = "obiectiv"</formula>
    </cfRule>
  </conditionalFormatting>
  <conditionalFormatting sqref="D604">
    <cfRule type="expression" dxfId="171" priority="161">
      <formula>#REF! = "produs"</formula>
    </cfRule>
    <cfRule type="expression" dxfId="170" priority="162">
      <formula>#REF! = "obiectiv"</formula>
    </cfRule>
  </conditionalFormatting>
  <conditionalFormatting sqref="P607">
    <cfRule type="expression" dxfId="169" priority="155">
      <formula>#REF! = "produs"</formula>
    </cfRule>
    <cfRule type="expression" dxfId="168" priority="156">
      <formula>#REF! = "obiectiv"</formula>
    </cfRule>
  </conditionalFormatting>
  <conditionalFormatting sqref="C616:C617">
    <cfRule type="expression" dxfId="167" priority="135">
      <formula>#REF! = "produs"</formula>
    </cfRule>
    <cfRule type="expression" dxfId="166" priority="136">
      <formula>#REF! = "obiectiv"</formula>
    </cfRule>
  </conditionalFormatting>
  <conditionalFormatting sqref="C602:C603">
    <cfRule type="expression" dxfId="165" priority="163">
      <formula>#REF! = "produs"</formula>
    </cfRule>
    <cfRule type="expression" dxfId="164" priority="164">
      <formula>#REF! = "obiectiv"</formula>
    </cfRule>
  </conditionalFormatting>
  <conditionalFormatting sqref="E605">
    <cfRule type="expression" dxfId="163" priority="157">
      <formula>#REF! = "produs"</formula>
    </cfRule>
    <cfRule type="expression" dxfId="162" priority="158">
      <formula>#REF! = "obiectiv"</formula>
    </cfRule>
  </conditionalFormatting>
  <conditionalFormatting sqref="D618">
    <cfRule type="expression" dxfId="161" priority="133">
      <formula>#REF! = "produs"</formula>
    </cfRule>
    <cfRule type="expression" dxfId="160" priority="134">
      <formula>#REF! = "obiectiv"</formula>
    </cfRule>
  </conditionalFormatting>
  <conditionalFormatting sqref="P619">
    <cfRule type="expression" dxfId="159" priority="145">
      <formula>#REF! = "produs"</formula>
    </cfRule>
    <cfRule type="expression" dxfId="158" priority="146">
      <formula>#REF! = "obiectiv"</formula>
    </cfRule>
  </conditionalFormatting>
  <conditionalFormatting sqref="C634">
    <cfRule type="expression" dxfId="157" priority="125">
      <formula>#REF! = "produs"</formula>
    </cfRule>
    <cfRule type="expression" dxfId="156" priority="126">
      <formula>#REF! = "obiectiv"</formula>
    </cfRule>
  </conditionalFormatting>
  <conditionalFormatting sqref="D633">
    <cfRule type="expression" dxfId="155" priority="123">
      <formula>#REF! = "produs"</formula>
    </cfRule>
    <cfRule type="expression" dxfId="154" priority="124">
      <formula>#REF! = "obiectiv"</formula>
    </cfRule>
  </conditionalFormatting>
  <conditionalFormatting sqref="C604">
    <cfRule type="expression" dxfId="153" priority="159">
      <formula>#REF! = "produs"</formula>
    </cfRule>
    <cfRule type="expression" dxfId="152" priority="160">
      <formula>#REF! = "obiectiv"</formula>
    </cfRule>
  </conditionalFormatting>
  <conditionalFormatting sqref="D616:D617">
    <cfRule type="expression" dxfId="151" priority="137">
      <formula>#REF! = "produs"</formula>
    </cfRule>
    <cfRule type="expression" dxfId="150" priority="138">
      <formula>#REF! = "obiectiv"</formula>
    </cfRule>
  </conditionalFormatting>
  <conditionalFormatting sqref="P634">
    <cfRule type="expression" dxfId="149" priority="131">
      <formula>#REF! = "produs"</formula>
    </cfRule>
    <cfRule type="expression" dxfId="148" priority="132">
      <formula>#REF! = "obiectiv"</formula>
    </cfRule>
  </conditionalFormatting>
  <conditionalFormatting sqref="C636">
    <cfRule type="expression" dxfId="147" priority="127">
      <formula>#REF! = "produs"</formula>
    </cfRule>
    <cfRule type="expression" dxfId="146" priority="128">
      <formula>#REF! = "obiectiv"</formula>
    </cfRule>
  </conditionalFormatting>
  <conditionalFormatting sqref="C626 D626:D627">
    <cfRule type="expression" dxfId="145" priority="121">
      <formula>#REF! = "produs"</formula>
    </cfRule>
    <cfRule type="expression" dxfId="144" priority="122">
      <formula>#REF! = "obiectiv"</formula>
    </cfRule>
  </conditionalFormatting>
  <conditionalFormatting sqref="P628 E628">
    <cfRule type="expression" dxfId="143" priority="119">
      <formula>#REF! = "produs"</formula>
    </cfRule>
    <cfRule type="expression" dxfId="142" priority="120">
      <formula>#REF! = "obiectiv"</formula>
    </cfRule>
  </conditionalFormatting>
  <conditionalFormatting sqref="D607:E607 D608">
    <cfRule type="expression" dxfId="141" priority="153">
      <formula>#REF! = "produs"</formula>
    </cfRule>
    <cfRule type="expression" dxfId="140" priority="154">
      <formula>#REF! = "obiectiv"</formula>
    </cfRule>
  </conditionalFormatting>
  <conditionalFormatting sqref="C635 P626 B626 E626">
    <cfRule type="expression" dxfId="139" priority="129">
      <formula>#REF! = "produs"</formula>
    </cfRule>
    <cfRule type="expression" dxfId="138" priority="130">
      <formula>#REF! = "obiectiv"</formula>
    </cfRule>
  </conditionalFormatting>
  <conditionalFormatting sqref="C628">
    <cfRule type="expression" dxfId="137" priority="115">
      <formula>#REF! = "produs"</formula>
    </cfRule>
    <cfRule type="expression" dxfId="136" priority="116">
      <formula>#REF! = "obiectiv"</formula>
    </cfRule>
  </conditionalFormatting>
  <conditionalFormatting sqref="D609:D610">
    <cfRule type="expression" dxfId="135" priority="149">
      <formula>#REF! = "produs"</formula>
    </cfRule>
    <cfRule type="expression" dxfId="134" priority="150">
      <formula>#REF! = "obiectiv"</formula>
    </cfRule>
  </conditionalFormatting>
  <conditionalFormatting sqref="D629">
    <cfRule type="expression" dxfId="133" priority="117">
      <formula>#REF! = "produs"</formula>
    </cfRule>
    <cfRule type="expression" dxfId="132" priority="118">
      <formula>#REF! = "obiectiv"</formula>
    </cfRule>
  </conditionalFormatting>
  <conditionalFormatting sqref="D605:D606">
    <cfRule type="expression" dxfId="131" priority="147">
      <formula>#REF! = "produs"</formula>
    </cfRule>
    <cfRule type="expression" dxfId="130" priority="148">
      <formula>#REF! = "obiectiv"</formula>
    </cfRule>
  </conditionalFormatting>
  <conditionalFormatting sqref="C609:C610">
    <cfRule type="expression" dxfId="129" priority="151">
      <formula>#REF! = "produs"</formula>
    </cfRule>
    <cfRule type="expression" dxfId="128" priority="152">
      <formula>#REF! = "obiectiv"</formula>
    </cfRule>
  </conditionalFormatting>
  <conditionalFormatting sqref="P631">
    <cfRule type="expression" dxfId="127" priority="111">
      <formula>#REF! = "produs"</formula>
    </cfRule>
    <cfRule type="expression" dxfId="126" priority="112">
      <formula>#REF! = "obiectiv"</formula>
    </cfRule>
  </conditionalFormatting>
  <conditionalFormatting sqref="D628">
    <cfRule type="expression" dxfId="125" priority="113">
      <formula>#REF! = "produs"</formula>
    </cfRule>
    <cfRule type="expression" dxfId="124" priority="114">
      <formula>#REF! = "obiectiv"</formula>
    </cfRule>
  </conditionalFormatting>
  <conditionalFormatting sqref="C631">
    <cfRule type="expression" dxfId="123" priority="109">
      <formula>#REF! = "produs"</formula>
    </cfRule>
    <cfRule type="expression" dxfId="122" priority="110">
      <formula>#REF! = "obiectiv"</formula>
    </cfRule>
  </conditionalFormatting>
  <conditionalFormatting sqref="D631:D632 E631">
    <cfRule type="expression" dxfId="121" priority="105">
      <formula>#REF! = "produs"</formula>
    </cfRule>
    <cfRule type="expression" dxfId="120" priority="106">
      <formula>#REF! = "obiectiv"</formula>
    </cfRule>
  </conditionalFormatting>
  <conditionalFormatting sqref="C630">
    <cfRule type="expression" dxfId="119" priority="107">
      <formula>#REF! = "produs"</formula>
    </cfRule>
    <cfRule type="expression" dxfId="118" priority="108">
      <formula>#REF! = "obiectiv"</formula>
    </cfRule>
  </conditionalFormatting>
  <conditionalFormatting sqref="C633">
    <cfRule type="expression" dxfId="117" priority="103">
      <formula>#REF! = "produs"</formula>
    </cfRule>
    <cfRule type="expression" dxfId="116" priority="104">
      <formula>#REF! = "obiectiv"</formula>
    </cfRule>
  </conditionalFormatting>
  <conditionalFormatting sqref="C647">
    <cfRule type="expression" dxfId="115" priority="95">
      <formula>#REF! = "produs"</formula>
    </cfRule>
    <cfRule type="expression" dxfId="114" priority="96">
      <formula>#REF! = "obiectiv"</formula>
    </cfRule>
  </conditionalFormatting>
  <conditionalFormatting sqref="D646">
    <cfRule type="expression" dxfId="113" priority="93">
      <formula>#REF! = "produs"</formula>
    </cfRule>
    <cfRule type="expression" dxfId="112" priority="94">
      <formula>#REF! = "obiectiv"</formula>
    </cfRule>
  </conditionalFormatting>
  <conditionalFormatting sqref="P647">
    <cfRule type="expression" dxfId="111" priority="101">
      <formula>#REF! = "produs"</formula>
    </cfRule>
    <cfRule type="expression" dxfId="110" priority="102">
      <formula>#REF! = "obiectiv"</formula>
    </cfRule>
  </conditionalFormatting>
  <conditionalFormatting sqref="C649">
    <cfRule type="expression" dxfId="109" priority="97">
      <formula>#REF! = "produs"</formula>
    </cfRule>
    <cfRule type="expression" dxfId="108" priority="98">
      <formula>#REF! = "obiectiv"</formula>
    </cfRule>
  </conditionalFormatting>
  <conditionalFormatting sqref="D639:D640">
    <cfRule type="expression" dxfId="107" priority="91">
      <formula>#REF! = "produs"</formula>
    </cfRule>
    <cfRule type="expression" dxfId="106" priority="92">
      <formula>#REF! = "obiectiv"</formula>
    </cfRule>
  </conditionalFormatting>
  <conditionalFormatting sqref="P641 E641">
    <cfRule type="expression" dxfId="105" priority="89">
      <formula>#REF! = "produs"</formula>
    </cfRule>
    <cfRule type="expression" dxfId="104" priority="90">
      <formula>#REF! = "obiectiv"</formula>
    </cfRule>
  </conditionalFormatting>
  <conditionalFormatting sqref="C648 P639 B639 E639">
    <cfRule type="expression" dxfId="103" priority="99">
      <formula>#REF! = "produs"</formula>
    </cfRule>
    <cfRule type="expression" dxfId="102" priority="100">
      <formula>#REF! = "obiectiv"</formula>
    </cfRule>
  </conditionalFormatting>
  <conditionalFormatting sqref="C641">
    <cfRule type="expression" dxfId="101" priority="85">
      <formula>#REF! = "produs"</formula>
    </cfRule>
    <cfRule type="expression" dxfId="100" priority="86">
      <formula>#REF! = "obiectiv"</formula>
    </cfRule>
  </conditionalFormatting>
  <conditionalFormatting sqref="D642">
    <cfRule type="expression" dxfId="99" priority="87">
      <formula>#REF! = "produs"</formula>
    </cfRule>
    <cfRule type="expression" dxfId="98" priority="88">
      <formula>#REF! = "obiectiv"</formula>
    </cfRule>
  </conditionalFormatting>
  <conditionalFormatting sqref="P644">
    <cfRule type="expression" dxfId="97" priority="81">
      <formula>#REF! = "produs"</formula>
    </cfRule>
    <cfRule type="expression" dxfId="96" priority="82">
      <formula>#REF! = "obiectiv"</formula>
    </cfRule>
  </conditionalFormatting>
  <conditionalFormatting sqref="D641">
    <cfRule type="expression" dxfId="95" priority="83">
      <formula>#REF! = "produs"</formula>
    </cfRule>
    <cfRule type="expression" dxfId="94" priority="84">
      <formula>#REF! = "obiectiv"</formula>
    </cfRule>
  </conditionalFormatting>
  <conditionalFormatting sqref="C644">
    <cfRule type="expression" dxfId="93" priority="79">
      <formula>#REF! = "produs"</formula>
    </cfRule>
    <cfRule type="expression" dxfId="92" priority="80">
      <formula>#REF! = "obiectiv"</formula>
    </cfRule>
  </conditionalFormatting>
  <conditionalFormatting sqref="D644:D645 E644">
    <cfRule type="expression" dxfId="91" priority="75">
      <formula>#REF! = "produs"</formula>
    </cfRule>
    <cfRule type="expression" dxfId="90" priority="76">
      <formula>#REF! = "obiectiv"</formula>
    </cfRule>
  </conditionalFormatting>
  <conditionalFormatting sqref="C643">
    <cfRule type="expression" dxfId="89" priority="77">
      <formula>#REF! = "produs"</formula>
    </cfRule>
    <cfRule type="expression" dxfId="88" priority="78">
      <formula>#REF! = "obiectiv"</formula>
    </cfRule>
  </conditionalFormatting>
  <conditionalFormatting sqref="C646">
    <cfRule type="expression" dxfId="87" priority="73">
      <formula>#REF! = "produs"</formula>
    </cfRule>
    <cfRule type="expression" dxfId="86" priority="74">
      <formula>#REF! = "obiectiv"</formula>
    </cfRule>
  </conditionalFormatting>
  <conditionalFormatting sqref="C639:C640">
    <cfRule type="expression" dxfId="85" priority="71">
      <formula>#REF! = "produs"</formula>
    </cfRule>
    <cfRule type="expression" dxfId="84" priority="72">
      <formula>#REF! = "obiectiv"</formula>
    </cfRule>
  </conditionalFormatting>
  <conditionalFormatting sqref="C657">
    <cfRule type="expression" dxfId="83" priority="63">
      <formula>#REF! = "produs"</formula>
    </cfRule>
    <cfRule type="expression" dxfId="82" priority="64">
      <formula>#REF! = "obiectiv"</formula>
    </cfRule>
  </conditionalFormatting>
  <conditionalFormatting sqref="D656">
    <cfRule type="expression" dxfId="81" priority="61">
      <formula>#REF! = "produs"</formula>
    </cfRule>
    <cfRule type="expression" dxfId="80" priority="62">
      <formula>#REF! = "obiectiv"</formula>
    </cfRule>
  </conditionalFormatting>
  <conditionalFormatting sqref="P657">
    <cfRule type="expression" dxfId="79" priority="69">
      <formula>#REF! = "produs"</formula>
    </cfRule>
    <cfRule type="expression" dxfId="78" priority="70">
      <formula>#REF! = "obiectiv"</formula>
    </cfRule>
  </conditionalFormatting>
  <conditionalFormatting sqref="C659">
    <cfRule type="expression" dxfId="77" priority="65">
      <formula>#REF! = "produs"</formula>
    </cfRule>
    <cfRule type="expression" dxfId="76" priority="66">
      <formula>#REF! = "obiectiv"</formula>
    </cfRule>
  </conditionalFormatting>
  <conditionalFormatting sqref="D652:D653">
    <cfRule type="expression" dxfId="75" priority="59">
      <formula>#REF! = "produs"</formula>
    </cfRule>
    <cfRule type="expression" dxfId="74" priority="60">
      <formula>#REF! = "obiectiv"</formula>
    </cfRule>
  </conditionalFormatting>
  <conditionalFormatting sqref="C671">
    <cfRule type="expression" dxfId="73" priority="43">
      <formula>#REF! = "produs"</formula>
    </cfRule>
    <cfRule type="expression" dxfId="72" priority="44">
      <formula>#REF! = "obiectiv"</formula>
    </cfRule>
  </conditionalFormatting>
  <conditionalFormatting sqref="C658 P652 B652 E652">
    <cfRule type="expression" dxfId="71" priority="67">
      <formula>#REF! = "produs"</formula>
    </cfRule>
    <cfRule type="expression" dxfId="70" priority="68">
      <formula>#REF! = "obiectiv"</formula>
    </cfRule>
  </conditionalFormatting>
  <conditionalFormatting sqref="D668">
    <cfRule type="expression" dxfId="69" priority="39">
      <formula>#REF! = "produs"</formula>
    </cfRule>
    <cfRule type="expression" dxfId="68" priority="40">
      <formula>#REF! = "obiectiv"</formula>
    </cfRule>
  </conditionalFormatting>
  <conditionalFormatting sqref="C669">
    <cfRule type="expression" dxfId="67" priority="41">
      <formula>#REF! = "produs"</formula>
    </cfRule>
    <cfRule type="expression" dxfId="66" priority="42">
      <formula>#REF! = "obiectiv"</formula>
    </cfRule>
  </conditionalFormatting>
  <conditionalFormatting sqref="P654">
    <cfRule type="expression" dxfId="65" priority="57">
      <formula>#REF! = "produs"</formula>
    </cfRule>
    <cfRule type="expression" dxfId="64" priority="58">
      <formula>#REF! = "obiectiv"</formula>
    </cfRule>
  </conditionalFormatting>
  <conditionalFormatting sqref="D664:D665">
    <cfRule type="expression" dxfId="63" priority="37">
      <formula>#REF! = "produs"</formula>
    </cfRule>
    <cfRule type="expression" dxfId="62" priority="38">
      <formula>#REF! = "obiectiv"</formula>
    </cfRule>
  </conditionalFormatting>
  <conditionalFormatting sqref="C654">
    <cfRule type="expression" dxfId="61" priority="55">
      <formula>#REF! = "produs"</formula>
    </cfRule>
    <cfRule type="expression" dxfId="60" priority="56">
      <formula>#REF! = "obiectiv"</formula>
    </cfRule>
  </conditionalFormatting>
  <conditionalFormatting sqref="D654:D655 E654">
    <cfRule type="expression" dxfId="59" priority="53">
      <formula>#REF! = "produs"</formula>
    </cfRule>
    <cfRule type="expression" dxfId="58" priority="54">
      <formula>#REF! = "obiectiv"</formula>
    </cfRule>
  </conditionalFormatting>
  <conditionalFormatting sqref="D666:D667 E666">
    <cfRule type="expression" dxfId="57" priority="33">
      <formula>#REF! = "produs"</formula>
    </cfRule>
    <cfRule type="expression" dxfId="56" priority="34">
      <formula>#REF! = "obiectiv"</formula>
    </cfRule>
  </conditionalFormatting>
  <conditionalFormatting sqref="C656">
    <cfRule type="expression" dxfId="55" priority="51">
      <formula>#REF! = "produs"</formula>
    </cfRule>
    <cfRule type="expression" dxfId="54" priority="52">
      <formula>#REF! = "obiectiv"</formula>
    </cfRule>
  </conditionalFormatting>
  <conditionalFormatting sqref="C652:C653">
    <cfRule type="expression" dxfId="53" priority="49">
      <formula>#REF! = "produs"</formula>
    </cfRule>
    <cfRule type="expression" dxfId="52" priority="50">
      <formula>#REF! = "obiectiv"</formula>
    </cfRule>
  </conditionalFormatting>
  <conditionalFormatting sqref="P667">
    <cfRule type="expression" dxfId="51" priority="29">
      <formula>#REF! = "produs"</formula>
    </cfRule>
    <cfRule type="expression" dxfId="50" priority="30">
      <formula>#REF! = "obiectiv"</formula>
    </cfRule>
  </conditionalFormatting>
  <conditionalFormatting sqref="C676 P674 B674:B675 E674">
    <cfRule type="expression" dxfId="49" priority="27">
      <formula>#REF! = "produs"</formula>
    </cfRule>
    <cfRule type="expression" dxfId="48" priority="28">
      <formula>#REF! = "obiectiv"</formula>
    </cfRule>
  </conditionalFormatting>
  <conditionalFormatting sqref="P669">
    <cfRule type="expression" dxfId="47" priority="47">
      <formula>#REF! = "produs"</formula>
    </cfRule>
    <cfRule type="expression" dxfId="46" priority="48">
      <formula>#REF! = "obiectiv"</formula>
    </cfRule>
  </conditionalFormatting>
  <conditionalFormatting sqref="C677">
    <cfRule type="expression" dxfId="45" priority="25">
      <formula>#REF! = "produs"</formula>
    </cfRule>
    <cfRule type="expression" dxfId="44" priority="26">
      <formula>#REF! = "obiectiv"</formula>
    </cfRule>
  </conditionalFormatting>
  <conditionalFormatting sqref="C670 P664 B664 E664">
    <cfRule type="expression" dxfId="43" priority="45">
      <formula>#REF! = "produs"</formula>
    </cfRule>
    <cfRule type="expression" dxfId="42" priority="46">
      <formula>#REF! = "obiectiv"</formula>
    </cfRule>
  </conditionalFormatting>
  <conditionalFormatting sqref="P666">
    <cfRule type="expression" dxfId="41" priority="35">
      <formula>#REF! = "produs"</formula>
    </cfRule>
    <cfRule type="expression" dxfId="40" priority="36">
      <formula>#REF! = "obiectiv"</formula>
    </cfRule>
  </conditionalFormatting>
  <conditionalFormatting sqref="D674">
    <cfRule type="expression" dxfId="39" priority="23">
      <formula>#REF! = "produs"</formula>
    </cfRule>
    <cfRule type="expression" dxfId="38" priority="24">
      <formula>#REF! = "obiectiv"</formula>
    </cfRule>
  </conditionalFormatting>
  <conditionalFormatting sqref="P665">
    <cfRule type="expression" dxfId="37" priority="31">
      <formula>#REF! = "produs"</formula>
    </cfRule>
    <cfRule type="expression" dxfId="36" priority="32">
      <formula>#REF! = "obiectiv"</formula>
    </cfRule>
  </conditionalFormatting>
  <conditionalFormatting sqref="V423">
    <cfRule type="containsText" dxfId="35" priority="21" operator="containsText" text="USD">
      <formula>NOT(ISERROR(SEARCH("USD",V423)))</formula>
    </cfRule>
    <cfRule type="containsText" dxfId="34" priority="22" operator="containsText" text="EUR">
      <formula>NOT(ISERROR(SEARCH("EUR",V423)))</formula>
    </cfRule>
  </conditionalFormatting>
  <conditionalFormatting sqref="C675">
    <cfRule type="expression" dxfId="33" priority="17">
      <formula>#REF! = "produs"</formula>
    </cfRule>
    <cfRule type="expression" dxfId="32" priority="18">
      <formula>#REF! = "obiectiv"</formula>
    </cfRule>
  </conditionalFormatting>
  <conditionalFormatting sqref="P675">
    <cfRule type="expression" dxfId="31" priority="19">
      <formula>#REF! = "produs"</formula>
    </cfRule>
    <cfRule type="expression" dxfId="30" priority="20">
      <formula>#REF! = "obiectiv"</formula>
    </cfRule>
  </conditionalFormatting>
  <conditionalFormatting sqref="V469">
    <cfRule type="containsText" dxfId="29" priority="15" operator="containsText" text="USD">
      <formula>NOT(ISERROR(SEARCH("USD",V469)))</formula>
    </cfRule>
    <cfRule type="containsText" dxfId="28" priority="16" operator="containsText" text="EUR">
      <formula>NOT(ISERROR(SEARCH("EUR",V469)))</formula>
    </cfRule>
  </conditionalFormatting>
  <conditionalFormatting sqref="AE469">
    <cfRule type="containsText" dxfId="27" priority="13" operator="containsText" text="USD">
      <formula>NOT(ISERROR(SEARCH("USD",AE469)))</formula>
    </cfRule>
    <cfRule type="containsText" dxfId="26" priority="14" operator="containsText" text="EUR">
      <formula>NOT(ISERROR(SEARCH("EUR",AE469)))</formula>
    </cfRule>
  </conditionalFormatting>
  <conditionalFormatting sqref="V504">
    <cfRule type="containsText" dxfId="25" priority="11" operator="containsText" text="USD">
      <formula>NOT(ISERROR(SEARCH("USD",V504)))</formula>
    </cfRule>
    <cfRule type="containsText" dxfId="24" priority="12" operator="containsText" text="EUR">
      <formula>NOT(ISERROR(SEARCH("EUR",V504)))</formula>
    </cfRule>
  </conditionalFormatting>
  <conditionalFormatting sqref="V522">
    <cfRule type="containsText" dxfId="23" priority="9" operator="containsText" text="USD">
      <formula>NOT(ISERROR(SEARCH("USD",V522)))</formula>
    </cfRule>
    <cfRule type="containsText" dxfId="22" priority="10" operator="containsText" text="EUR">
      <formula>NOT(ISERROR(SEARCH("EUR",V522)))</formula>
    </cfRule>
  </conditionalFormatting>
  <conditionalFormatting sqref="V585">
    <cfRule type="containsText" dxfId="21" priority="7" operator="containsText" text="USD">
      <formula>NOT(ISERROR(SEARCH("USD",V585)))</formula>
    </cfRule>
    <cfRule type="containsText" dxfId="20" priority="8" operator="containsText" text="EUR">
      <formula>NOT(ISERROR(SEARCH("EUR",V585)))</formula>
    </cfRule>
  </conditionalFormatting>
  <conditionalFormatting sqref="V604">
    <cfRule type="containsText" dxfId="19" priority="5" operator="containsText" text="USD">
      <formula>NOT(ISERROR(SEARCH("USD",V604)))</formula>
    </cfRule>
    <cfRule type="containsText" dxfId="18" priority="6" operator="containsText" text="EUR">
      <formula>NOT(ISERROR(SEARCH("EUR",V604)))</formula>
    </cfRule>
  </conditionalFormatting>
  <conditionalFormatting sqref="V622">
    <cfRule type="containsText" dxfId="17" priority="3" operator="containsText" text="USD">
      <formula>NOT(ISERROR(SEARCH("USD",V622)))</formula>
    </cfRule>
    <cfRule type="containsText" dxfId="16" priority="4" operator="containsText" text="EUR">
      <formula>NOT(ISERROR(SEARCH("EUR",V622)))</formula>
    </cfRule>
  </conditionalFormatting>
  <conditionalFormatting sqref="V679">
    <cfRule type="containsText" dxfId="15" priority="1" operator="containsText" text="USD">
      <formula>NOT(ISERROR(SEARCH("USD",V679)))</formula>
    </cfRule>
    <cfRule type="containsText" dxfId="14" priority="2" operator="containsText" text="EUR">
      <formula>NOT(ISERROR(SEARCH("EUR",V679)))</formula>
    </cfRule>
  </conditionalFormatting>
  <dataValidations count="2">
    <dataValidation type="list" allowBlank="1" showInputMessage="1" showErrorMessage="1" sqref="B28:B29 B168 B160:B161 B174 B156:B157 B180 B116 B120:B121 B133 B128 B140 B82 B42 B74:B75 B88 B70:B71 B24:B25 B94 B36 B48">
      <formula1>$B$183:$B$188</formula1>
    </dataValidation>
    <dataValidation type="list" allowBlank="1" showInputMessage="1" showErrorMessage="1" sqref="B242">
      <formula1>$B$183:$B$185</formula1>
    </dataValidation>
  </dataValidations>
  <pageMargins left="0.7" right="0.7" top="0.75" bottom="0.75" header="0.3" footer="0.3"/>
  <pageSetup orientation="portrait" horizontalDpi="4294967295"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'\Users\volodymyrkurpita\Library\Containers\com.microsoft.Excel\Data\Documents\C:\Users\CTV_Coordinator\Downloads\[FR847-MDA-C_DB_09_06_2020 (5).xlsx]Price_list'!#REF!</xm:f>
          </x14:formula1>
          <xm:sqref>R425:R431 AA471:AA477 R471:R477 R506:R511 R524:R529 R586:R592 R605:R611 R623:R629 R680:R686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510"/>
  <sheetViews>
    <sheetView topLeftCell="A133" zoomScale="80" zoomScaleNormal="80" workbookViewId="0">
      <selection activeCell="F488" sqref="F488"/>
    </sheetView>
  </sheetViews>
  <sheetFormatPr defaultColWidth="11.42578125" defaultRowHeight="15"/>
  <cols>
    <col min="2" max="2" width="46.28515625" customWidth="1"/>
    <col min="3" max="3" width="57.7109375" customWidth="1"/>
    <col min="4" max="4" width="18" customWidth="1"/>
    <col min="5" max="5" width="16.140625" customWidth="1"/>
    <col min="6" max="6" width="31.42578125" customWidth="1"/>
    <col min="7" max="7" width="30" customWidth="1"/>
    <col min="8" max="8" width="13.28515625" bestFit="1" customWidth="1"/>
    <col min="9" max="9" width="12.7109375" bestFit="1" customWidth="1"/>
  </cols>
  <sheetData>
    <row r="2" spans="1:7" s="100" customFormat="1" ht="18.75"/>
    <row r="3" spans="1:7" s="100" customFormat="1" ht="18.75">
      <c r="B3" s="101" t="s">
        <v>299</v>
      </c>
      <c r="C3" s="101" t="s">
        <v>300</v>
      </c>
    </row>
    <row r="4" spans="1:7" s="100" customFormat="1" ht="18.75">
      <c r="B4" s="102" t="s">
        <v>301</v>
      </c>
      <c r="C4" s="102">
        <v>2000</v>
      </c>
    </row>
    <row r="5" spans="1:7" s="100" customFormat="1" ht="18.75">
      <c r="B5" s="102" t="s">
        <v>302</v>
      </c>
      <c r="C5" s="102">
        <v>7000</v>
      </c>
    </row>
    <row r="6" spans="1:7" s="100" customFormat="1" ht="18.75"/>
    <row r="7" spans="1:7" s="100" customFormat="1" ht="18.75">
      <c r="B7" s="101" t="s">
        <v>271</v>
      </c>
      <c r="C7" s="101">
        <v>25</v>
      </c>
      <c r="D7" s="2258" t="s">
        <v>272</v>
      </c>
      <c r="E7" s="2259"/>
      <c r="F7" s="2259"/>
      <c r="G7" s="2260"/>
    </row>
    <row r="8" spans="1:7" s="100" customFormat="1" ht="18.75">
      <c r="B8" s="102"/>
      <c r="C8" s="102"/>
      <c r="D8" s="103" t="s">
        <v>273</v>
      </c>
      <c r="E8" s="103" t="s">
        <v>274</v>
      </c>
      <c r="F8" s="103" t="s">
        <v>275</v>
      </c>
      <c r="G8" s="103" t="s">
        <v>276</v>
      </c>
    </row>
    <row r="9" spans="1:7" s="100" customFormat="1" ht="18.75">
      <c r="A9" s="100">
        <v>1</v>
      </c>
      <c r="B9" s="104" t="s">
        <v>277</v>
      </c>
      <c r="C9" s="105" t="s">
        <v>278</v>
      </c>
      <c r="D9" s="105">
        <v>1</v>
      </c>
      <c r="E9" s="102">
        <v>1</v>
      </c>
      <c r="F9" s="105">
        <f>C4</f>
        <v>2000</v>
      </c>
      <c r="G9" s="105">
        <f>D9*E9*F9</f>
        <v>2000</v>
      </c>
    </row>
    <row r="10" spans="1:7" s="100" customFormat="1" ht="18.75">
      <c r="A10" s="100">
        <v>2</v>
      </c>
      <c r="B10" s="104" t="s">
        <v>279</v>
      </c>
      <c r="C10" s="105" t="s">
        <v>278</v>
      </c>
      <c r="D10" s="105">
        <f>C7</f>
        <v>25</v>
      </c>
      <c r="E10" s="102">
        <v>2</v>
      </c>
      <c r="F10" s="105">
        <v>80</v>
      </c>
      <c r="G10" s="105">
        <f t="shared" ref="G10:G14" si="0">D10*E10*F10</f>
        <v>4000</v>
      </c>
    </row>
    <row r="11" spans="1:7" s="100" customFormat="1" ht="18.75">
      <c r="A11" s="100">
        <v>3</v>
      </c>
      <c r="B11" s="105" t="s">
        <v>280</v>
      </c>
      <c r="C11" s="105" t="s">
        <v>278</v>
      </c>
      <c r="D11" s="105">
        <f>C7</f>
        <v>25</v>
      </c>
      <c r="E11" s="102">
        <v>1</v>
      </c>
      <c r="F11" s="105">
        <v>180</v>
      </c>
      <c r="G11" s="105">
        <f t="shared" si="0"/>
        <v>4500</v>
      </c>
    </row>
    <row r="12" spans="1:7" s="100" customFormat="1" ht="18.75">
      <c r="A12" s="100">
        <v>4</v>
      </c>
      <c r="B12" s="105" t="s">
        <v>281</v>
      </c>
      <c r="C12" s="105" t="s">
        <v>282</v>
      </c>
      <c r="D12" s="105">
        <v>1</v>
      </c>
      <c r="E12" s="102">
        <v>1</v>
      </c>
      <c r="F12" s="105">
        <v>800</v>
      </c>
      <c r="G12" s="105">
        <f t="shared" si="0"/>
        <v>800</v>
      </c>
    </row>
    <row r="13" spans="1:7" s="100" customFormat="1" ht="18.75">
      <c r="A13" s="100">
        <v>5</v>
      </c>
      <c r="B13" s="106" t="s">
        <v>283</v>
      </c>
      <c r="C13" s="105" t="s">
        <v>278</v>
      </c>
      <c r="D13" s="105">
        <v>1</v>
      </c>
      <c r="E13" s="102">
        <v>1</v>
      </c>
      <c r="F13" s="105">
        <v>300</v>
      </c>
      <c r="G13" s="105">
        <f t="shared" si="0"/>
        <v>300</v>
      </c>
    </row>
    <row r="14" spans="1:7" s="100" customFormat="1" ht="18.75">
      <c r="A14" s="100">
        <v>6</v>
      </c>
      <c r="B14" s="106" t="s">
        <v>284</v>
      </c>
      <c r="C14" s="105"/>
      <c r="D14" s="107">
        <v>0.05</v>
      </c>
      <c r="E14" s="102">
        <v>1</v>
      </c>
      <c r="F14" s="105">
        <f>SUM(G9:G13)</f>
        <v>11600</v>
      </c>
      <c r="G14" s="105">
        <f t="shared" si="0"/>
        <v>580</v>
      </c>
    </row>
    <row r="15" spans="1:7" s="100" customFormat="1" ht="18.75">
      <c r="B15" s="108" t="s">
        <v>285</v>
      </c>
      <c r="C15" s="108"/>
      <c r="D15" s="108"/>
      <c r="E15" s="102"/>
      <c r="F15" s="108"/>
      <c r="G15" s="109">
        <f>SUM(G9:G14)</f>
        <v>12180</v>
      </c>
    </row>
    <row r="16" spans="1:7" s="100" customFormat="1" ht="18.75">
      <c r="B16" s="100" t="s">
        <v>611</v>
      </c>
      <c r="G16" s="100">
        <f>G15/25</f>
        <v>487.2</v>
      </c>
    </row>
    <row r="17" spans="1:10" s="100" customFormat="1" ht="18.75"/>
    <row r="18" spans="1:10" s="100" customFormat="1" ht="18.75">
      <c r="B18" s="101" t="s">
        <v>348</v>
      </c>
      <c r="C18" s="101">
        <v>25</v>
      </c>
      <c r="D18" s="2257" t="s">
        <v>272</v>
      </c>
      <c r="E18" s="2257"/>
      <c r="F18" s="2257"/>
      <c r="G18" s="2257"/>
      <c r="H18" s="2257"/>
    </row>
    <row r="19" spans="1:10" s="100" customFormat="1" ht="18.75">
      <c r="B19" s="102"/>
      <c r="C19" s="102"/>
      <c r="D19" s="103" t="s">
        <v>273</v>
      </c>
      <c r="E19" s="103" t="s">
        <v>274</v>
      </c>
      <c r="F19" s="103" t="s">
        <v>287</v>
      </c>
      <c r="G19" s="103" t="s">
        <v>275</v>
      </c>
      <c r="H19" s="103" t="s">
        <v>276</v>
      </c>
    </row>
    <row r="20" spans="1:10" s="100" customFormat="1" ht="18.75">
      <c r="A20" s="100">
        <v>1</v>
      </c>
      <c r="B20" s="104" t="s">
        <v>277</v>
      </c>
      <c r="C20" s="105" t="s">
        <v>278</v>
      </c>
      <c r="D20" s="105">
        <v>1</v>
      </c>
      <c r="E20" s="102">
        <v>1</v>
      </c>
      <c r="F20" s="102">
        <v>1</v>
      </c>
      <c r="G20" s="105">
        <f>C4</f>
        <v>2000</v>
      </c>
      <c r="H20" s="105">
        <f>D20*E20*F20*G20</f>
        <v>2000</v>
      </c>
    </row>
    <row r="21" spans="1:10" s="100" customFormat="1" ht="18.75">
      <c r="A21" s="100">
        <v>2</v>
      </c>
      <c r="B21" s="104" t="s">
        <v>279</v>
      </c>
      <c r="C21" s="105" t="s">
        <v>278</v>
      </c>
      <c r="D21" s="105">
        <f>C18+D20</f>
        <v>26</v>
      </c>
      <c r="E21" s="102">
        <v>2</v>
      </c>
      <c r="F21" s="102">
        <v>1</v>
      </c>
      <c r="G21" s="105">
        <v>80</v>
      </c>
      <c r="H21" s="105">
        <f t="shared" ref="H21:H27" si="1">D21*E21*F21*G21</f>
        <v>4160</v>
      </c>
    </row>
    <row r="22" spans="1:10" s="100" customFormat="1" ht="18.75">
      <c r="A22" s="100">
        <v>3</v>
      </c>
      <c r="B22" s="104" t="s">
        <v>413</v>
      </c>
      <c r="C22" s="105" t="s">
        <v>278</v>
      </c>
      <c r="D22" s="105">
        <v>20</v>
      </c>
      <c r="E22" s="102">
        <v>1</v>
      </c>
      <c r="F22" s="102">
        <v>1</v>
      </c>
      <c r="G22" s="105">
        <v>160</v>
      </c>
      <c r="H22" s="105">
        <f t="shared" si="1"/>
        <v>3200</v>
      </c>
    </row>
    <row r="23" spans="1:10" s="100" customFormat="1" ht="18.75">
      <c r="A23" s="100">
        <v>4</v>
      </c>
      <c r="B23" s="105" t="s">
        <v>280</v>
      </c>
      <c r="C23" s="105" t="s">
        <v>278</v>
      </c>
      <c r="D23" s="105">
        <f>C18+D20</f>
        <v>26</v>
      </c>
      <c r="E23" s="102">
        <v>1</v>
      </c>
      <c r="F23" s="102">
        <v>1</v>
      </c>
      <c r="G23" s="105">
        <v>180</v>
      </c>
      <c r="H23" s="105">
        <f t="shared" si="1"/>
        <v>4680</v>
      </c>
    </row>
    <row r="24" spans="1:10" s="100" customFormat="1" ht="18.75">
      <c r="A24" s="100">
        <v>5</v>
      </c>
      <c r="B24" s="348" t="s">
        <v>291</v>
      </c>
      <c r="C24" s="349" t="s">
        <v>292</v>
      </c>
      <c r="D24" s="349">
        <f>C18</f>
        <v>25</v>
      </c>
      <c r="E24" s="100">
        <v>1</v>
      </c>
      <c r="F24" s="349">
        <v>1</v>
      </c>
      <c r="G24" s="349">
        <v>40</v>
      </c>
      <c r="H24" s="105">
        <f t="shared" si="1"/>
        <v>1000</v>
      </c>
    </row>
    <row r="25" spans="1:10" s="100" customFormat="1" ht="18.75">
      <c r="A25" s="100">
        <v>6</v>
      </c>
      <c r="B25" s="105" t="s">
        <v>281</v>
      </c>
      <c r="C25" s="105" t="s">
        <v>282</v>
      </c>
      <c r="D25" s="105">
        <v>1</v>
      </c>
      <c r="E25" s="102">
        <v>1</v>
      </c>
      <c r="F25" s="102">
        <v>1</v>
      </c>
      <c r="G25" s="105">
        <v>800</v>
      </c>
      <c r="H25" s="105">
        <f t="shared" si="1"/>
        <v>800</v>
      </c>
    </row>
    <row r="26" spans="1:10" s="100" customFormat="1" ht="18.75">
      <c r="A26" s="100">
        <v>7</v>
      </c>
      <c r="B26" s="106" t="s">
        <v>283</v>
      </c>
      <c r="C26" s="105" t="s">
        <v>278</v>
      </c>
      <c r="D26" s="105">
        <v>1</v>
      </c>
      <c r="E26" s="102">
        <v>1</v>
      </c>
      <c r="F26" s="102">
        <v>1</v>
      </c>
      <c r="G26" s="105">
        <f>G13</f>
        <v>300</v>
      </c>
      <c r="H26" s="105">
        <f t="shared" si="1"/>
        <v>300</v>
      </c>
    </row>
    <row r="27" spans="1:10" s="100" customFormat="1" ht="18.75">
      <c r="A27" s="100">
        <v>8</v>
      </c>
      <c r="B27" s="106" t="s">
        <v>284</v>
      </c>
      <c r="C27" s="105"/>
      <c r="D27" s="107">
        <v>0.05</v>
      </c>
      <c r="E27" s="102">
        <v>1</v>
      </c>
      <c r="F27" s="102">
        <v>1</v>
      </c>
      <c r="G27" s="105">
        <f>SUM(H20:H26)</f>
        <v>16140</v>
      </c>
      <c r="H27" s="105">
        <f t="shared" si="1"/>
        <v>807</v>
      </c>
    </row>
    <row r="28" spans="1:10" s="100" customFormat="1" ht="18.75">
      <c r="B28" s="108" t="s">
        <v>285</v>
      </c>
      <c r="C28" s="108"/>
      <c r="D28" s="108"/>
      <c r="E28" s="102"/>
      <c r="F28" s="102"/>
      <c r="G28" s="108"/>
      <c r="H28" s="109">
        <f>SUM(H20:H27)</f>
        <v>16947</v>
      </c>
    </row>
    <row r="29" spans="1:10" s="100" customFormat="1" ht="18.75">
      <c r="B29" s="100" t="s">
        <v>611</v>
      </c>
      <c r="H29" s="100">
        <f>H28/25</f>
        <v>677.88</v>
      </c>
    </row>
    <row r="30" spans="1:10" s="100" customFormat="1" ht="18.75"/>
    <row r="31" spans="1:10" s="100" customFormat="1" ht="18.75">
      <c r="B31" s="101" t="s">
        <v>286</v>
      </c>
      <c r="C31" s="101">
        <v>25</v>
      </c>
      <c r="D31" s="2257" t="s">
        <v>272</v>
      </c>
      <c r="E31" s="2257"/>
      <c r="F31" s="2257"/>
      <c r="G31" s="2257"/>
      <c r="H31" s="2257"/>
      <c r="I31" s="100" t="s">
        <v>1412</v>
      </c>
      <c r="J31" s="100" t="s">
        <v>1413</v>
      </c>
    </row>
    <row r="32" spans="1:10" s="100" customFormat="1" ht="18.75">
      <c r="B32" s="102"/>
      <c r="C32" s="102"/>
      <c r="D32" s="103" t="s">
        <v>273</v>
      </c>
      <c r="E32" s="103" t="s">
        <v>274</v>
      </c>
      <c r="F32" s="103" t="s">
        <v>287</v>
      </c>
      <c r="G32" s="103" t="s">
        <v>275</v>
      </c>
      <c r="H32" s="103" t="s">
        <v>276</v>
      </c>
    </row>
    <row r="33" spans="1:10" s="100" customFormat="1" ht="18.75">
      <c r="A33" s="100">
        <v>1</v>
      </c>
      <c r="B33" s="104" t="s">
        <v>277</v>
      </c>
      <c r="C33" s="105" t="s">
        <v>278</v>
      </c>
      <c r="D33" s="105">
        <v>2</v>
      </c>
      <c r="E33" s="102">
        <v>1</v>
      </c>
      <c r="F33" s="102">
        <v>1</v>
      </c>
      <c r="G33" s="105">
        <f>C4</f>
        <v>2000</v>
      </c>
      <c r="H33" s="105">
        <f t="shared" ref="H33:H42" si="2">D33*E33*F33*G33</f>
        <v>4000</v>
      </c>
      <c r="I33" s="100">
        <v>12000</v>
      </c>
      <c r="J33" s="100">
        <v>12000</v>
      </c>
    </row>
    <row r="34" spans="1:10" s="100" customFormat="1" ht="18.75">
      <c r="A34" s="100">
        <v>2</v>
      </c>
      <c r="B34" s="104" t="s">
        <v>279</v>
      </c>
      <c r="C34" s="105" t="s">
        <v>278</v>
      </c>
      <c r="D34" s="105">
        <f>C31+D33</f>
        <v>27</v>
      </c>
      <c r="E34" s="102">
        <v>2</v>
      </c>
      <c r="F34" s="102">
        <v>2</v>
      </c>
      <c r="G34" s="105">
        <v>80</v>
      </c>
      <c r="H34" s="105">
        <f t="shared" si="2"/>
        <v>8640</v>
      </c>
      <c r="I34" s="100">
        <v>9380</v>
      </c>
      <c r="J34" s="100">
        <v>6700</v>
      </c>
    </row>
    <row r="35" spans="1:10" s="100" customFormat="1" ht="18.75">
      <c r="A35" s="100">
        <v>3</v>
      </c>
      <c r="B35" s="104" t="s">
        <v>413</v>
      </c>
      <c r="C35" s="105" t="s">
        <v>278</v>
      </c>
      <c r="D35" s="105">
        <v>20</v>
      </c>
      <c r="E35" s="102">
        <v>1</v>
      </c>
      <c r="F35" s="102">
        <v>1</v>
      </c>
      <c r="G35" s="105">
        <v>160</v>
      </c>
      <c r="H35" s="105">
        <f t="shared" si="2"/>
        <v>3200</v>
      </c>
      <c r="I35" s="100">
        <v>3200</v>
      </c>
      <c r="J35" s="100">
        <v>3200</v>
      </c>
    </row>
    <row r="36" spans="1:10" s="100" customFormat="1" ht="18.75">
      <c r="A36" s="100">
        <v>4</v>
      </c>
      <c r="B36" s="105" t="s">
        <v>280</v>
      </c>
      <c r="C36" s="105" t="s">
        <v>278</v>
      </c>
      <c r="D36" s="105">
        <f>C31+D33</f>
        <v>27</v>
      </c>
      <c r="E36" s="102">
        <v>1</v>
      </c>
      <c r="F36" s="102">
        <v>2</v>
      </c>
      <c r="G36" s="105">
        <v>180</v>
      </c>
      <c r="H36" s="105">
        <f t="shared" si="2"/>
        <v>9720</v>
      </c>
      <c r="I36" s="100">
        <v>9800</v>
      </c>
      <c r="J36" s="100">
        <v>7000</v>
      </c>
    </row>
    <row r="37" spans="1:10" s="100" customFormat="1" ht="18.75">
      <c r="A37" s="100">
        <v>5</v>
      </c>
      <c r="B37" s="350" t="s">
        <v>288</v>
      </c>
      <c r="C37" s="349" t="s">
        <v>278</v>
      </c>
      <c r="D37" s="349">
        <v>17</v>
      </c>
      <c r="E37" s="102">
        <v>1</v>
      </c>
      <c r="F37" s="349">
        <v>1</v>
      </c>
      <c r="G37" s="349">
        <v>238</v>
      </c>
      <c r="H37" s="105">
        <f t="shared" si="2"/>
        <v>4046</v>
      </c>
      <c r="I37" s="100">
        <v>9800</v>
      </c>
      <c r="J37" s="100">
        <v>700</v>
      </c>
    </row>
    <row r="38" spans="1:10" s="100" customFormat="1" ht="18.75">
      <c r="A38" s="100">
        <v>6</v>
      </c>
      <c r="B38" s="350" t="s">
        <v>289</v>
      </c>
      <c r="C38" s="349" t="s">
        <v>290</v>
      </c>
      <c r="D38" s="349">
        <v>17</v>
      </c>
      <c r="E38" s="102">
        <v>1</v>
      </c>
      <c r="F38" s="349">
        <v>1</v>
      </c>
      <c r="G38" s="349">
        <v>600</v>
      </c>
      <c r="H38" s="105">
        <f t="shared" si="2"/>
        <v>10200</v>
      </c>
      <c r="I38" s="100">
        <v>9199</v>
      </c>
      <c r="J38" s="100">
        <v>7820</v>
      </c>
    </row>
    <row r="39" spans="1:10" s="100" customFormat="1" ht="18.75">
      <c r="A39" s="100">
        <v>7</v>
      </c>
      <c r="B39" s="348" t="s">
        <v>291</v>
      </c>
      <c r="C39" s="349" t="s">
        <v>292</v>
      </c>
      <c r="D39" s="349">
        <f>C31</f>
        <v>25</v>
      </c>
      <c r="E39" s="102">
        <v>1</v>
      </c>
      <c r="F39" s="349">
        <v>1</v>
      </c>
      <c r="G39" s="349">
        <v>40</v>
      </c>
      <c r="H39" s="105">
        <f t="shared" si="2"/>
        <v>1000</v>
      </c>
      <c r="I39" s="100">
        <v>2000</v>
      </c>
      <c r="J39" s="100">
        <v>1450</v>
      </c>
    </row>
    <row r="40" spans="1:10" s="100" customFormat="1" ht="18.75">
      <c r="A40" s="100">
        <v>8</v>
      </c>
      <c r="B40" s="105" t="s">
        <v>281</v>
      </c>
      <c r="C40" s="105" t="s">
        <v>282</v>
      </c>
      <c r="D40" s="105">
        <v>1</v>
      </c>
      <c r="E40" s="102">
        <v>1</v>
      </c>
      <c r="F40" s="102">
        <v>2</v>
      </c>
      <c r="G40" s="105">
        <v>800</v>
      </c>
      <c r="H40" s="105">
        <f t="shared" si="2"/>
        <v>1600</v>
      </c>
      <c r="I40" s="100">
        <v>0</v>
      </c>
      <c r="J40" s="100">
        <v>0</v>
      </c>
    </row>
    <row r="41" spans="1:10" s="100" customFormat="1" ht="18.75">
      <c r="A41" s="100">
        <v>9</v>
      </c>
      <c r="B41" s="106" t="s">
        <v>283</v>
      </c>
      <c r="C41" s="105" t="s">
        <v>278</v>
      </c>
      <c r="D41" s="105">
        <v>1</v>
      </c>
      <c r="E41" s="102">
        <v>1</v>
      </c>
      <c r="F41" s="102">
        <v>1</v>
      </c>
      <c r="G41" s="105">
        <f>G26</f>
        <v>300</v>
      </c>
      <c r="H41" s="105">
        <f t="shared" si="2"/>
        <v>300</v>
      </c>
    </row>
    <row r="42" spans="1:10" s="100" customFormat="1" ht="18.75">
      <c r="A42" s="100">
        <v>10</v>
      </c>
      <c r="B42" s="106" t="s">
        <v>284</v>
      </c>
      <c r="C42" s="105"/>
      <c r="D42" s="107">
        <v>0.05</v>
      </c>
      <c r="E42" s="102">
        <v>1</v>
      </c>
      <c r="F42" s="102">
        <v>1</v>
      </c>
      <c r="G42" s="105">
        <f>SUM(H33:H41)</f>
        <v>42706</v>
      </c>
      <c r="H42" s="105">
        <f t="shared" si="2"/>
        <v>2135.3000000000002</v>
      </c>
    </row>
    <row r="43" spans="1:10" s="100" customFormat="1" ht="18.75">
      <c r="B43" s="108" t="s">
        <v>285</v>
      </c>
      <c r="C43" s="108"/>
      <c r="D43" s="108"/>
      <c r="E43" s="102"/>
      <c r="F43" s="102"/>
      <c r="G43" s="108"/>
      <c r="H43" s="109">
        <f>SUM(H33:H42)</f>
        <v>44841.3</v>
      </c>
      <c r="I43" s="100">
        <f>I33+I34+I35+I36+I37+I38+I39+I4</f>
        <v>55379</v>
      </c>
      <c r="J43" s="1463">
        <f>J33+J34+J35+J36+J37+J38+J39+J4</f>
        <v>38870</v>
      </c>
    </row>
    <row r="44" spans="1:10" s="100" customFormat="1" ht="18.75">
      <c r="B44" s="100" t="s">
        <v>976</v>
      </c>
      <c r="H44" s="100">
        <f>H43/25</f>
        <v>1793.652</v>
      </c>
    </row>
    <row r="45" spans="1:10" s="100" customFormat="1" ht="18.75"/>
    <row r="46" spans="1:10" s="100" customFormat="1" ht="18.75">
      <c r="B46" s="101" t="s">
        <v>296</v>
      </c>
      <c r="C46" s="101">
        <v>25</v>
      </c>
      <c r="D46" s="2257" t="s">
        <v>272</v>
      </c>
      <c r="E46" s="2257"/>
      <c r="F46" s="2257"/>
      <c r="G46" s="2257"/>
      <c r="H46" s="2257"/>
    </row>
    <row r="47" spans="1:10" s="100" customFormat="1" ht="18.75">
      <c r="B47" s="102"/>
      <c r="C47" s="102"/>
      <c r="D47" s="103" t="s">
        <v>273</v>
      </c>
      <c r="E47" s="103" t="s">
        <v>274</v>
      </c>
      <c r="F47" s="103" t="s">
        <v>287</v>
      </c>
      <c r="G47" s="103" t="s">
        <v>275</v>
      </c>
      <c r="H47" s="103" t="s">
        <v>276</v>
      </c>
    </row>
    <row r="48" spans="1:10" s="100" customFormat="1" ht="18.75">
      <c r="A48" s="100">
        <v>1</v>
      </c>
      <c r="B48" s="104" t="s">
        <v>277</v>
      </c>
      <c r="C48" s="105" t="s">
        <v>278</v>
      </c>
      <c r="D48" s="105">
        <v>3</v>
      </c>
      <c r="E48" s="102">
        <v>1</v>
      </c>
      <c r="F48" s="102">
        <v>1</v>
      </c>
      <c r="G48" s="105">
        <f>C4</f>
        <v>2000</v>
      </c>
      <c r="H48" s="105">
        <f>D48*E48*F48*G48</f>
        <v>6000</v>
      </c>
    </row>
    <row r="49" spans="1:8" s="100" customFormat="1" ht="18.75">
      <c r="A49" s="100">
        <v>2</v>
      </c>
      <c r="B49" s="104" t="s">
        <v>279</v>
      </c>
      <c r="C49" s="105" t="s">
        <v>278</v>
      </c>
      <c r="D49" s="105">
        <f>C46+D48</f>
        <v>28</v>
      </c>
      <c r="E49" s="102">
        <v>2</v>
      </c>
      <c r="F49" s="102">
        <v>3</v>
      </c>
      <c r="G49" s="105">
        <v>80</v>
      </c>
      <c r="H49" s="105">
        <f t="shared" ref="H49:H57" si="3">D49*E49*F49*G49</f>
        <v>13440</v>
      </c>
    </row>
    <row r="50" spans="1:8" s="100" customFormat="1" ht="18.75">
      <c r="A50" s="100">
        <v>3</v>
      </c>
      <c r="B50" s="104" t="s">
        <v>413</v>
      </c>
      <c r="C50" s="105" t="s">
        <v>278</v>
      </c>
      <c r="D50" s="105">
        <v>20</v>
      </c>
      <c r="E50" s="102">
        <v>1</v>
      </c>
      <c r="F50" s="102">
        <v>1</v>
      </c>
      <c r="G50" s="105">
        <v>160</v>
      </c>
      <c r="H50" s="105">
        <f t="shared" si="3"/>
        <v>3200</v>
      </c>
    </row>
    <row r="51" spans="1:8" s="100" customFormat="1" ht="18.75">
      <c r="A51" s="100">
        <v>4</v>
      </c>
      <c r="B51" s="105" t="s">
        <v>280</v>
      </c>
      <c r="C51" s="105" t="s">
        <v>278</v>
      </c>
      <c r="D51" s="105">
        <f>C46+D48</f>
        <v>28</v>
      </c>
      <c r="E51" s="102">
        <v>1</v>
      </c>
      <c r="F51" s="102">
        <v>3</v>
      </c>
      <c r="G51" s="105">
        <v>180</v>
      </c>
      <c r="H51" s="105">
        <f t="shared" si="3"/>
        <v>15120</v>
      </c>
    </row>
    <row r="52" spans="1:8" s="100" customFormat="1" ht="18.75">
      <c r="A52" s="100">
        <v>5</v>
      </c>
      <c r="B52" s="350" t="s">
        <v>288</v>
      </c>
      <c r="C52" s="349" t="s">
        <v>278</v>
      </c>
      <c r="D52" s="349">
        <v>17</v>
      </c>
      <c r="E52" s="100">
        <v>1</v>
      </c>
      <c r="F52" s="349">
        <v>2</v>
      </c>
      <c r="G52" s="349">
        <v>238</v>
      </c>
      <c r="H52" s="105">
        <f t="shared" si="3"/>
        <v>8092</v>
      </c>
    </row>
    <row r="53" spans="1:8" s="100" customFormat="1" ht="18.75">
      <c r="A53" s="100">
        <v>6</v>
      </c>
      <c r="B53" s="350" t="s">
        <v>289</v>
      </c>
      <c r="C53" s="349" t="s">
        <v>290</v>
      </c>
      <c r="D53" s="349">
        <v>17</v>
      </c>
      <c r="E53" s="100">
        <v>1</v>
      </c>
      <c r="F53" s="349">
        <v>2</v>
      </c>
      <c r="G53" s="349">
        <v>600</v>
      </c>
      <c r="H53" s="105">
        <f t="shared" si="3"/>
        <v>20400</v>
      </c>
    </row>
    <row r="54" spans="1:8" s="100" customFormat="1" ht="18.75">
      <c r="A54" s="100">
        <v>7</v>
      </c>
      <c r="B54" s="348" t="s">
        <v>291</v>
      </c>
      <c r="C54" s="349" t="s">
        <v>292</v>
      </c>
      <c r="D54" s="349">
        <f>C46</f>
        <v>25</v>
      </c>
      <c r="E54" s="100">
        <v>1</v>
      </c>
      <c r="F54" s="349">
        <v>1</v>
      </c>
      <c r="G54" s="349">
        <v>40</v>
      </c>
      <c r="H54" s="105">
        <f t="shared" si="3"/>
        <v>1000</v>
      </c>
    </row>
    <row r="55" spans="1:8" s="100" customFormat="1" ht="18.75">
      <c r="A55" s="100">
        <v>8</v>
      </c>
      <c r="B55" s="105" t="s">
        <v>281</v>
      </c>
      <c r="C55" s="105" t="s">
        <v>282</v>
      </c>
      <c r="D55" s="105">
        <v>1</v>
      </c>
      <c r="E55" s="102">
        <v>1</v>
      </c>
      <c r="F55" s="102">
        <v>3</v>
      </c>
      <c r="G55" s="105">
        <v>800</v>
      </c>
      <c r="H55" s="105">
        <f t="shared" si="3"/>
        <v>2400</v>
      </c>
    </row>
    <row r="56" spans="1:8" s="100" customFormat="1" ht="18.75">
      <c r="A56" s="100">
        <v>9</v>
      </c>
      <c r="B56" s="106" t="s">
        <v>283</v>
      </c>
      <c r="C56" s="105" t="s">
        <v>278</v>
      </c>
      <c r="D56" s="105">
        <v>1</v>
      </c>
      <c r="E56" s="102">
        <v>1</v>
      </c>
      <c r="F56" s="102">
        <v>1</v>
      </c>
      <c r="G56" s="105">
        <f>G41</f>
        <v>300</v>
      </c>
      <c r="H56" s="105">
        <f t="shared" si="3"/>
        <v>300</v>
      </c>
    </row>
    <row r="57" spans="1:8" s="100" customFormat="1" ht="18.75">
      <c r="A57" s="100">
        <v>10</v>
      </c>
      <c r="B57" s="106" t="s">
        <v>284</v>
      </c>
      <c r="C57" s="105"/>
      <c r="D57" s="107">
        <v>0.05</v>
      </c>
      <c r="E57" s="102">
        <v>1</v>
      </c>
      <c r="F57" s="102">
        <v>1</v>
      </c>
      <c r="G57" s="105">
        <f>SUM(H48:H56)</f>
        <v>69952</v>
      </c>
      <c r="H57" s="105">
        <f t="shared" si="3"/>
        <v>3497.6000000000004</v>
      </c>
    </row>
    <row r="58" spans="1:8" s="100" customFormat="1" ht="18.75">
      <c r="B58" s="108" t="s">
        <v>285</v>
      </c>
      <c r="C58" s="108"/>
      <c r="D58" s="108"/>
      <c r="E58" s="102"/>
      <c r="F58" s="102"/>
      <c r="G58" s="108"/>
      <c r="H58" s="109">
        <f>SUM(H48:H57)</f>
        <v>73449.600000000006</v>
      </c>
    </row>
    <row r="59" spans="1:8" s="100" customFormat="1" ht="18.75">
      <c r="H59" s="100">
        <f>H58/25</f>
        <v>2937.9840000000004</v>
      </c>
    </row>
    <row r="60" spans="1:8" s="100" customFormat="1" ht="18.75"/>
    <row r="61" spans="1:8" s="100" customFormat="1" ht="18.75">
      <c r="B61" s="101" t="s">
        <v>777</v>
      </c>
      <c r="C61" s="101"/>
      <c r="D61" s="2257"/>
      <c r="E61" s="2257"/>
      <c r="F61" s="2257"/>
      <c r="G61" s="2257"/>
      <c r="H61" s="2257"/>
    </row>
    <row r="62" spans="1:8" s="100" customFormat="1" ht="18.75">
      <c r="B62" s="102"/>
      <c r="C62" s="102"/>
      <c r="D62" s="103" t="s">
        <v>273</v>
      </c>
      <c r="E62" s="103" t="s">
        <v>274</v>
      </c>
      <c r="F62" s="103" t="s">
        <v>287</v>
      </c>
      <c r="G62" s="103" t="s">
        <v>275</v>
      </c>
      <c r="H62" s="103" t="s">
        <v>276</v>
      </c>
    </row>
    <row r="63" spans="1:8" s="100" customFormat="1" ht="18.75">
      <c r="A63" s="100">
        <v>1</v>
      </c>
      <c r="B63" s="104" t="s">
        <v>421</v>
      </c>
      <c r="C63" s="105" t="s">
        <v>278</v>
      </c>
      <c r="D63" s="105">
        <v>1</v>
      </c>
      <c r="E63" s="102">
        <v>1</v>
      </c>
      <c r="F63" s="102">
        <v>2</v>
      </c>
      <c r="G63" s="105">
        <v>100</v>
      </c>
      <c r="H63" s="105">
        <f>D63*E63*F63*G63</f>
        <v>200</v>
      </c>
    </row>
    <row r="64" spans="1:8" s="100" customFormat="1" ht="18.75">
      <c r="A64" s="100">
        <v>2</v>
      </c>
      <c r="B64" s="110" t="s">
        <v>289</v>
      </c>
      <c r="C64" s="111" t="s">
        <v>290</v>
      </c>
      <c r="D64" s="111">
        <v>1</v>
      </c>
      <c r="E64" s="100">
        <v>1</v>
      </c>
      <c r="F64" s="111">
        <v>1</v>
      </c>
      <c r="G64" s="111">
        <v>600</v>
      </c>
      <c r="H64" s="105">
        <f>D64*E64*F64*G64</f>
        <v>600</v>
      </c>
    </row>
    <row r="65" spans="1:8" s="100" customFormat="1" ht="18.75">
      <c r="A65" s="100">
        <v>3</v>
      </c>
      <c r="B65" s="106" t="s">
        <v>422</v>
      </c>
      <c r="C65" s="105" t="s">
        <v>278</v>
      </c>
      <c r="D65" s="105">
        <v>1</v>
      </c>
      <c r="E65" s="102">
        <v>1</v>
      </c>
      <c r="F65" s="102">
        <v>1</v>
      </c>
      <c r="G65" s="105">
        <f>G56</f>
        <v>300</v>
      </c>
      <c r="H65" s="105">
        <f t="shared" ref="H65" si="4">D65*E65*F65*G65</f>
        <v>300</v>
      </c>
    </row>
    <row r="66" spans="1:8" s="100" customFormat="1" ht="18.75">
      <c r="B66" s="108" t="s">
        <v>285</v>
      </c>
      <c r="C66" s="108"/>
      <c r="D66" s="108"/>
      <c r="E66" s="102"/>
      <c r="F66" s="102"/>
      <c r="G66" s="108"/>
      <c r="H66" s="109">
        <f>SUM(H63:H65)</f>
        <v>1100</v>
      </c>
    </row>
    <row r="67" spans="1:8" s="100" customFormat="1" ht="18.75"/>
    <row r="68" spans="1:8" s="345" customFormat="1" ht="18.75">
      <c r="B68" s="101" t="s">
        <v>778</v>
      </c>
      <c r="C68" s="101"/>
      <c r="D68" s="2257"/>
      <c r="E68" s="2257"/>
      <c r="F68" s="2257"/>
      <c r="G68" s="2257"/>
      <c r="H68" s="2257"/>
    </row>
    <row r="69" spans="1:8" s="345" customFormat="1" ht="18.75">
      <c r="B69" s="102"/>
      <c r="C69" s="102"/>
      <c r="D69" s="103" t="s">
        <v>273</v>
      </c>
      <c r="E69" s="103" t="s">
        <v>274</v>
      </c>
      <c r="F69" s="103" t="s">
        <v>287</v>
      </c>
      <c r="G69" s="103" t="s">
        <v>275</v>
      </c>
      <c r="H69" s="103" t="s">
        <v>276</v>
      </c>
    </row>
    <row r="70" spans="1:8" s="345" customFormat="1" ht="18.75">
      <c r="B70" s="104" t="s">
        <v>1211</v>
      </c>
      <c r="C70" s="105" t="s">
        <v>278</v>
      </c>
      <c r="D70" s="105">
        <v>2</v>
      </c>
      <c r="E70" s="102">
        <v>1</v>
      </c>
      <c r="F70" s="102">
        <v>1</v>
      </c>
      <c r="G70" s="105">
        <v>100</v>
      </c>
      <c r="H70" s="105">
        <f>D70*E70*F70*G70</f>
        <v>200</v>
      </c>
    </row>
    <row r="71" spans="1:8" s="345" customFormat="1" ht="18.75">
      <c r="B71" s="106" t="s">
        <v>422</v>
      </c>
      <c r="C71" s="106" t="s">
        <v>278</v>
      </c>
      <c r="D71" s="105">
        <v>1</v>
      </c>
      <c r="E71" s="102">
        <v>1</v>
      </c>
      <c r="F71" s="102">
        <v>1</v>
      </c>
      <c r="G71" s="105">
        <f>G56</f>
        <v>300</v>
      </c>
      <c r="H71" s="105">
        <f t="shared" ref="H71" si="5">D71*E71*F71*G71</f>
        <v>300</v>
      </c>
    </row>
    <row r="72" spans="1:8" s="345" customFormat="1" ht="18.75">
      <c r="B72" s="108" t="s">
        <v>285</v>
      </c>
      <c r="C72" s="108"/>
      <c r="D72" s="108"/>
      <c r="E72" s="102"/>
      <c r="F72" s="102"/>
      <c r="G72" s="108"/>
      <c r="H72" s="109">
        <f>SUM(H70:H71)</f>
        <v>500</v>
      </c>
    </row>
    <row r="73" spans="1:8" s="100" customFormat="1" ht="18.75"/>
    <row r="74" spans="1:8" s="100" customFormat="1" ht="18.75">
      <c r="B74" s="101" t="s">
        <v>268</v>
      </c>
      <c r="C74" s="101"/>
      <c r="D74" s="2257"/>
      <c r="E74" s="2257"/>
      <c r="F74" s="2257"/>
      <c r="G74" s="2257"/>
      <c r="H74" s="2257"/>
    </row>
    <row r="75" spans="1:8" s="100" customFormat="1" ht="18.75">
      <c r="B75" s="102"/>
      <c r="C75" s="102"/>
      <c r="D75" s="103" t="s">
        <v>273</v>
      </c>
      <c r="E75" s="103" t="s">
        <v>274</v>
      </c>
      <c r="F75" s="103" t="s">
        <v>287</v>
      </c>
      <c r="G75" s="103" t="s">
        <v>275</v>
      </c>
      <c r="H75" s="103" t="s">
        <v>276</v>
      </c>
    </row>
    <row r="76" spans="1:8" s="100" customFormat="1" ht="18.75">
      <c r="A76" s="100">
        <v>1</v>
      </c>
      <c r="B76" s="104" t="s">
        <v>293</v>
      </c>
      <c r="C76" s="105" t="s">
        <v>278</v>
      </c>
      <c r="D76" s="105">
        <v>1</v>
      </c>
      <c r="E76" s="102">
        <v>1</v>
      </c>
      <c r="F76" s="102">
        <v>1</v>
      </c>
      <c r="G76" s="105">
        <v>7000</v>
      </c>
      <c r="H76" s="105">
        <f>D76*E76*F76*G76</f>
        <v>7000</v>
      </c>
    </row>
    <row r="77" spans="1:8" s="100" customFormat="1" ht="18.75">
      <c r="A77" s="100">
        <v>2</v>
      </c>
      <c r="B77" s="104" t="s">
        <v>289</v>
      </c>
      <c r="C77" s="105" t="s">
        <v>278</v>
      </c>
      <c r="D77" s="105">
        <f>C74+D76</f>
        <v>1</v>
      </c>
      <c r="E77" s="102">
        <v>1</v>
      </c>
      <c r="F77" s="102">
        <v>3</v>
      </c>
      <c r="G77" s="105">
        <v>1800</v>
      </c>
      <c r="H77" s="105">
        <f t="shared" ref="H77:H79" si="6">D77*E77*F77*G77</f>
        <v>5400</v>
      </c>
    </row>
    <row r="78" spans="1:8" s="100" customFormat="1" ht="18.75">
      <c r="A78" s="100">
        <v>3</v>
      </c>
      <c r="B78" s="105" t="s">
        <v>294</v>
      </c>
      <c r="C78" s="105" t="s">
        <v>278</v>
      </c>
      <c r="D78" s="105">
        <f>C74+D76</f>
        <v>1</v>
      </c>
      <c r="E78" s="102">
        <v>1</v>
      </c>
      <c r="F78" s="102">
        <v>1</v>
      </c>
      <c r="G78" s="105">
        <v>2000</v>
      </c>
      <c r="H78" s="105">
        <f t="shared" si="6"/>
        <v>2000</v>
      </c>
    </row>
    <row r="79" spans="1:8" s="100" customFormat="1" ht="18.75">
      <c r="A79" s="100">
        <v>4</v>
      </c>
      <c r="B79" s="110" t="s">
        <v>295</v>
      </c>
      <c r="C79" s="111" t="s">
        <v>278</v>
      </c>
      <c r="D79" s="111">
        <f>C74+D76</f>
        <v>1</v>
      </c>
      <c r="E79" s="100">
        <v>1</v>
      </c>
      <c r="F79" s="111">
        <v>4</v>
      </c>
      <c r="G79" s="111">
        <v>1000</v>
      </c>
      <c r="H79" s="105">
        <f t="shared" si="6"/>
        <v>4000</v>
      </c>
    </row>
    <row r="80" spans="1:8" s="100" customFormat="1" ht="18.75">
      <c r="A80" s="100">
        <v>5</v>
      </c>
      <c r="B80" s="106" t="s">
        <v>284</v>
      </c>
      <c r="C80" s="105"/>
      <c r="D80" s="107">
        <v>0.05</v>
      </c>
      <c r="E80" s="102">
        <v>1</v>
      </c>
      <c r="F80" s="102">
        <v>1</v>
      </c>
      <c r="G80" s="105">
        <f>SUM(H76:H79)</f>
        <v>18400</v>
      </c>
      <c r="H80" s="105">
        <f>D80*E80*G80</f>
        <v>920</v>
      </c>
    </row>
    <row r="81" spans="1:9" s="100" customFormat="1" ht="18.75">
      <c r="B81" s="108" t="s">
        <v>285</v>
      </c>
      <c r="C81" s="108"/>
      <c r="D81" s="108"/>
      <c r="E81" s="102"/>
      <c r="F81" s="102"/>
      <c r="G81" s="108"/>
      <c r="H81" s="109">
        <f>SUM(H76:H80)</f>
        <v>19320</v>
      </c>
    </row>
    <row r="82" spans="1:9" s="100" customFormat="1" ht="18.75">
      <c r="B82" s="100" t="s">
        <v>969</v>
      </c>
      <c r="H82" s="100">
        <f>H81/F77</f>
        <v>6440</v>
      </c>
    </row>
    <row r="83" spans="1:9" s="100" customFormat="1" ht="18.75"/>
    <row r="84" spans="1:9" s="100" customFormat="1" ht="18.75">
      <c r="B84" s="101" t="s">
        <v>979</v>
      </c>
      <c r="C84" s="101"/>
      <c r="D84" s="2257"/>
      <c r="E84" s="2257"/>
      <c r="F84" s="2257"/>
      <c r="G84" s="2257"/>
      <c r="H84" s="2257"/>
    </row>
    <row r="85" spans="1:9" s="100" customFormat="1" ht="18.75">
      <c r="B85" s="102"/>
      <c r="C85" s="102"/>
      <c r="D85" s="103" t="s">
        <v>273</v>
      </c>
      <c r="E85" s="103" t="s">
        <v>274</v>
      </c>
      <c r="F85" s="103" t="s">
        <v>287</v>
      </c>
      <c r="G85" s="103" t="s">
        <v>275</v>
      </c>
      <c r="H85" s="103" t="s">
        <v>276</v>
      </c>
    </row>
    <row r="86" spans="1:9" s="100" customFormat="1" ht="18.75">
      <c r="A86" s="100">
        <v>1</v>
      </c>
      <c r="B86" s="104" t="s">
        <v>295</v>
      </c>
      <c r="C86" s="104" t="s">
        <v>278</v>
      </c>
      <c r="D86" s="104">
        <v>4</v>
      </c>
      <c r="E86" s="104">
        <v>1</v>
      </c>
      <c r="F86" s="122">
        <v>1</v>
      </c>
      <c r="G86" s="104">
        <v>100</v>
      </c>
      <c r="H86" s="104">
        <f>D86*E86*F86*G86</f>
        <v>400</v>
      </c>
    </row>
    <row r="87" spans="1:9" s="100" customFormat="1" ht="18.75">
      <c r="A87" s="100">
        <v>4</v>
      </c>
      <c r="B87" s="812" t="s">
        <v>422</v>
      </c>
      <c r="C87" s="104" t="s">
        <v>927</v>
      </c>
      <c r="D87" s="104">
        <v>200</v>
      </c>
      <c r="E87" s="104">
        <v>1</v>
      </c>
      <c r="F87" s="104">
        <v>1</v>
      </c>
      <c r="G87" s="104">
        <v>3</v>
      </c>
      <c r="H87" s="104">
        <f>D87*E87*F87*G87</f>
        <v>600</v>
      </c>
      <c r="I87" s="811"/>
    </row>
    <row r="88" spans="1:9" s="100" customFormat="1" ht="18.75">
      <c r="B88" s="108" t="s">
        <v>285</v>
      </c>
      <c r="C88" s="108"/>
      <c r="D88" s="108"/>
      <c r="E88" s="102"/>
      <c r="F88" s="102"/>
      <c r="G88" s="108"/>
      <c r="H88" s="109">
        <f>SUM(H86:H87)</f>
        <v>1000</v>
      </c>
      <c r="I88" s="100">
        <f>H88/4</f>
        <v>250</v>
      </c>
    </row>
    <row r="89" spans="1:9" s="100" customFormat="1" ht="18.75"/>
    <row r="90" spans="1:9" ht="18.75">
      <c r="A90" s="176"/>
      <c r="B90" s="177" t="s">
        <v>433</v>
      </c>
      <c r="C90" s="177" t="s">
        <v>434</v>
      </c>
      <c r="D90" s="177" t="s">
        <v>435</v>
      </c>
      <c r="E90" s="177">
        <v>2021</v>
      </c>
      <c r="F90" s="177">
        <v>2022</v>
      </c>
      <c r="G90" s="177">
        <v>2023</v>
      </c>
      <c r="H90" s="177">
        <v>2024</v>
      </c>
      <c r="I90" s="177">
        <v>2025</v>
      </c>
    </row>
    <row r="91" spans="1:9" ht="21.75" customHeight="1">
      <c r="A91" s="2279" t="s">
        <v>436</v>
      </c>
      <c r="B91" s="178" t="s">
        <v>45</v>
      </c>
      <c r="C91" s="179">
        <v>17100</v>
      </c>
      <c r="D91" s="180">
        <v>0.255</v>
      </c>
      <c r="E91" s="180">
        <v>0.3</v>
      </c>
      <c r="F91" s="180">
        <v>0.35</v>
      </c>
      <c r="G91" s="180">
        <v>0.4</v>
      </c>
      <c r="H91" s="180">
        <v>0.55000000000000004</v>
      </c>
      <c r="I91" s="180">
        <v>0.7</v>
      </c>
    </row>
    <row r="92" spans="1:9">
      <c r="A92" s="2279"/>
      <c r="B92" s="148" t="s">
        <v>437</v>
      </c>
      <c r="C92" s="148"/>
      <c r="D92" s="148"/>
      <c r="E92" s="148">
        <f>C91*E91</f>
        <v>5130</v>
      </c>
      <c r="F92" s="148">
        <f>C91*F91</f>
        <v>5985</v>
      </c>
      <c r="G92" s="148">
        <f>C91*G91</f>
        <v>6840</v>
      </c>
      <c r="H92" s="148">
        <f>C91*H91</f>
        <v>9405</v>
      </c>
      <c r="I92" s="148">
        <f>C91*I91</f>
        <v>11970</v>
      </c>
    </row>
    <row r="93" spans="1:9">
      <c r="A93" s="2279"/>
      <c r="B93" s="148" t="s">
        <v>438</v>
      </c>
      <c r="C93" s="148">
        <v>13000</v>
      </c>
      <c r="D93" s="148"/>
      <c r="E93" s="148">
        <f>C93*E91</f>
        <v>3900</v>
      </c>
      <c r="F93" s="148">
        <f>C93*F91</f>
        <v>4550</v>
      </c>
      <c r="G93" s="148">
        <f>C93*G91</f>
        <v>5200</v>
      </c>
      <c r="H93" s="148">
        <f>C93*H91</f>
        <v>7150.0000000000009</v>
      </c>
      <c r="I93" s="148">
        <f>C93*I91</f>
        <v>9100</v>
      </c>
    </row>
    <row r="94" spans="1:9">
      <c r="A94" s="2279"/>
      <c r="B94" s="148" t="s">
        <v>439</v>
      </c>
      <c r="C94" s="148">
        <v>4100</v>
      </c>
      <c r="D94" s="148"/>
      <c r="E94" s="148">
        <f>C94*E91</f>
        <v>1230</v>
      </c>
      <c r="F94" s="148">
        <f>C94*F91</f>
        <v>1435</v>
      </c>
      <c r="G94" s="148">
        <f>C94*G91</f>
        <v>1640</v>
      </c>
      <c r="H94" s="148">
        <f>C94*H91</f>
        <v>2255</v>
      </c>
      <c r="I94" s="148">
        <f>C94*I91</f>
        <v>2870</v>
      </c>
    </row>
    <row r="95" spans="1:9" ht="15.75">
      <c r="A95" s="2279"/>
      <c r="B95" s="181" t="s">
        <v>440</v>
      </c>
      <c r="C95" s="182">
        <v>1</v>
      </c>
      <c r="D95" s="183"/>
      <c r="E95" s="182">
        <v>0.75</v>
      </c>
      <c r="F95" s="182">
        <f>C95-F96</f>
        <v>0.7</v>
      </c>
      <c r="G95" s="182">
        <f>C95-G96</f>
        <v>0.65</v>
      </c>
      <c r="H95" s="182">
        <f>C95-H96</f>
        <v>0.6</v>
      </c>
      <c r="I95" s="182">
        <f>C95-I96</f>
        <v>0.55000000000000004</v>
      </c>
    </row>
    <row r="96" spans="1:9" ht="15.75">
      <c r="A96" s="2279"/>
      <c r="B96" s="181" t="s">
        <v>441</v>
      </c>
      <c r="C96" s="183"/>
      <c r="D96" s="183"/>
      <c r="E96" s="182">
        <f>C95-E95</f>
        <v>0.25</v>
      </c>
      <c r="F96" s="182">
        <v>0.3</v>
      </c>
      <c r="G96" s="182">
        <v>0.35</v>
      </c>
      <c r="H96" s="182">
        <v>0.4</v>
      </c>
      <c r="I96" s="182">
        <v>0.45</v>
      </c>
    </row>
    <row r="97" spans="1:9" ht="41.25" customHeight="1">
      <c r="A97" s="2241" t="s">
        <v>442</v>
      </c>
      <c r="B97" s="184" t="s">
        <v>46</v>
      </c>
      <c r="C97" s="185">
        <v>36900</v>
      </c>
      <c r="D97" s="186" t="s">
        <v>89</v>
      </c>
      <c r="E97" s="187">
        <v>0.5</v>
      </c>
      <c r="F97" s="187">
        <v>0.55000000000000004</v>
      </c>
      <c r="G97" s="187">
        <v>0.6</v>
      </c>
      <c r="H97" s="187">
        <v>0.67</v>
      </c>
      <c r="I97" s="187">
        <v>0.75</v>
      </c>
    </row>
    <row r="98" spans="1:9">
      <c r="A98" s="2241"/>
      <c r="B98" s="148" t="s">
        <v>437</v>
      </c>
      <c r="C98" s="148"/>
      <c r="D98" s="148"/>
      <c r="E98" s="148">
        <f>E99+E100</f>
        <v>18450</v>
      </c>
      <c r="F98" s="148">
        <f t="shared" ref="F98:I98" si="7">F99+F100</f>
        <v>20295.000000000004</v>
      </c>
      <c r="G98" s="148">
        <f t="shared" si="7"/>
        <v>22140</v>
      </c>
      <c r="H98" s="148">
        <f t="shared" si="7"/>
        <v>24723</v>
      </c>
      <c r="I98" s="148">
        <f t="shared" si="7"/>
        <v>27675</v>
      </c>
    </row>
    <row r="99" spans="1:9">
      <c r="A99" s="2241"/>
      <c r="B99" s="148" t="s">
        <v>438</v>
      </c>
      <c r="C99" s="148">
        <v>26100</v>
      </c>
      <c r="D99" s="148"/>
      <c r="E99" s="148">
        <f>C99*E97</f>
        <v>13050</v>
      </c>
      <c r="F99" s="148">
        <f>C99*F97</f>
        <v>14355.000000000002</v>
      </c>
      <c r="G99" s="148">
        <f>C99*G97</f>
        <v>15660</v>
      </c>
      <c r="H99" s="148">
        <f>C99*H97</f>
        <v>17487</v>
      </c>
      <c r="I99" s="148">
        <f>C99*I97</f>
        <v>19575</v>
      </c>
    </row>
    <row r="100" spans="1:9">
      <c r="A100" s="2241"/>
      <c r="B100" s="148" t="s">
        <v>439</v>
      </c>
      <c r="C100" s="148">
        <v>10800</v>
      </c>
      <c r="D100" s="148"/>
      <c r="E100" s="148">
        <f>C100*E97</f>
        <v>5400</v>
      </c>
      <c r="F100" s="148">
        <f>C100*F97</f>
        <v>5940.0000000000009</v>
      </c>
      <c r="G100" s="148">
        <f>C100*G97</f>
        <v>6480</v>
      </c>
      <c r="H100" s="148">
        <f>C100*H97</f>
        <v>7236</v>
      </c>
      <c r="I100" s="148">
        <f>C100*I97</f>
        <v>8100</v>
      </c>
    </row>
    <row r="101" spans="1:9" ht="15.75">
      <c r="A101" s="2241"/>
      <c r="B101" s="181" t="s">
        <v>440</v>
      </c>
      <c r="C101" s="182">
        <v>1</v>
      </c>
      <c r="D101" s="183"/>
      <c r="E101" s="182">
        <f>C101-E102</f>
        <v>0.75</v>
      </c>
      <c r="F101" s="182">
        <f>C101-F102</f>
        <v>0.7</v>
      </c>
      <c r="G101" s="182">
        <f>C101-G102</f>
        <v>0.65</v>
      </c>
      <c r="H101" s="182">
        <v>0.6</v>
      </c>
      <c r="I101" s="182">
        <f>C101-I102</f>
        <v>0.55000000000000004</v>
      </c>
    </row>
    <row r="102" spans="1:9" ht="15.75">
      <c r="A102" s="2241"/>
      <c r="B102" s="181" t="s">
        <v>441</v>
      </c>
      <c r="C102" s="183"/>
      <c r="D102" s="183"/>
      <c r="E102" s="182">
        <v>0.25</v>
      </c>
      <c r="F102" s="188">
        <v>0.3</v>
      </c>
      <c r="G102" s="188">
        <v>0.35</v>
      </c>
      <c r="H102" s="188">
        <v>0.4</v>
      </c>
      <c r="I102" s="188">
        <v>0.45</v>
      </c>
    </row>
    <row r="103" spans="1:9" ht="51.75" customHeight="1">
      <c r="A103" s="2242" t="s">
        <v>443</v>
      </c>
      <c r="B103" s="189" t="s">
        <v>57</v>
      </c>
      <c r="C103" s="185">
        <v>21300</v>
      </c>
      <c r="D103" s="190">
        <v>0.34399999999999997</v>
      </c>
      <c r="E103" s="187">
        <v>0.4</v>
      </c>
      <c r="F103" s="187">
        <v>0.45</v>
      </c>
      <c r="G103" s="187">
        <v>0.5</v>
      </c>
      <c r="H103" s="187">
        <v>0.6</v>
      </c>
      <c r="I103" s="187">
        <v>0.7</v>
      </c>
    </row>
    <row r="104" spans="1:9">
      <c r="A104" s="2242"/>
      <c r="B104" s="148" t="s">
        <v>437</v>
      </c>
      <c r="C104" s="148"/>
      <c r="D104" s="148"/>
      <c r="E104" s="148">
        <f>C103*E103</f>
        <v>8520</v>
      </c>
      <c r="F104" s="148">
        <f>C103*F103</f>
        <v>9585</v>
      </c>
      <c r="G104" s="148">
        <f>C103*G103</f>
        <v>10650</v>
      </c>
      <c r="H104" s="148">
        <f>C103*H103</f>
        <v>12780</v>
      </c>
      <c r="I104" s="148">
        <f>I103*C103</f>
        <v>14909.999999999998</v>
      </c>
    </row>
    <row r="105" spans="1:9">
      <c r="A105" s="2242"/>
      <c r="B105" s="148" t="s">
        <v>438</v>
      </c>
      <c r="C105" s="148">
        <v>17800</v>
      </c>
      <c r="D105" s="148"/>
      <c r="E105" s="148">
        <f>C105*E103</f>
        <v>7120</v>
      </c>
      <c r="F105" s="148">
        <f>C105*F103</f>
        <v>8010</v>
      </c>
      <c r="G105" s="148">
        <f>C105*G103</f>
        <v>8900</v>
      </c>
      <c r="H105" s="148">
        <f>C105*H103</f>
        <v>10680</v>
      </c>
      <c r="I105" s="148">
        <f>C105*I103</f>
        <v>12460</v>
      </c>
    </row>
    <row r="106" spans="1:9">
      <c r="A106" s="2242"/>
      <c r="B106" s="148" t="s">
        <v>439</v>
      </c>
      <c r="C106" s="148">
        <v>3500</v>
      </c>
      <c r="D106" s="148"/>
      <c r="E106" s="148">
        <f>C106*E103</f>
        <v>1400</v>
      </c>
      <c r="F106" s="148">
        <f>C106*F103</f>
        <v>1575</v>
      </c>
      <c r="G106" s="148">
        <f>C106*G103</f>
        <v>1750</v>
      </c>
      <c r="H106" s="148">
        <f>C106*H103</f>
        <v>2100</v>
      </c>
      <c r="I106" s="148">
        <f>C106*I103</f>
        <v>2450</v>
      </c>
    </row>
    <row r="107" spans="1:9" ht="15.75">
      <c r="A107" s="2242"/>
      <c r="B107" s="181" t="s">
        <v>440</v>
      </c>
      <c r="C107" s="182">
        <v>1</v>
      </c>
      <c r="D107" s="183"/>
      <c r="E107" s="182">
        <f>C107-E108</f>
        <v>0.75</v>
      </c>
      <c r="F107" s="182">
        <f>C107-F108</f>
        <v>0.7</v>
      </c>
      <c r="G107" s="182">
        <f>C107-G108</f>
        <v>0.65</v>
      </c>
      <c r="H107" s="182">
        <f>C107-H108</f>
        <v>0.6</v>
      </c>
      <c r="I107" s="182">
        <f>C107-I108</f>
        <v>0.55000000000000004</v>
      </c>
    </row>
    <row r="108" spans="1:9" ht="15.75">
      <c r="A108" s="2242"/>
      <c r="B108" s="181" t="s">
        <v>441</v>
      </c>
      <c r="C108" s="183"/>
      <c r="D108" s="183"/>
      <c r="E108" s="182">
        <v>0.25</v>
      </c>
      <c r="F108" s="182">
        <v>0.3</v>
      </c>
      <c r="G108" s="182">
        <v>0.35</v>
      </c>
      <c r="H108" s="182">
        <v>0.4</v>
      </c>
      <c r="I108" s="182">
        <v>0.45</v>
      </c>
    </row>
    <row r="109" spans="1:9" s="209" customFormat="1" ht="15" customHeight="1">
      <c r="A109" s="2278" t="s">
        <v>542</v>
      </c>
      <c r="B109" s="209" t="s">
        <v>540</v>
      </c>
      <c r="E109" s="87">
        <v>2130</v>
      </c>
      <c r="F109" s="87">
        <v>2485</v>
      </c>
      <c r="G109" s="87">
        <v>2840</v>
      </c>
      <c r="H109" s="87">
        <v>3195</v>
      </c>
      <c r="I109" s="87">
        <v>3550</v>
      </c>
    </row>
    <row r="110" spans="1:9" s="209" customFormat="1">
      <c r="A110" s="2278"/>
      <c r="B110" s="209" t="s">
        <v>541</v>
      </c>
      <c r="C110" s="209" t="s">
        <v>543</v>
      </c>
      <c r="E110" s="209">
        <f>ROUND(E109*0.9,0)</f>
        <v>1917</v>
      </c>
      <c r="F110" s="209">
        <f t="shared" ref="F110:I110" si="8">ROUND(F109*0.9,0)</f>
        <v>2237</v>
      </c>
      <c r="G110" s="209">
        <f t="shared" si="8"/>
        <v>2556</v>
      </c>
      <c r="H110" s="209">
        <f t="shared" si="8"/>
        <v>2876</v>
      </c>
      <c r="I110" s="209">
        <f t="shared" si="8"/>
        <v>3195</v>
      </c>
    </row>
    <row r="111" spans="1:9" s="209" customFormat="1"/>
    <row r="112" spans="1:9">
      <c r="A112" s="2243" t="s">
        <v>444</v>
      </c>
      <c r="B112" s="189" t="s">
        <v>444</v>
      </c>
      <c r="C112" s="185">
        <v>19300</v>
      </c>
      <c r="D112" s="190"/>
      <c r="E112" s="187">
        <v>0.04</v>
      </c>
      <c r="F112" s="187">
        <v>0.05</v>
      </c>
      <c r="G112" s="187">
        <v>7.0000000000000007E-2</v>
      </c>
      <c r="H112" s="187">
        <v>0.08</v>
      </c>
      <c r="I112" s="187">
        <v>0.1</v>
      </c>
    </row>
    <row r="113" spans="1:10">
      <c r="A113" s="2244"/>
      <c r="B113" s="191" t="s">
        <v>445</v>
      </c>
      <c r="C113" s="192"/>
      <c r="D113" s="192"/>
      <c r="E113" s="192">
        <f>C112*E112</f>
        <v>772</v>
      </c>
      <c r="F113" s="192">
        <f>C112*F112</f>
        <v>965</v>
      </c>
      <c r="G113" s="192">
        <f>C112*G112</f>
        <v>1351.0000000000002</v>
      </c>
      <c r="H113" s="192">
        <f>C112*H112</f>
        <v>1544</v>
      </c>
      <c r="I113" s="192">
        <f>C112*I112</f>
        <v>1930</v>
      </c>
      <c r="J113">
        <f>C115*0.035</f>
        <v>441.00000000000006</v>
      </c>
    </row>
    <row r="114" spans="1:10">
      <c r="A114" s="2244"/>
      <c r="B114" s="193"/>
      <c r="C114" s="148"/>
      <c r="D114" s="148"/>
      <c r="E114" s="148"/>
      <c r="F114" s="148"/>
      <c r="G114" s="148"/>
      <c r="H114" s="148"/>
      <c r="I114" s="148"/>
    </row>
    <row r="115" spans="1:10">
      <c r="A115" s="2244"/>
      <c r="B115" s="148" t="s">
        <v>438</v>
      </c>
      <c r="C115" s="148">
        <v>12600</v>
      </c>
      <c r="D115" s="148"/>
      <c r="E115" s="148">
        <f>C115*E112</f>
        <v>504</v>
      </c>
      <c r="F115" s="148">
        <f>C115*F112</f>
        <v>630</v>
      </c>
      <c r="G115" s="148">
        <f>C115*G112</f>
        <v>882.00000000000011</v>
      </c>
      <c r="H115" s="148">
        <f>C115*H112</f>
        <v>1008</v>
      </c>
      <c r="I115" s="148">
        <f>C115*I112</f>
        <v>1260</v>
      </c>
    </row>
    <row r="116" spans="1:10">
      <c r="A116" s="2244"/>
      <c r="B116" s="148" t="s">
        <v>439</v>
      </c>
      <c r="C116" s="148">
        <v>6700</v>
      </c>
      <c r="D116" s="148"/>
      <c r="E116" s="148">
        <v>0</v>
      </c>
      <c r="F116" s="148">
        <f>C116*F112</f>
        <v>335</v>
      </c>
      <c r="G116" s="148">
        <f>C116*G112</f>
        <v>469.00000000000006</v>
      </c>
      <c r="H116" s="148">
        <f>C116*H112</f>
        <v>536</v>
      </c>
      <c r="I116" s="148">
        <f>C116*I112</f>
        <v>670</v>
      </c>
    </row>
    <row r="117" spans="1:10">
      <c r="A117" s="2244"/>
      <c r="B117" s="148" t="s">
        <v>440</v>
      </c>
      <c r="C117" s="148"/>
      <c r="D117" s="148"/>
      <c r="E117" s="148">
        <v>0</v>
      </c>
      <c r="F117" s="148">
        <f>C116*F112</f>
        <v>335</v>
      </c>
      <c r="G117" s="148">
        <f>C116*G112</f>
        <v>469.00000000000006</v>
      </c>
      <c r="H117" s="148">
        <f>C116*H112</f>
        <v>536</v>
      </c>
      <c r="I117" s="148">
        <f>C116*I112</f>
        <v>670</v>
      </c>
    </row>
    <row r="118" spans="1:10">
      <c r="A118" s="2244"/>
      <c r="B118" s="148" t="s">
        <v>446</v>
      </c>
      <c r="C118" s="148"/>
      <c r="D118" s="148"/>
      <c r="E118" s="148">
        <f>C115*E112</f>
        <v>504</v>
      </c>
      <c r="F118" s="148">
        <f>F112*C115</f>
        <v>630</v>
      </c>
      <c r="G118" s="148">
        <f>C115*G112</f>
        <v>882.00000000000011</v>
      </c>
      <c r="H118" s="148">
        <f>C115*H112</f>
        <v>1008</v>
      </c>
      <c r="I118" s="148">
        <f>C115*I112</f>
        <v>1260</v>
      </c>
    </row>
    <row r="119" spans="1:10">
      <c r="A119" s="2245"/>
      <c r="B119" s="148"/>
      <c r="C119" s="148"/>
      <c r="D119" s="148"/>
      <c r="E119" s="148"/>
      <c r="F119" s="148"/>
      <c r="G119" s="148"/>
      <c r="H119" s="148"/>
      <c r="I119" s="148"/>
    </row>
    <row r="120" spans="1:10" ht="15.75">
      <c r="A120" s="2245"/>
      <c r="B120" s="195" t="s">
        <v>447</v>
      </c>
      <c r="C120" s="196">
        <v>0.85</v>
      </c>
      <c r="D120" s="195"/>
      <c r="E120" s="195">
        <f>E121+E122</f>
        <v>428.4</v>
      </c>
      <c r="F120" s="195">
        <f t="shared" ref="F120:I120" si="9">F121+F122</f>
        <v>870.5</v>
      </c>
      <c r="G120" s="195">
        <f t="shared" si="9"/>
        <v>1218.7</v>
      </c>
      <c r="H120" s="195">
        <f t="shared" si="9"/>
        <v>1392.8</v>
      </c>
      <c r="I120" s="195">
        <f t="shared" si="9"/>
        <v>1741</v>
      </c>
    </row>
    <row r="121" spans="1:10">
      <c r="A121" s="2245"/>
      <c r="B121" s="148" t="s">
        <v>438</v>
      </c>
      <c r="C121" s="148"/>
      <c r="D121" s="148"/>
      <c r="E121" s="148">
        <f>C115*E112*C120</f>
        <v>428.4</v>
      </c>
      <c r="F121" s="148">
        <f>C115*F112*C120</f>
        <v>535.5</v>
      </c>
      <c r="G121" s="148">
        <f>C115*G112*C120</f>
        <v>749.7</v>
      </c>
      <c r="H121" s="148">
        <f>C115*H112*C120</f>
        <v>856.8</v>
      </c>
      <c r="I121" s="148">
        <f>C115*I112*C120</f>
        <v>1071</v>
      </c>
    </row>
    <row r="122" spans="1:10">
      <c r="A122" s="2245"/>
      <c r="B122" s="148" t="s">
        <v>439</v>
      </c>
      <c r="C122" s="148"/>
      <c r="D122" s="148"/>
      <c r="E122" s="148">
        <v>0</v>
      </c>
      <c r="F122" s="148">
        <f>C116*F112</f>
        <v>335</v>
      </c>
      <c r="G122" s="148">
        <f>C116*G112</f>
        <v>469.00000000000006</v>
      </c>
      <c r="H122" s="148">
        <f>C116*H112</f>
        <v>536</v>
      </c>
      <c r="I122" s="148">
        <f>C116*I112</f>
        <v>670</v>
      </c>
    </row>
    <row r="123" spans="1:10">
      <c r="A123" s="2245"/>
      <c r="B123" s="148"/>
      <c r="C123" s="148"/>
      <c r="D123" s="148"/>
      <c r="E123" s="148"/>
      <c r="F123" s="148"/>
      <c r="G123" s="148"/>
      <c r="H123" s="148"/>
      <c r="I123" s="148"/>
    </row>
    <row r="124" spans="1:10" ht="15.75">
      <c r="A124" s="2245"/>
      <c r="B124" s="195" t="s">
        <v>448</v>
      </c>
      <c r="C124" s="196">
        <v>0.15</v>
      </c>
      <c r="D124" s="195"/>
      <c r="E124" s="195">
        <f>E115*0.15</f>
        <v>75.599999999999994</v>
      </c>
      <c r="F124" s="195">
        <f>F115*0.15</f>
        <v>94.5</v>
      </c>
      <c r="G124" s="195">
        <f>G115*0.15</f>
        <v>132.30000000000001</v>
      </c>
      <c r="H124" s="195">
        <f>H115*0.15</f>
        <v>151.19999999999999</v>
      </c>
      <c r="I124" s="195">
        <f>I115*0.15</f>
        <v>189</v>
      </c>
      <c r="J124">
        <f>J113*0.15</f>
        <v>66.150000000000006</v>
      </c>
    </row>
    <row r="125" spans="1:10">
      <c r="A125" s="2245"/>
      <c r="B125" s="148" t="s">
        <v>438</v>
      </c>
      <c r="C125" s="148"/>
      <c r="D125" s="148"/>
      <c r="E125" s="148">
        <f>E118*C124</f>
        <v>75.599999999999994</v>
      </c>
      <c r="F125" s="148">
        <f>F115*C124</f>
        <v>94.5</v>
      </c>
      <c r="G125" s="148">
        <f>G115*C124</f>
        <v>132.30000000000001</v>
      </c>
      <c r="H125" s="148">
        <f>H115*C124</f>
        <v>151.19999999999999</v>
      </c>
      <c r="I125" s="148">
        <f>I115*C124</f>
        <v>189</v>
      </c>
    </row>
    <row r="126" spans="1:10">
      <c r="A126" s="2245"/>
      <c r="B126" s="148" t="s">
        <v>439</v>
      </c>
      <c r="C126" s="148"/>
      <c r="D126" s="148"/>
      <c r="E126" s="148">
        <v>0</v>
      </c>
      <c r="F126" s="148">
        <v>0</v>
      </c>
      <c r="G126" s="148">
        <v>0</v>
      </c>
      <c r="H126" s="148">
        <v>0</v>
      </c>
      <c r="I126" s="148">
        <v>0</v>
      </c>
    </row>
    <row r="127" spans="1:10">
      <c r="A127" s="2245"/>
    </row>
    <row r="128" spans="1:10">
      <c r="A128" s="2245"/>
      <c r="B128" s="197" t="s">
        <v>449</v>
      </c>
      <c r="C128" s="198">
        <v>2021</v>
      </c>
      <c r="D128" s="198">
        <v>2022</v>
      </c>
      <c r="E128" s="198">
        <v>2023</v>
      </c>
      <c r="F128" s="198">
        <v>2024</v>
      </c>
      <c r="G128" s="198">
        <v>2025</v>
      </c>
    </row>
    <row r="129" spans="1:9">
      <c r="A129" s="2245"/>
      <c r="B129" s="185" t="s">
        <v>450</v>
      </c>
      <c r="C129" s="148">
        <f>5*4500</f>
        <v>22500</v>
      </c>
      <c r="D129" s="148">
        <f>6*4500</f>
        <v>27000</v>
      </c>
      <c r="E129" s="148">
        <f>4500*6</f>
        <v>27000</v>
      </c>
      <c r="F129" s="148">
        <f>4500*6</f>
        <v>27000</v>
      </c>
      <c r="G129" s="148">
        <f>4500*6</f>
        <v>27000</v>
      </c>
    </row>
    <row r="130" spans="1:9">
      <c r="A130" s="2245"/>
      <c r="B130" s="185" t="s">
        <v>451</v>
      </c>
      <c r="C130" s="148">
        <f>E115*0.12</f>
        <v>60.48</v>
      </c>
      <c r="D130" s="148">
        <f>F113*0.12</f>
        <v>115.8</v>
      </c>
      <c r="E130" s="148">
        <f>G113*0.12</f>
        <v>162.12000000000003</v>
      </c>
      <c r="F130" s="148">
        <f>H113*0.12</f>
        <v>185.28</v>
      </c>
      <c r="G130" s="148">
        <f>I113*0.12</f>
        <v>231.6</v>
      </c>
    </row>
    <row r="131" spans="1:9" s="969" customFormat="1">
      <c r="A131" s="2245"/>
      <c r="B131" s="185" t="s">
        <v>1106</v>
      </c>
      <c r="C131" s="148">
        <f>20000*2</f>
        <v>40000</v>
      </c>
      <c r="D131" s="148">
        <f>20000*4</f>
        <v>80000</v>
      </c>
      <c r="E131" s="148">
        <f>20000*4</f>
        <v>80000</v>
      </c>
      <c r="F131" s="148">
        <f>20000*4</f>
        <v>80000</v>
      </c>
      <c r="G131" s="148">
        <f>20000*4</f>
        <v>80000</v>
      </c>
    </row>
    <row r="132" spans="1:9" s="969" customFormat="1">
      <c r="A132" s="2245"/>
      <c r="B132" s="185" t="s">
        <v>1107</v>
      </c>
      <c r="C132" s="148">
        <f>5000*2</f>
        <v>10000</v>
      </c>
      <c r="D132" s="148">
        <f>5000*4</f>
        <v>20000</v>
      </c>
      <c r="E132" s="148">
        <f t="shared" ref="E132:G132" si="10">5000*4</f>
        <v>20000</v>
      </c>
      <c r="F132" s="148">
        <f t="shared" si="10"/>
        <v>20000</v>
      </c>
      <c r="G132" s="148">
        <f t="shared" si="10"/>
        <v>20000</v>
      </c>
      <c r="I132" s="260"/>
    </row>
    <row r="133" spans="1:9">
      <c r="A133" s="2245"/>
      <c r="B133" s="148" t="s">
        <v>452</v>
      </c>
      <c r="C133" s="148">
        <f>SUM(C129:C132)</f>
        <v>72560.479999999996</v>
      </c>
      <c r="D133" s="148">
        <f>SUM(D129:D132)</f>
        <v>127115.8</v>
      </c>
      <c r="E133" s="148">
        <f>SUM(E129:E132)</f>
        <v>127162.12</v>
      </c>
      <c r="F133" s="148">
        <f>SUM(F129:F132)</f>
        <v>127185.28</v>
      </c>
      <c r="G133" s="148">
        <f>SUM(G129:G132)</f>
        <v>127231.6</v>
      </c>
    </row>
    <row r="134" spans="1:9">
      <c r="D134">
        <f>D133/C133</f>
        <v>1.751859965645211</v>
      </c>
      <c r="E134">
        <f>E133/C133</f>
        <v>1.7524983296692636</v>
      </c>
    </row>
    <row r="136" spans="1:9">
      <c r="A136" s="199" t="s">
        <v>99</v>
      </c>
      <c r="B136" s="199" t="s">
        <v>453</v>
      </c>
      <c r="C136" s="200" t="s">
        <v>454</v>
      </c>
      <c r="D136" s="200" t="s">
        <v>455</v>
      </c>
      <c r="E136" s="201" t="s">
        <v>456</v>
      </c>
      <c r="F136" s="201" t="s">
        <v>457</v>
      </c>
      <c r="G136" s="201" t="s">
        <v>478</v>
      </c>
    </row>
    <row r="137" spans="1:9">
      <c r="A137" s="2246" t="s">
        <v>458</v>
      </c>
      <c r="B137" s="2246"/>
      <c r="C137" s="2246"/>
      <c r="D137" s="2246"/>
      <c r="E137" s="2246"/>
      <c r="F137" s="2246"/>
      <c r="G137" s="148"/>
    </row>
    <row r="138" spans="1:9">
      <c r="A138" s="154">
        <v>1</v>
      </c>
      <c r="B138" s="148" t="s">
        <v>459</v>
      </c>
      <c r="C138" s="154" t="s">
        <v>460</v>
      </c>
      <c r="D138" s="154">
        <v>12</v>
      </c>
      <c r="E138" s="202">
        <v>460</v>
      </c>
      <c r="F138" s="203">
        <f>D138*E138</f>
        <v>5520</v>
      </c>
      <c r="G138" s="148">
        <f>F138*20</f>
        <v>110400</v>
      </c>
    </row>
    <row r="139" spans="1:9">
      <c r="A139" s="154">
        <v>2</v>
      </c>
      <c r="B139" s="148" t="s">
        <v>461</v>
      </c>
      <c r="C139" s="154" t="s">
        <v>460</v>
      </c>
      <c r="D139" s="154">
        <v>12</v>
      </c>
      <c r="E139" s="202">
        <v>150</v>
      </c>
      <c r="F139" s="203">
        <f t="shared" ref="F139:F141" si="11">D139*E139</f>
        <v>1800</v>
      </c>
      <c r="G139" s="148">
        <f t="shared" ref="G139:G141" si="12">F139*20</f>
        <v>36000</v>
      </c>
    </row>
    <row r="140" spans="1:9">
      <c r="A140" s="154">
        <v>3</v>
      </c>
      <c r="B140" s="148" t="s">
        <v>462</v>
      </c>
      <c r="C140" s="154" t="s">
        <v>463</v>
      </c>
      <c r="D140" s="154">
        <v>1</v>
      </c>
      <c r="E140" s="202">
        <f>500+250</f>
        <v>750</v>
      </c>
      <c r="F140" s="203">
        <f t="shared" si="11"/>
        <v>750</v>
      </c>
      <c r="G140" s="148">
        <f t="shared" si="12"/>
        <v>15000</v>
      </c>
    </row>
    <row r="141" spans="1:9">
      <c r="A141" s="154">
        <v>4</v>
      </c>
      <c r="B141" s="148" t="s">
        <v>464</v>
      </c>
      <c r="C141" s="154" t="s">
        <v>460</v>
      </c>
      <c r="D141" s="154">
        <v>12</v>
      </c>
      <c r="E141" s="202">
        <v>150</v>
      </c>
      <c r="F141" s="203">
        <f t="shared" si="11"/>
        <v>1800</v>
      </c>
      <c r="G141" s="148">
        <f t="shared" si="12"/>
        <v>36000</v>
      </c>
    </row>
    <row r="142" spans="1:9">
      <c r="A142" s="2275" t="s">
        <v>101</v>
      </c>
      <c r="B142" s="2276"/>
      <c r="C142" s="2276"/>
      <c r="D142" s="2276"/>
      <c r="E142" s="2277"/>
      <c r="F142" s="203">
        <f>SUM(F138:F141)</f>
        <v>9870</v>
      </c>
      <c r="G142" s="148">
        <f>SUM(G138:G141)</f>
        <v>197400</v>
      </c>
    </row>
    <row r="144" spans="1:9" s="194" customFormat="1"/>
    <row r="145" spans="1:8" s="194" customFormat="1"/>
    <row r="146" spans="1:8" s="194" customFormat="1" ht="15.75">
      <c r="A146" s="194" t="s">
        <v>479</v>
      </c>
      <c r="B146" s="204" t="s">
        <v>465</v>
      </c>
      <c r="C146" s="204">
        <v>2021</v>
      </c>
      <c r="D146" s="205">
        <v>2022</v>
      </c>
      <c r="E146" s="204">
        <v>2023</v>
      </c>
      <c r="F146" s="214">
        <v>2024</v>
      </c>
      <c r="G146" s="204">
        <v>2025</v>
      </c>
      <c r="H146" s="215" t="s">
        <v>480</v>
      </c>
    </row>
    <row r="147" spans="1:8" s="194" customFormat="1" ht="15.75">
      <c r="B147" s="206" t="s">
        <v>466</v>
      </c>
      <c r="C147" s="206">
        <v>50</v>
      </c>
      <c r="D147" s="206">
        <v>60</v>
      </c>
      <c r="E147" s="206">
        <v>70</v>
      </c>
      <c r="F147" s="216">
        <v>80</v>
      </c>
      <c r="G147" s="206">
        <v>100</v>
      </c>
      <c r="H147" s="206"/>
    </row>
    <row r="148" spans="1:8" s="194" customFormat="1">
      <c r="B148" s="148" t="s">
        <v>481</v>
      </c>
      <c r="C148" s="270">
        <v>1765.5</v>
      </c>
      <c r="D148" s="270">
        <v>1765.5</v>
      </c>
      <c r="E148" s="270">
        <v>1765.5</v>
      </c>
      <c r="F148" s="270">
        <v>1765.5</v>
      </c>
      <c r="G148" s="270">
        <v>1765.5</v>
      </c>
      <c r="H148" s="148"/>
    </row>
    <row r="149" spans="1:8" s="194" customFormat="1">
      <c r="B149" s="148" t="s">
        <v>285</v>
      </c>
      <c r="C149" s="148">
        <f>C148*C147</f>
        <v>88275</v>
      </c>
      <c r="D149" s="148">
        <f t="shared" ref="D149:G149" si="13">D148*D147</f>
        <v>105930</v>
      </c>
      <c r="E149" s="148">
        <f t="shared" si="13"/>
        <v>123585</v>
      </c>
      <c r="F149" s="217">
        <f t="shared" si="13"/>
        <v>141240</v>
      </c>
      <c r="G149" s="148">
        <f t="shared" si="13"/>
        <v>176550</v>
      </c>
      <c r="H149" s="148">
        <f>C149+D149+E149+F149+G155</f>
        <v>459030</v>
      </c>
    </row>
    <row r="150" spans="1:8" s="194" customFormat="1">
      <c r="G150" s="207"/>
    </row>
    <row r="151" spans="1:8" s="194" customFormat="1">
      <c r="A151" s="218" t="s">
        <v>482</v>
      </c>
      <c r="B151" s="218"/>
      <c r="C151" s="218"/>
      <c r="D151" s="218"/>
      <c r="E151" s="218"/>
    </row>
    <row r="152" spans="1:8" s="194" customFormat="1" ht="15.75">
      <c r="A152" s="148"/>
      <c r="B152" s="219" t="s">
        <v>483</v>
      </c>
      <c r="C152" s="219" t="s">
        <v>484</v>
      </c>
      <c r="D152" s="219" t="s">
        <v>485</v>
      </c>
      <c r="E152" s="219" t="s">
        <v>486</v>
      </c>
    </row>
    <row r="153" spans="1:8" s="194" customFormat="1" ht="15.75">
      <c r="A153" s="148"/>
      <c r="B153" s="220" t="s">
        <v>487</v>
      </c>
      <c r="C153" s="148">
        <f>$C$4</f>
        <v>2000</v>
      </c>
      <c r="D153" s="148">
        <v>5</v>
      </c>
      <c r="E153" s="148">
        <f>C153*D153</f>
        <v>10000</v>
      </c>
    </row>
    <row r="154" spans="1:8" s="194" customFormat="1" ht="15.75">
      <c r="A154" s="148"/>
      <c r="B154" s="220" t="s">
        <v>487</v>
      </c>
      <c r="C154" s="148">
        <f>$C$4</f>
        <v>2000</v>
      </c>
      <c r="D154" s="148">
        <v>5</v>
      </c>
      <c r="E154" s="148">
        <f>D154*C154</f>
        <v>10000</v>
      </c>
    </row>
    <row r="155" spans="1:8" s="194" customFormat="1" ht="15.75">
      <c r="A155" s="148"/>
      <c r="B155" s="220" t="s">
        <v>488</v>
      </c>
      <c r="C155" s="148">
        <v>5000</v>
      </c>
      <c r="D155" s="148">
        <v>5</v>
      </c>
      <c r="E155" s="148">
        <f>D155*C155</f>
        <v>25000</v>
      </c>
    </row>
    <row r="156" spans="1:8" s="194" customFormat="1" ht="15.75">
      <c r="A156" s="148"/>
      <c r="B156" s="221" t="s">
        <v>489</v>
      </c>
      <c r="C156" s="148">
        <v>0</v>
      </c>
      <c r="D156" s="148">
        <v>0</v>
      </c>
      <c r="E156" s="148">
        <v>0</v>
      </c>
    </row>
    <row r="157" spans="1:8" s="194" customFormat="1">
      <c r="A157" s="148"/>
      <c r="B157" s="148" t="s">
        <v>490</v>
      </c>
      <c r="C157" s="148">
        <f>G15</f>
        <v>12180</v>
      </c>
      <c r="D157" s="148">
        <v>2</v>
      </c>
      <c r="E157" s="148">
        <f>D157*C157</f>
        <v>24360</v>
      </c>
    </row>
    <row r="158" spans="1:8" s="194" customFormat="1">
      <c r="A158" s="148"/>
      <c r="B158" s="148" t="s">
        <v>491</v>
      </c>
      <c r="C158" s="148"/>
      <c r="D158" s="148"/>
      <c r="E158" s="148">
        <f>SUM(E152:E157)</f>
        <v>69360</v>
      </c>
    </row>
    <row r="159" spans="1:8" s="194" customFormat="1"/>
    <row r="160" spans="1:8" s="194" customFormat="1" ht="15.75">
      <c r="A160" s="218" t="s">
        <v>51</v>
      </c>
      <c r="B160" s="219" t="s">
        <v>483</v>
      </c>
      <c r="C160" s="219" t="s">
        <v>484</v>
      </c>
      <c r="D160" s="219" t="s">
        <v>485</v>
      </c>
      <c r="E160" s="219" t="s">
        <v>486</v>
      </c>
    </row>
    <row r="161" spans="1:6" s="194" customFormat="1" ht="15.75">
      <c r="A161" s="148"/>
      <c r="B161" s="220" t="s">
        <v>487</v>
      </c>
      <c r="C161" s="148">
        <f>$C$4</f>
        <v>2000</v>
      </c>
      <c r="D161" s="148">
        <v>5</v>
      </c>
      <c r="E161" s="148">
        <f>C161*D161</f>
        <v>10000</v>
      </c>
    </row>
    <row r="162" spans="1:6" s="194" customFormat="1" ht="15.75">
      <c r="A162" s="148"/>
      <c r="B162" s="220" t="s">
        <v>487</v>
      </c>
      <c r="C162" s="148">
        <f>$C$4</f>
        <v>2000</v>
      </c>
      <c r="D162" s="148">
        <v>5</v>
      </c>
      <c r="E162" s="148">
        <f>C162*D162</f>
        <v>10000</v>
      </c>
    </row>
    <row r="163" spans="1:6" s="194" customFormat="1">
      <c r="A163" s="148"/>
      <c r="B163" s="148" t="s">
        <v>490</v>
      </c>
      <c r="C163" s="148">
        <f>G15</f>
        <v>12180</v>
      </c>
      <c r="D163" s="148">
        <v>1</v>
      </c>
      <c r="E163" s="148">
        <f>C163*D163</f>
        <v>12180</v>
      </c>
    </row>
    <row r="164" spans="1:6" s="194" customFormat="1">
      <c r="A164" s="148"/>
      <c r="B164" s="148" t="s">
        <v>491</v>
      </c>
      <c r="C164" s="148"/>
      <c r="D164" s="148"/>
      <c r="E164" s="148">
        <f>E161+E162+E163</f>
        <v>32180</v>
      </c>
    </row>
    <row r="165" spans="1:6" s="194" customFormat="1"/>
    <row r="166" spans="1:6" s="194" customFormat="1"/>
    <row r="167" spans="1:6" s="194" customFormat="1" ht="15.75">
      <c r="A167" s="222" t="s">
        <v>492</v>
      </c>
      <c r="B167" s="223" t="s">
        <v>483</v>
      </c>
      <c r="C167" s="223" t="s">
        <v>484</v>
      </c>
      <c r="D167" s="223" t="s">
        <v>485</v>
      </c>
      <c r="E167" s="223" t="s">
        <v>486</v>
      </c>
    </row>
    <row r="168" spans="1:6" s="194" customFormat="1" ht="15.75">
      <c r="A168" s="148"/>
      <c r="B168" s="220" t="s">
        <v>487</v>
      </c>
      <c r="C168" s="148">
        <f>$C$4</f>
        <v>2000</v>
      </c>
      <c r="D168" s="148">
        <v>15</v>
      </c>
      <c r="E168" s="148">
        <f>D168*C168</f>
        <v>30000</v>
      </c>
    </row>
    <row r="169" spans="1:6" s="194" customFormat="1" ht="15.75">
      <c r="A169" s="148"/>
      <c r="B169" s="220" t="s">
        <v>487</v>
      </c>
      <c r="C169" s="148">
        <f>$C$4</f>
        <v>2000</v>
      </c>
      <c r="D169" s="148">
        <v>15</v>
      </c>
      <c r="E169" s="148">
        <f>C169*D169</f>
        <v>30000</v>
      </c>
    </row>
    <row r="170" spans="1:6" s="194" customFormat="1">
      <c r="A170" s="148"/>
      <c r="B170" s="148" t="s">
        <v>491</v>
      </c>
      <c r="C170" s="148"/>
      <c r="D170" s="148"/>
      <c r="E170" s="148">
        <f>SUM(E168:E169)</f>
        <v>60000</v>
      </c>
    </row>
    <row r="171" spans="1:6" s="194" customFormat="1"/>
    <row r="172" spans="1:6" s="194" customFormat="1" ht="30">
      <c r="A172" s="224" t="s">
        <v>493</v>
      </c>
      <c r="B172" s="225" t="s">
        <v>494</v>
      </c>
      <c r="C172" s="226" t="s">
        <v>495</v>
      </c>
      <c r="D172" s="226" t="s">
        <v>496</v>
      </c>
      <c r="E172" s="226" t="s">
        <v>497</v>
      </c>
      <c r="F172" s="227" t="s">
        <v>498</v>
      </c>
    </row>
    <row r="173" spans="1:6" s="194" customFormat="1" ht="15.75">
      <c r="A173" s="228"/>
      <c r="B173" s="229" t="s">
        <v>499</v>
      </c>
      <c r="C173" s="230"/>
      <c r="D173" s="230"/>
      <c r="E173" s="230"/>
      <c r="F173" s="231"/>
    </row>
    <row r="174" spans="1:6" s="194" customFormat="1">
      <c r="A174" s="228"/>
      <c r="B174" s="148" t="s">
        <v>500</v>
      </c>
      <c r="C174" s="148"/>
      <c r="D174" s="148">
        <v>10.82</v>
      </c>
      <c r="E174" s="148">
        <v>4</v>
      </c>
      <c r="F174" s="232">
        <f>E174*D174</f>
        <v>43.28</v>
      </c>
    </row>
    <row r="175" spans="1:6" s="194" customFormat="1">
      <c r="A175" s="228"/>
      <c r="B175" s="148" t="s">
        <v>501</v>
      </c>
      <c r="C175" s="148"/>
      <c r="D175" s="148">
        <v>11.65</v>
      </c>
      <c r="E175" s="148">
        <v>4</v>
      </c>
      <c r="F175" s="232">
        <f>E175*D175</f>
        <v>46.6</v>
      </c>
    </row>
    <row r="176" spans="1:6" s="194" customFormat="1">
      <c r="A176" s="148"/>
      <c r="B176" s="148" t="s">
        <v>502</v>
      </c>
      <c r="C176" s="148"/>
      <c r="D176" s="148">
        <v>1.83</v>
      </c>
      <c r="E176" s="148">
        <v>2</v>
      </c>
      <c r="F176" s="232">
        <f>E176*D176</f>
        <v>3.66</v>
      </c>
    </row>
    <row r="177" spans="1:6" s="194" customFormat="1">
      <c r="A177" s="148"/>
      <c r="B177" s="148" t="s">
        <v>503</v>
      </c>
      <c r="C177" s="148"/>
      <c r="D177" s="148">
        <v>17.77</v>
      </c>
      <c r="E177" s="148">
        <v>6</v>
      </c>
      <c r="F177" s="232">
        <f>E177*D177</f>
        <v>106.62</v>
      </c>
    </row>
    <row r="178" spans="1:6" s="194" customFormat="1" ht="15.75">
      <c r="A178" s="148"/>
      <c r="B178" s="233" t="s">
        <v>504</v>
      </c>
      <c r="C178" s="234"/>
      <c r="D178" s="234"/>
      <c r="E178" s="234"/>
      <c r="F178" s="235">
        <f>SUM(F174:F177)</f>
        <v>200.16</v>
      </c>
    </row>
    <row r="179" spans="1:6" s="194" customFormat="1" ht="15.75">
      <c r="A179" s="148"/>
      <c r="B179" s="229" t="s">
        <v>505</v>
      </c>
      <c r="C179" s="230"/>
      <c r="D179" s="230"/>
      <c r="E179" s="230"/>
      <c r="F179" s="231"/>
    </row>
    <row r="180" spans="1:6" s="194" customFormat="1">
      <c r="A180" s="148"/>
      <c r="B180" s="148" t="s">
        <v>506</v>
      </c>
      <c r="C180" s="148"/>
      <c r="D180" s="148">
        <v>5</v>
      </c>
      <c r="E180" s="148">
        <v>4</v>
      </c>
      <c r="F180" s="232">
        <f>E180*D180</f>
        <v>20</v>
      </c>
    </row>
    <row r="181" spans="1:6" s="194" customFormat="1" ht="30">
      <c r="A181" s="148"/>
      <c r="B181" s="236" t="s">
        <v>507</v>
      </c>
      <c r="C181" s="148"/>
      <c r="D181" s="148">
        <v>30</v>
      </c>
      <c r="E181" s="148">
        <v>1</v>
      </c>
      <c r="F181" s="232">
        <f>E181*D181</f>
        <v>30</v>
      </c>
    </row>
    <row r="182" spans="1:6" s="194" customFormat="1" ht="15.75">
      <c r="A182" s="148"/>
      <c r="B182" s="233" t="s">
        <v>508</v>
      </c>
      <c r="C182" s="233"/>
      <c r="D182" s="233"/>
      <c r="E182" s="233"/>
      <c r="F182" s="235">
        <f>SUM(F180:F181)</f>
        <v>50</v>
      </c>
    </row>
    <row r="183" spans="1:6" s="194" customFormat="1" ht="19.5" customHeight="1" thickBot="1">
      <c r="A183" s="148"/>
      <c r="B183" s="237" t="s">
        <v>509</v>
      </c>
      <c r="C183" s="237"/>
      <c r="D183" s="237"/>
      <c r="E183" s="237"/>
      <c r="F183" s="238">
        <f>F178+F182</f>
        <v>250.16</v>
      </c>
    </row>
    <row r="184" spans="1:6" s="194" customFormat="1">
      <c r="A184" s="148"/>
      <c r="B184" s="239" t="s">
        <v>510</v>
      </c>
      <c r="C184" s="240"/>
      <c r="D184" s="222"/>
      <c r="E184" s="222"/>
      <c r="F184" s="240" t="s">
        <v>511</v>
      </c>
    </row>
    <row r="185" spans="1:6" s="194" customFormat="1" ht="15.75">
      <c r="A185" s="148"/>
      <c r="B185" s="241" t="s">
        <v>499</v>
      </c>
      <c r="C185" s="206"/>
      <c r="D185" s="148"/>
      <c r="E185" s="148"/>
      <c r="F185" s="206"/>
    </row>
    <row r="186" spans="1:6" s="194" customFormat="1">
      <c r="A186" s="148"/>
      <c r="B186" s="148" t="s">
        <v>512</v>
      </c>
      <c r="C186" s="148"/>
      <c r="D186" s="148"/>
      <c r="E186" s="148"/>
      <c r="F186" s="148">
        <v>43.31</v>
      </c>
    </row>
    <row r="187" spans="1:6" s="194" customFormat="1">
      <c r="A187" s="148"/>
      <c r="B187" s="148" t="s">
        <v>513</v>
      </c>
      <c r="C187" s="148"/>
      <c r="D187" s="148"/>
      <c r="E187" s="148"/>
      <c r="F187" s="148">
        <v>28.99</v>
      </c>
    </row>
    <row r="188" spans="1:6" s="194" customFormat="1">
      <c r="A188" s="148"/>
      <c r="B188" s="148" t="s">
        <v>514</v>
      </c>
      <c r="C188" s="148"/>
      <c r="D188" s="148"/>
      <c r="E188" s="148"/>
      <c r="F188" s="148">
        <v>26.82</v>
      </c>
    </row>
    <row r="189" spans="1:6" s="194" customFormat="1">
      <c r="A189" s="148"/>
      <c r="B189" s="148" t="s">
        <v>515</v>
      </c>
      <c r="C189" s="148"/>
      <c r="D189" s="148"/>
      <c r="E189" s="148"/>
      <c r="F189" s="148">
        <v>24.53</v>
      </c>
    </row>
    <row r="190" spans="1:6" s="194" customFormat="1">
      <c r="A190" s="148"/>
      <c r="B190" s="148" t="s">
        <v>516</v>
      </c>
      <c r="C190" s="148"/>
      <c r="D190" s="148"/>
      <c r="E190" s="148"/>
      <c r="F190" s="148">
        <v>22.71</v>
      </c>
    </row>
    <row r="191" spans="1:6" s="194" customFormat="1" ht="15.75">
      <c r="A191" s="148"/>
      <c r="B191" s="242" t="s">
        <v>517</v>
      </c>
      <c r="C191" s="242"/>
      <c r="D191" s="243"/>
      <c r="E191" s="243"/>
      <c r="F191" s="242">
        <f>SUM(F186:F190)</f>
        <v>146.36000000000001</v>
      </c>
    </row>
    <row r="192" spans="1:6" s="194" customFormat="1">
      <c r="A192" s="148"/>
      <c r="B192" s="148" t="s">
        <v>518</v>
      </c>
      <c r="C192" s="148"/>
      <c r="D192" s="148"/>
      <c r="E192" s="148"/>
      <c r="F192" s="148">
        <v>146.36000000000001</v>
      </c>
    </row>
    <row r="193" spans="1:7" s="194" customFormat="1">
      <c r="A193" s="244"/>
      <c r="B193" s="245" t="s">
        <v>519</v>
      </c>
      <c r="C193" s="245"/>
      <c r="D193" s="245"/>
      <c r="E193" s="245"/>
      <c r="F193" s="245">
        <f>F191+F192</f>
        <v>292.72000000000003</v>
      </c>
    </row>
    <row r="194" spans="1:7" s="194" customFormat="1" ht="18.75">
      <c r="A194" s="246"/>
      <c r="B194" s="246" t="s">
        <v>101</v>
      </c>
      <c r="C194" s="246"/>
      <c r="D194" s="246"/>
      <c r="E194" s="246"/>
      <c r="F194" s="246">
        <f>F183+F193</f>
        <v>542.88</v>
      </c>
    </row>
    <row r="195" spans="1:7" s="194" customFormat="1"/>
    <row r="196" spans="1:7" s="194" customFormat="1">
      <c r="A196" s="247" t="s">
        <v>520</v>
      </c>
      <c r="B196" s="247" t="s">
        <v>521</v>
      </c>
      <c r="C196" s="247"/>
      <c r="D196" s="247"/>
      <c r="E196" s="247"/>
      <c r="F196" s="247"/>
      <c r="G196" s="247"/>
    </row>
    <row r="197" spans="1:7" s="194" customFormat="1" ht="15.75">
      <c r="B197" s="223" t="s">
        <v>483</v>
      </c>
      <c r="C197" s="223"/>
      <c r="D197" s="2272" t="s">
        <v>522</v>
      </c>
      <c r="E197" s="2273"/>
      <c r="F197" s="2273"/>
      <c r="G197" s="2274"/>
    </row>
    <row r="198" spans="1:7" s="194" customFormat="1">
      <c r="B198" s="248"/>
      <c r="C198" s="249">
        <v>2021</v>
      </c>
      <c r="D198" s="249">
        <v>2022</v>
      </c>
      <c r="E198" s="249">
        <v>2023</v>
      </c>
      <c r="F198" s="249">
        <v>2024</v>
      </c>
      <c r="G198" s="249">
        <v>2025</v>
      </c>
    </row>
    <row r="199" spans="1:7" s="194" customFormat="1">
      <c r="B199" s="148"/>
      <c r="C199" s="154" t="s">
        <v>523</v>
      </c>
      <c r="D199" s="148"/>
      <c r="E199" s="148"/>
      <c r="F199" s="148"/>
      <c r="G199" s="148"/>
    </row>
    <row r="200" spans="1:7" s="194" customFormat="1">
      <c r="B200" s="148" t="s">
        <v>524</v>
      </c>
      <c r="C200" s="154">
        <f>H28</f>
        <v>16947</v>
      </c>
      <c r="D200" s="154"/>
      <c r="E200" s="154"/>
      <c r="F200" s="154"/>
      <c r="G200" s="154"/>
    </row>
    <row r="201" spans="1:7" s="194" customFormat="1">
      <c r="B201" s="148" t="s">
        <v>525</v>
      </c>
      <c r="C201" s="154">
        <v>800</v>
      </c>
      <c r="D201" s="154">
        <v>500</v>
      </c>
      <c r="E201" s="154">
        <v>1500</v>
      </c>
      <c r="F201" s="154">
        <v>2500</v>
      </c>
      <c r="G201" s="154">
        <v>3000</v>
      </c>
    </row>
    <row r="202" spans="1:7" s="194" customFormat="1">
      <c r="B202" s="148" t="s">
        <v>526</v>
      </c>
      <c r="C202" s="148"/>
      <c r="D202" s="148">
        <f>D201*C201</f>
        <v>400000</v>
      </c>
      <c r="E202" s="148">
        <f>E201*C201</f>
        <v>1200000</v>
      </c>
      <c r="F202" s="148">
        <f>F201*C201</f>
        <v>2000000</v>
      </c>
      <c r="G202" s="148">
        <f>G201*C201</f>
        <v>2400000</v>
      </c>
    </row>
    <row r="203" spans="1:7" s="194" customFormat="1"/>
    <row r="204" spans="1:7" s="194" customFormat="1"/>
    <row r="205" spans="1:7" s="194" customFormat="1" ht="28.5">
      <c r="A205" s="148" t="s">
        <v>527</v>
      </c>
      <c r="B205" s="250" t="s">
        <v>99</v>
      </c>
      <c r="C205" s="250" t="s">
        <v>528</v>
      </c>
      <c r="D205" s="250" t="s">
        <v>529</v>
      </c>
      <c r="E205" s="250" t="s">
        <v>530</v>
      </c>
      <c r="F205" s="250" t="s">
        <v>531</v>
      </c>
      <c r="G205" s="250" t="s">
        <v>532</v>
      </c>
    </row>
    <row r="206" spans="1:7" s="194" customFormat="1">
      <c r="A206" s="148"/>
      <c r="B206" s="251" t="s">
        <v>533</v>
      </c>
      <c r="C206" s="252">
        <v>23</v>
      </c>
      <c r="D206" s="252">
        <v>33</v>
      </c>
      <c r="E206" s="252">
        <v>7112</v>
      </c>
      <c r="F206" s="253">
        <v>401.9</v>
      </c>
      <c r="G206" s="253">
        <f>E206*F206</f>
        <v>2858312.8</v>
      </c>
    </row>
    <row r="207" spans="1:7" s="194" customFormat="1">
      <c r="A207" s="148"/>
      <c r="B207" s="251" t="s">
        <v>534</v>
      </c>
      <c r="C207" s="252">
        <v>23</v>
      </c>
      <c r="D207" s="252">
        <v>33</v>
      </c>
      <c r="E207" s="252">
        <v>10700</v>
      </c>
      <c r="F207" s="252">
        <v>401.9</v>
      </c>
      <c r="G207" s="252">
        <f>F207*E207</f>
        <v>4300330</v>
      </c>
    </row>
    <row r="208" spans="1:7" s="194" customFormat="1">
      <c r="A208" s="148"/>
      <c r="B208" s="251" t="s">
        <v>535</v>
      </c>
      <c r="C208" s="252">
        <v>23</v>
      </c>
      <c r="D208" s="252">
        <v>33</v>
      </c>
      <c r="E208" s="252">
        <v>14300</v>
      </c>
      <c r="F208" s="252">
        <v>401.9</v>
      </c>
      <c r="G208" s="252">
        <f>F208*E208</f>
        <v>5747170</v>
      </c>
    </row>
    <row r="209" spans="1:8" s="194" customFormat="1">
      <c r="A209" s="148"/>
      <c r="B209" s="2268" t="s">
        <v>536</v>
      </c>
      <c r="C209" s="2268"/>
      <c r="D209" s="2268"/>
      <c r="E209" s="2268"/>
      <c r="F209" s="2268"/>
      <c r="G209" s="2268"/>
    </row>
    <row r="210" spans="1:8" s="194" customFormat="1" ht="35.25" customHeight="1">
      <c r="A210" s="148"/>
      <c r="B210" s="2268" t="s">
        <v>537</v>
      </c>
      <c r="C210" s="2269"/>
      <c r="D210" s="2269"/>
      <c r="E210" s="2269"/>
      <c r="F210" s="2269"/>
      <c r="G210" s="2269"/>
    </row>
    <row r="211" spans="1:8" s="194" customFormat="1"/>
    <row r="212" spans="1:8" s="194" customFormat="1"/>
    <row r="213" spans="1:8" ht="15.75" thickBot="1">
      <c r="G213" s="207"/>
    </row>
    <row r="214" spans="1:8" s="100" customFormat="1" ht="18.75">
      <c r="B214" s="2270" t="s">
        <v>404</v>
      </c>
      <c r="C214" s="163">
        <v>2020</v>
      </c>
      <c r="D214" s="163">
        <v>2021</v>
      </c>
      <c r="E214" s="163">
        <v>2022</v>
      </c>
      <c r="F214" s="163">
        <v>2023</v>
      </c>
      <c r="G214" s="163">
        <v>2024</v>
      </c>
      <c r="H214" s="164">
        <v>2025</v>
      </c>
    </row>
    <row r="215" spans="1:8" s="100" customFormat="1" ht="19.5" thickBot="1">
      <c r="B215" s="2271"/>
      <c r="C215" s="165">
        <v>130</v>
      </c>
      <c r="D215" s="165">
        <v>220</v>
      </c>
      <c r="E215" s="165">
        <v>330</v>
      </c>
      <c r="F215" s="165">
        <v>495</v>
      </c>
      <c r="G215" s="165">
        <v>745</v>
      </c>
      <c r="H215" s="166">
        <v>1120</v>
      </c>
    </row>
    <row r="216" spans="1:8" s="100" customFormat="1" ht="18.75"/>
    <row r="217" spans="1:8" s="100" customFormat="1" ht="19.5" thickBot="1">
      <c r="B217" s="125" t="s">
        <v>406</v>
      </c>
      <c r="C217" s="165" t="s">
        <v>407</v>
      </c>
      <c r="D217" s="165">
        <v>1176</v>
      </c>
    </row>
    <row r="218" spans="1:8" s="100" customFormat="1" ht="19.5" thickBot="1"/>
    <row r="219" spans="1:8" s="100" customFormat="1" ht="18.75">
      <c r="B219" s="2270" t="s">
        <v>396</v>
      </c>
      <c r="C219" s="163">
        <v>2020</v>
      </c>
      <c r="D219" s="163">
        <v>2021</v>
      </c>
      <c r="E219" s="163">
        <v>2022</v>
      </c>
      <c r="F219" s="163">
        <v>2023</v>
      </c>
      <c r="G219" s="163">
        <v>2024</v>
      </c>
      <c r="H219" s="164">
        <v>2025</v>
      </c>
    </row>
    <row r="220" spans="1:8" s="100" customFormat="1" ht="19.5" thickBot="1">
      <c r="B220" s="2271"/>
      <c r="C220" s="165">
        <v>220</v>
      </c>
      <c r="D220" s="165">
        <v>225</v>
      </c>
      <c r="E220" s="165">
        <v>230</v>
      </c>
      <c r="F220" s="165">
        <v>235</v>
      </c>
      <c r="G220" s="165">
        <v>240</v>
      </c>
      <c r="H220" s="166">
        <v>245</v>
      </c>
    </row>
    <row r="221" spans="1:8" s="100" customFormat="1" ht="18.75"/>
    <row r="222" spans="1:8" s="100" customFormat="1" ht="19.5" thickBot="1"/>
    <row r="223" spans="1:8" s="100" customFormat="1" ht="18.75">
      <c r="B223" s="125" t="s">
        <v>399</v>
      </c>
      <c r="C223" s="147"/>
    </row>
    <row r="224" spans="1:8" s="100" customFormat="1" ht="18.75">
      <c r="B224" s="105" t="s">
        <v>173</v>
      </c>
      <c r="C224" s="149">
        <v>135</v>
      </c>
    </row>
    <row r="225" spans="1:11" s="100" customFormat="1" ht="18.75">
      <c r="B225" s="105" t="s">
        <v>400</v>
      </c>
      <c r="C225" s="149">
        <v>125</v>
      </c>
    </row>
    <row r="226" spans="1:11" s="100" customFormat="1" ht="18.75">
      <c r="B226" s="105" t="s">
        <v>401</v>
      </c>
      <c r="C226" s="149">
        <v>55</v>
      </c>
    </row>
    <row r="227" spans="1:11" s="100" customFormat="1" ht="18.75">
      <c r="B227" s="105" t="s">
        <v>402</v>
      </c>
      <c r="C227" s="149">
        <v>40</v>
      </c>
    </row>
    <row r="228" spans="1:11" s="100" customFormat="1" ht="19.5" thickBot="1">
      <c r="B228" s="150" t="s">
        <v>239</v>
      </c>
      <c r="C228" s="152">
        <f>C224+C225+C226+C227</f>
        <v>355</v>
      </c>
    </row>
    <row r="229" spans="1:11" s="100" customFormat="1" ht="18.75"/>
    <row r="230" spans="1:11" ht="18.75">
      <c r="A230" s="113"/>
      <c r="B230" s="113"/>
      <c r="C230" s="113"/>
      <c r="D230" s="113"/>
      <c r="E230" s="113"/>
      <c r="F230" s="113"/>
      <c r="G230" s="113"/>
      <c r="H230" s="113"/>
      <c r="I230" s="113"/>
      <c r="J230" s="113"/>
      <c r="K230" s="113"/>
    </row>
    <row r="231" spans="1:11" ht="18.75">
      <c r="A231" s="113"/>
      <c r="B231" s="125" t="s">
        <v>303</v>
      </c>
      <c r="C231" s="125">
        <v>2019</v>
      </c>
      <c r="D231" s="125">
        <v>2020</v>
      </c>
      <c r="E231" s="125">
        <v>2021</v>
      </c>
      <c r="F231" s="125">
        <v>2022</v>
      </c>
      <c r="G231" s="125">
        <v>2023</v>
      </c>
      <c r="H231" s="125">
        <v>2024</v>
      </c>
      <c r="I231" s="125">
        <v>2025</v>
      </c>
      <c r="J231" s="113"/>
      <c r="K231" s="113"/>
    </row>
    <row r="232" spans="1:11" ht="18.75">
      <c r="A232" s="113"/>
      <c r="B232" s="105" t="s">
        <v>158</v>
      </c>
      <c r="C232" s="105">
        <v>14589</v>
      </c>
      <c r="D232" s="105">
        <v>14650</v>
      </c>
      <c r="E232" s="105">
        <v>14597</v>
      </c>
      <c r="F232" s="105">
        <v>14534</v>
      </c>
      <c r="G232" s="105">
        <v>14477</v>
      </c>
      <c r="H232" s="105">
        <v>14428</v>
      </c>
      <c r="I232" s="105">
        <v>14387</v>
      </c>
      <c r="J232" s="113"/>
      <c r="K232" s="113"/>
    </row>
    <row r="233" spans="1:11" ht="18.75">
      <c r="A233" s="113"/>
      <c r="B233" s="105" t="s">
        <v>159</v>
      </c>
      <c r="C233" s="124">
        <f>C232*0.9</f>
        <v>13130.1</v>
      </c>
      <c r="D233" s="124">
        <f t="shared" ref="D233:I235" si="14">D232*0.9</f>
        <v>13185</v>
      </c>
      <c r="E233" s="124">
        <f t="shared" si="14"/>
        <v>13137.300000000001</v>
      </c>
      <c r="F233" s="124">
        <f t="shared" si="14"/>
        <v>13080.6</v>
      </c>
      <c r="G233" s="124">
        <f t="shared" si="14"/>
        <v>13029.300000000001</v>
      </c>
      <c r="H233" s="124">
        <f t="shared" si="14"/>
        <v>12985.2</v>
      </c>
      <c r="I233" s="124">
        <f t="shared" si="14"/>
        <v>12948.300000000001</v>
      </c>
      <c r="J233" s="113"/>
      <c r="K233" s="113"/>
    </row>
    <row r="234" spans="1:11" ht="18.75">
      <c r="A234" s="113"/>
      <c r="B234" s="105" t="s">
        <v>160</v>
      </c>
      <c r="C234" s="124">
        <f>C233*0.9</f>
        <v>11817.09</v>
      </c>
      <c r="D234" s="124">
        <f t="shared" si="14"/>
        <v>11866.5</v>
      </c>
      <c r="E234" s="124">
        <f t="shared" si="14"/>
        <v>11823.570000000002</v>
      </c>
      <c r="F234" s="124">
        <f t="shared" si="14"/>
        <v>11772.54</v>
      </c>
      <c r="G234" s="124">
        <f t="shared" si="14"/>
        <v>11726.37</v>
      </c>
      <c r="H234" s="124">
        <f t="shared" si="14"/>
        <v>11686.68</v>
      </c>
      <c r="I234" s="124">
        <f t="shared" si="14"/>
        <v>11653.470000000001</v>
      </c>
      <c r="J234" s="113"/>
      <c r="K234" s="113"/>
    </row>
    <row r="235" spans="1:11" ht="18.75">
      <c r="A235" s="113"/>
      <c r="B235" s="105" t="s">
        <v>161</v>
      </c>
      <c r="C235" s="124">
        <f>C234*0.9</f>
        <v>10635.381000000001</v>
      </c>
      <c r="D235" s="124">
        <f t="shared" si="14"/>
        <v>10679.85</v>
      </c>
      <c r="E235" s="124">
        <f t="shared" si="14"/>
        <v>10641.213000000002</v>
      </c>
      <c r="F235" s="124">
        <f t="shared" si="14"/>
        <v>10595.286000000002</v>
      </c>
      <c r="G235" s="124">
        <f t="shared" si="14"/>
        <v>10553.733</v>
      </c>
      <c r="H235" s="124">
        <f t="shared" si="14"/>
        <v>10518.012000000001</v>
      </c>
      <c r="I235" s="124">
        <f t="shared" si="14"/>
        <v>10488.123000000001</v>
      </c>
      <c r="J235" s="113"/>
      <c r="K235" s="113"/>
    </row>
    <row r="236" spans="1:11" ht="18.75">
      <c r="A236" s="113"/>
      <c r="B236" s="113"/>
      <c r="C236" s="113"/>
      <c r="D236" s="113"/>
      <c r="E236" s="113"/>
      <c r="F236" s="113"/>
      <c r="G236" s="113"/>
      <c r="H236" s="113"/>
      <c r="I236" s="113"/>
      <c r="J236" s="113"/>
      <c r="K236" s="113"/>
    </row>
    <row r="237" spans="1:11" ht="18.75">
      <c r="A237" s="113"/>
      <c r="B237" s="105" t="s">
        <v>298</v>
      </c>
      <c r="C237" s="105">
        <v>6690</v>
      </c>
      <c r="D237" s="105">
        <f>C237+825</f>
        <v>7515</v>
      </c>
      <c r="E237" s="105">
        <f>D237+825</f>
        <v>8340</v>
      </c>
      <c r="F237" s="105">
        <f>E237+825</f>
        <v>9165</v>
      </c>
      <c r="G237" s="105">
        <f>F237+825</f>
        <v>9990</v>
      </c>
      <c r="H237" s="105">
        <f>G237+825</f>
        <v>10815</v>
      </c>
      <c r="I237" s="105">
        <v>11653</v>
      </c>
      <c r="J237" s="113"/>
      <c r="K237" s="113"/>
    </row>
    <row r="238" spans="1:11" ht="18.75">
      <c r="A238" s="113"/>
      <c r="B238" s="107" t="s">
        <v>297</v>
      </c>
      <c r="C238" s="107">
        <f t="shared" ref="C238:I238" si="15">C237/C232</f>
        <v>0.45856467201316059</v>
      </c>
      <c r="D238" s="107">
        <f t="shared" si="15"/>
        <v>0.51296928327645053</v>
      </c>
      <c r="E238" s="107">
        <f t="shared" si="15"/>
        <v>0.57135027745427147</v>
      </c>
      <c r="F238" s="107">
        <f t="shared" si="15"/>
        <v>0.63059033989266544</v>
      </c>
      <c r="G238" s="107">
        <f t="shared" si="15"/>
        <v>0.69006009532361678</v>
      </c>
      <c r="H238" s="107">
        <f t="shared" si="15"/>
        <v>0.7495841419462157</v>
      </c>
      <c r="I238" s="107">
        <f t="shared" si="15"/>
        <v>0.80996733161882251</v>
      </c>
      <c r="J238" s="114"/>
      <c r="K238" s="114"/>
    </row>
    <row r="239" spans="1:11" ht="18.75">
      <c r="A239" s="113"/>
      <c r="B239" s="105" t="s">
        <v>162</v>
      </c>
      <c r="C239" s="105">
        <v>75</v>
      </c>
      <c r="D239" s="105">
        <v>75</v>
      </c>
      <c r="E239" s="105">
        <v>75</v>
      </c>
      <c r="F239" s="105">
        <v>75</v>
      </c>
      <c r="G239" s="105">
        <v>75</v>
      </c>
      <c r="H239" s="105">
        <v>75</v>
      </c>
      <c r="I239" s="105">
        <v>75</v>
      </c>
      <c r="J239" s="113"/>
      <c r="K239" s="113"/>
    </row>
    <row r="240" spans="1:11" ht="18.75">
      <c r="A240" s="113"/>
      <c r="B240" s="105" t="s">
        <v>163</v>
      </c>
      <c r="C240" s="105">
        <f>C237-C239</f>
        <v>6615</v>
      </c>
      <c r="D240" s="105">
        <f t="shared" ref="D240:I240" si="16">D237-D239</f>
        <v>7440</v>
      </c>
      <c r="E240" s="105">
        <f t="shared" si="16"/>
        <v>8265</v>
      </c>
      <c r="F240" s="105">
        <f t="shared" si="16"/>
        <v>9090</v>
      </c>
      <c r="G240" s="105">
        <f t="shared" si="16"/>
        <v>9915</v>
      </c>
      <c r="H240" s="105">
        <f t="shared" si="16"/>
        <v>10740</v>
      </c>
      <c r="I240" s="105">
        <f t="shared" si="16"/>
        <v>11578</v>
      </c>
      <c r="J240" s="113"/>
      <c r="K240" s="113"/>
    </row>
    <row r="241" spans="1:13" ht="18.75">
      <c r="A241" s="113"/>
      <c r="B241" s="105" t="s">
        <v>164</v>
      </c>
      <c r="C241" s="124">
        <f>C240*0.89</f>
        <v>5887.35</v>
      </c>
      <c r="D241" s="124">
        <f t="shared" ref="D241:I241" si="17">D240*0.89</f>
        <v>6621.6</v>
      </c>
      <c r="E241" s="124">
        <f t="shared" si="17"/>
        <v>7355.85</v>
      </c>
      <c r="F241" s="124">
        <f t="shared" si="17"/>
        <v>8090.1</v>
      </c>
      <c r="G241" s="124">
        <f t="shared" si="17"/>
        <v>8824.35</v>
      </c>
      <c r="H241" s="124">
        <f t="shared" si="17"/>
        <v>9558.6</v>
      </c>
      <c r="I241" s="124">
        <f t="shared" si="17"/>
        <v>10304.42</v>
      </c>
      <c r="J241" s="113"/>
      <c r="K241" s="113"/>
    </row>
    <row r="242" spans="1:13" ht="18.75">
      <c r="A242" s="113"/>
      <c r="B242" s="105" t="s">
        <v>165</v>
      </c>
      <c r="C242" s="124">
        <f>C240*0.1</f>
        <v>661.5</v>
      </c>
      <c r="D242" s="124">
        <f t="shared" ref="D242:I242" si="18">D240*0.1</f>
        <v>744</v>
      </c>
      <c r="E242" s="124">
        <f t="shared" si="18"/>
        <v>826.5</v>
      </c>
      <c r="F242" s="124">
        <f t="shared" si="18"/>
        <v>909</v>
      </c>
      <c r="G242" s="124">
        <f t="shared" si="18"/>
        <v>991.5</v>
      </c>
      <c r="H242" s="124">
        <f t="shared" si="18"/>
        <v>1074</v>
      </c>
      <c r="I242" s="124">
        <f t="shared" si="18"/>
        <v>1157.8</v>
      </c>
      <c r="J242" s="113"/>
      <c r="K242" s="113"/>
    </row>
    <row r="243" spans="1:13" ht="18.75">
      <c r="A243" s="113"/>
      <c r="B243" s="105" t="s">
        <v>166</v>
      </c>
      <c r="C243" s="124">
        <f>C240-C241-C242</f>
        <v>66.149999999999636</v>
      </c>
      <c r="D243" s="124">
        <f t="shared" ref="D243:I243" si="19">D240-D241-D242</f>
        <v>74.399999999999636</v>
      </c>
      <c r="E243" s="124">
        <f t="shared" si="19"/>
        <v>82.649999999999636</v>
      </c>
      <c r="F243" s="124">
        <f t="shared" si="19"/>
        <v>90.899999999999636</v>
      </c>
      <c r="G243" s="124">
        <f t="shared" si="19"/>
        <v>99.149999999999636</v>
      </c>
      <c r="H243" s="124">
        <f t="shared" si="19"/>
        <v>107.39999999999964</v>
      </c>
      <c r="I243" s="124">
        <f t="shared" si="19"/>
        <v>115.77999999999997</v>
      </c>
      <c r="J243" s="113"/>
      <c r="K243" s="113"/>
    </row>
    <row r="244" spans="1:13" ht="18.75">
      <c r="A244" s="113"/>
      <c r="B244" s="105" t="s">
        <v>167</v>
      </c>
      <c r="C244" s="124">
        <v>2000</v>
      </c>
      <c r="D244" s="124">
        <v>2000</v>
      </c>
      <c r="E244" s="124">
        <v>2000</v>
      </c>
      <c r="F244" s="124">
        <v>2000</v>
      </c>
      <c r="G244" s="124">
        <v>2000</v>
      </c>
      <c r="H244" s="124">
        <v>2000</v>
      </c>
      <c r="I244" s="124">
        <v>2000</v>
      </c>
      <c r="J244" s="113"/>
      <c r="K244" s="113"/>
    </row>
    <row r="245" spans="1:13" ht="18.75">
      <c r="A245" s="113"/>
      <c r="B245" s="126"/>
      <c r="C245" s="127"/>
      <c r="D245" s="127"/>
      <c r="E245" s="127"/>
      <c r="F245" s="127"/>
      <c r="G245" s="127"/>
      <c r="H245" s="127"/>
      <c r="I245" s="127"/>
      <c r="J245" s="113"/>
      <c r="K245" s="113"/>
    </row>
    <row r="246" spans="1:13" ht="18.75">
      <c r="A246" s="113"/>
      <c r="B246" s="105" t="s">
        <v>172</v>
      </c>
      <c r="C246" s="105">
        <v>2608</v>
      </c>
      <c r="D246" s="105">
        <v>2608</v>
      </c>
      <c r="E246" s="105">
        <v>2608</v>
      </c>
      <c r="F246" s="105">
        <v>2608</v>
      </c>
      <c r="G246" s="105">
        <v>2608</v>
      </c>
      <c r="H246" s="105">
        <v>2608</v>
      </c>
      <c r="I246" s="105">
        <v>2608</v>
      </c>
      <c r="J246" s="113"/>
      <c r="K246" s="113"/>
    </row>
    <row r="247" spans="1:13" ht="18.75">
      <c r="A247" s="113"/>
      <c r="B247" s="113"/>
      <c r="C247" s="113"/>
      <c r="D247" s="113"/>
      <c r="E247" s="113"/>
      <c r="F247" s="113"/>
      <c r="G247" s="113"/>
      <c r="H247" s="113"/>
      <c r="I247" s="113"/>
      <c r="J247" s="113"/>
      <c r="K247" s="113"/>
    </row>
    <row r="248" spans="1:13" ht="18.75">
      <c r="A248" s="113"/>
      <c r="B248" s="115"/>
      <c r="C248" s="113"/>
      <c r="D248" s="113"/>
      <c r="E248" s="113"/>
      <c r="F248" s="113"/>
      <c r="G248" s="113"/>
      <c r="H248" s="113"/>
      <c r="I248" s="113"/>
      <c r="J248" s="113"/>
      <c r="K248" s="113"/>
    </row>
    <row r="249" spans="1:13" ht="18.75">
      <c r="A249" s="113"/>
      <c r="B249" s="105" t="s">
        <v>168</v>
      </c>
      <c r="C249" s="105">
        <f>(D250*C250+D251*C251)</f>
        <v>1479.6000000000001</v>
      </c>
      <c r="D249" s="105"/>
      <c r="E249" s="113"/>
      <c r="F249" s="116" t="s">
        <v>178</v>
      </c>
      <c r="G249" s="117" t="s">
        <v>179</v>
      </c>
      <c r="H249" s="118">
        <f>(2*0.3+4*0.7)*365</f>
        <v>1241</v>
      </c>
      <c r="I249" s="118">
        <f>4*365</f>
        <v>1460</v>
      </c>
      <c r="J249" s="118">
        <v>0.9</v>
      </c>
      <c r="K249" s="118">
        <f>H254*H249+H255*I249</f>
        <v>9176.1</v>
      </c>
      <c r="L249" s="2255">
        <v>0.4</v>
      </c>
      <c r="M249" s="118">
        <f>L249*0.9</f>
        <v>0.36000000000000004</v>
      </c>
    </row>
    <row r="250" spans="1:13" ht="18.75">
      <c r="A250" s="113"/>
      <c r="B250" s="105" t="s">
        <v>173</v>
      </c>
      <c r="C250" s="105">
        <v>0.1</v>
      </c>
      <c r="D250" s="105">
        <f>135*12</f>
        <v>1620</v>
      </c>
      <c r="E250" s="113"/>
      <c r="F250" s="119" t="s">
        <v>178</v>
      </c>
      <c r="G250" s="120" t="s">
        <v>180</v>
      </c>
      <c r="H250" s="111">
        <f>(2*0.3+4*0.7)*365</f>
        <v>1241</v>
      </c>
      <c r="I250" s="111">
        <f>4*365</f>
        <v>1460</v>
      </c>
      <c r="J250" s="111">
        <v>0.1</v>
      </c>
      <c r="K250" s="111">
        <f>H257*H250+I250*H255</f>
        <v>7811</v>
      </c>
      <c r="L250" s="2256"/>
      <c r="M250" s="111">
        <f>L249*0.1</f>
        <v>4.0000000000000008E-2</v>
      </c>
    </row>
    <row r="251" spans="1:13" ht="18.75">
      <c r="A251" s="113"/>
      <c r="B251" s="105" t="s">
        <v>174</v>
      </c>
      <c r="C251" s="105">
        <v>0.9</v>
      </c>
      <c r="D251" s="105">
        <f>122*12</f>
        <v>1464</v>
      </c>
      <c r="E251" s="113"/>
      <c r="F251" s="121" t="s">
        <v>181</v>
      </c>
      <c r="G251" s="120" t="s">
        <v>182</v>
      </c>
      <c r="H251" s="111">
        <f>6*30*12</f>
        <v>2160</v>
      </c>
      <c r="I251" s="111">
        <f>4*30*12</f>
        <v>1440</v>
      </c>
      <c r="J251" s="111">
        <v>0.9</v>
      </c>
      <c r="K251" s="111">
        <f>H254*H251+I251*H256</f>
        <v>14616</v>
      </c>
      <c r="L251" s="2255">
        <v>0.6</v>
      </c>
      <c r="M251" s="111">
        <f>L251*0.9</f>
        <v>0.54</v>
      </c>
    </row>
    <row r="252" spans="1:13" ht="18.75">
      <c r="A252" s="113"/>
      <c r="B252" s="105"/>
      <c r="C252" s="105"/>
      <c r="D252" s="105"/>
      <c r="E252" s="113"/>
      <c r="F252" s="121" t="s">
        <v>181</v>
      </c>
      <c r="G252" s="120" t="s">
        <v>183</v>
      </c>
      <c r="H252" s="111">
        <f>6*30*12</f>
        <v>2160</v>
      </c>
      <c r="I252" s="111">
        <f>4*30*12</f>
        <v>1440</v>
      </c>
      <c r="J252" s="111">
        <v>1</v>
      </c>
      <c r="K252" s="111">
        <f>H257*H252+H256*I252</f>
        <v>12240</v>
      </c>
      <c r="L252" s="2256"/>
      <c r="M252" s="111">
        <f>L251*0.1</f>
        <v>0.06</v>
      </c>
    </row>
    <row r="253" spans="1:13" ht="18.75">
      <c r="A253" s="113"/>
      <c r="B253" s="105" t="s">
        <v>169</v>
      </c>
      <c r="C253" s="105">
        <f>C254*D254+C255*D255</f>
        <v>4901.7</v>
      </c>
      <c r="D253" s="105"/>
      <c r="E253" s="113"/>
      <c r="F253" s="113"/>
      <c r="G253" s="113"/>
      <c r="H253" s="113"/>
      <c r="I253" s="113"/>
      <c r="J253" s="113"/>
      <c r="K253" s="113"/>
      <c r="L253" s="113"/>
      <c r="M253" s="113"/>
    </row>
    <row r="254" spans="1:13" ht="18.75">
      <c r="A254" s="113"/>
      <c r="B254" s="105" t="s">
        <v>175</v>
      </c>
      <c r="C254" s="105">
        <v>0.9</v>
      </c>
      <c r="D254" s="105">
        <f xml:space="preserve"> 2668+977</f>
        <v>3645</v>
      </c>
      <c r="E254" s="113"/>
      <c r="F254" s="105"/>
      <c r="G254" s="122" t="s">
        <v>184</v>
      </c>
      <c r="H254" s="118">
        <v>2.1</v>
      </c>
      <c r="I254" s="113"/>
      <c r="J254" s="113"/>
      <c r="K254" s="113"/>
      <c r="L254" s="113"/>
      <c r="M254" s="113"/>
    </row>
    <row r="255" spans="1:13" ht="18.75">
      <c r="A255" s="113"/>
      <c r="B255" s="105" t="s">
        <v>176</v>
      </c>
      <c r="C255" s="105">
        <v>0.1</v>
      </c>
      <c r="D255" s="105">
        <f>136*12+1215*12</f>
        <v>16212</v>
      </c>
      <c r="E255" s="113"/>
      <c r="F255" s="110"/>
      <c r="G255" s="123" t="s">
        <v>185</v>
      </c>
      <c r="H255" s="111">
        <v>4.5</v>
      </c>
      <c r="I255" s="113"/>
      <c r="J255" s="113"/>
      <c r="K255" s="113"/>
      <c r="L255" s="113"/>
      <c r="M255" s="113"/>
    </row>
    <row r="256" spans="1:13" ht="18.75">
      <c r="A256" s="113"/>
      <c r="B256" s="105"/>
      <c r="C256" s="105"/>
      <c r="D256" s="105"/>
      <c r="E256" s="113"/>
      <c r="F256" s="110"/>
      <c r="G256" s="123" t="s">
        <v>186</v>
      </c>
      <c r="H256" s="111">
        <v>7</v>
      </c>
      <c r="I256" s="113"/>
      <c r="J256" s="113"/>
      <c r="K256" s="113"/>
      <c r="L256" s="113"/>
      <c r="M256" s="113"/>
    </row>
    <row r="257" spans="1:13" ht="18.75">
      <c r="A257" s="113"/>
      <c r="B257" s="105" t="s">
        <v>170</v>
      </c>
      <c r="C257" s="105">
        <f>D258</f>
        <v>20417</v>
      </c>
      <c r="D257" s="105"/>
      <c r="E257" s="113"/>
      <c r="F257" s="110"/>
      <c r="G257" s="123" t="s">
        <v>187</v>
      </c>
      <c r="H257" s="111">
        <v>1</v>
      </c>
      <c r="I257" s="113"/>
      <c r="J257" s="113"/>
      <c r="K257" s="113"/>
      <c r="L257" s="113"/>
      <c r="M257" s="113"/>
    </row>
    <row r="258" spans="1:13" ht="18.75">
      <c r="A258" s="113"/>
      <c r="B258" s="105" t="s">
        <v>177</v>
      </c>
      <c r="C258" s="105">
        <v>1</v>
      </c>
      <c r="D258" s="105">
        <f>1169+14598+3673+977</f>
        <v>20417</v>
      </c>
      <c r="E258" s="113"/>
      <c r="F258" s="113"/>
      <c r="G258" s="113"/>
      <c r="H258" s="113"/>
      <c r="I258" s="113"/>
      <c r="J258" s="113"/>
      <c r="K258" s="113"/>
    </row>
    <row r="259" spans="1:13" ht="18.75">
      <c r="A259" s="113"/>
      <c r="B259" s="105"/>
      <c r="C259" s="105"/>
      <c r="D259" s="105"/>
      <c r="E259" s="113"/>
      <c r="F259" s="113"/>
      <c r="G259" s="113"/>
      <c r="H259" s="113"/>
      <c r="I259" s="113"/>
      <c r="J259" s="113"/>
      <c r="K259" s="113"/>
    </row>
    <row r="260" spans="1:13" ht="18.75">
      <c r="A260" s="113"/>
      <c r="B260" s="105" t="s">
        <v>171</v>
      </c>
      <c r="C260" s="105">
        <f>K249*M249+K250*M250+K251*M251+K252*M252</f>
        <v>12242.876</v>
      </c>
      <c r="D260" s="105"/>
      <c r="E260" s="113"/>
      <c r="F260" s="113"/>
      <c r="G260" s="113"/>
      <c r="H260" s="113"/>
      <c r="I260" s="113"/>
      <c r="J260" s="113"/>
      <c r="K260" s="113"/>
    </row>
    <row r="261" spans="1:13" ht="18.75">
      <c r="A261" s="113"/>
      <c r="B261" s="113"/>
      <c r="C261" s="113"/>
      <c r="D261" s="113"/>
      <c r="E261" s="113"/>
      <c r="F261" s="113"/>
      <c r="G261" s="113"/>
      <c r="H261" s="113"/>
      <c r="I261" s="113"/>
      <c r="J261" s="113"/>
      <c r="K261" s="113"/>
    </row>
    <row r="262" spans="1:13" ht="18.75">
      <c r="A262" s="113"/>
      <c r="B262" s="113"/>
      <c r="C262" s="113"/>
      <c r="D262" s="113"/>
      <c r="E262" s="113"/>
      <c r="F262" s="113"/>
      <c r="G262" s="113"/>
      <c r="H262" s="113"/>
      <c r="I262" s="113"/>
      <c r="J262" s="113"/>
      <c r="K262" s="113"/>
    </row>
    <row r="263" spans="1:13" ht="18.75">
      <c r="A263" s="113"/>
      <c r="B263" s="112" t="s">
        <v>188</v>
      </c>
      <c r="C263" s="105" t="s">
        <v>189</v>
      </c>
      <c r="D263" s="105">
        <f>4*3</f>
        <v>12</v>
      </c>
      <c r="E263" s="113"/>
      <c r="F263" s="113"/>
      <c r="G263" s="113"/>
      <c r="H263" s="113"/>
      <c r="I263" s="113"/>
      <c r="J263" s="113"/>
      <c r="K263" s="113"/>
    </row>
    <row r="266" spans="1:13" ht="19.5" thickBot="1">
      <c r="B266" s="2261" t="s">
        <v>367</v>
      </c>
      <c r="C266" s="2262"/>
    </row>
    <row r="267" spans="1:13" ht="18.75">
      <c r="B267" s="105" t="s">
        <v>364</v>
      </c>
      <c r="C267" s="156">
        <v>0</v>
      </c>
    </row>
    <row r="268" spans="1:13" ht="18.75">
      <c r="B268" s="105" t="s">
        <v>365</v>
      </c>
      <c r="C268" s="156">
        <f>0.6*180</f>
        <v>108</v>
      </c>
    </row>
    <row r="269" spans="1:13" ht="18.75">
      <c r="B269" s="105" t="s">
        <v>366</v>
      </c>
      <c r="C269" s="157">
        <f>C267+C268</f>
        <v>108</v>
      </c>
    </row>
    <row r="272" spans="1:13" ht="18.75">
      <c r="B272" s="2263" t="s">
        <v>371</v>
      </c>
      <c r="C272" s="2264"/>
    </row>
    <row r="273" spans="1:5" ht="18.75">
      <c r="B273" s="105" t="s">
        <v>369</v>
      </c>
      <c r="C273" s="105">
        <v>1000</v>
      </c>
      <c r="D273" s="105">
        <f>0.43*2*365</f>
        <v>313.89999999999998</v>
      </c>
      <c r="E273" s="105">
        <f>C273*D273</f>
        <v>313900</v>
      </c>
    </row>
    <row r="274" spans="1:5" ht="18.75">
      <c r="B274" s="105" t="s">
        <v>370</v>
      </c>
      <c r="C274" s="105">
        <v>30</v>
      </c>
      <c r="D274" s="105">
        <f>40*12</f>
        <v>480</v>
      </c>
      <c r="E274" s="105">
        <f>C274*D274</f>
        <v>14400</v>
      </c>
    </row>
    <row r="275" spans="1:5" ht="18.75">
      <c r="B275" s="105" t="s">
        <v>372</v>
      </c>
      <c r="C275" s="105"/>
      <c r="D275" s="105"/>
      <c r="E275" s="158">
        <f>(E273+E274)/(D273+D274)</f>
        <v>413.52815216022168</v>
      </c>
    </row>
    <row r="278" spans="1:5" ht="19.5" thickBot="1">
      <c r="B278" s="2263" t="s">
        <v>375</v>
      </c>
      <c r="C278" s="2264"/>
    </row>
    <row r="279" spans="1:5" ht="19.5" thickBot="1">
      <c r="B279" s="160" t="s">
        <v>374</v>
      </c>
      <c r="C279" s="161" t="s">
        <v>376</v>
      </c>
      <c r="D279" s="162">
        <f>1.15*2*365</f>
        <v>839.49999999999989</v>
      </c>
    </row>
    <row r="280" spans="1:5">
      <c r="B280" s="159"/>
      <c r="C280" s="159"/>
      <c r="D280" s="159"/>
      <c r="E280" s="159"/>
    </row>
    <row r="281" spans="1:5">
      <c r="B281" s="159"/>
      <c r="C281" s="159"/>
      <c r="D281" s="159"/>
      <c r="E281" s="159"/>
    </row>
    <row r="282" spans="1:5">
      <c r="B282" s="159"/>
      <c r="C282" s="159"/>
      <c r="D282" s="159"/>
      <c r="E282" s="159"/>
    </row>
    <row r="283" spans="1:5">
      <c r="B283" s="159"/>
      <c r="C283" s="159"/>
      <c r="D283" s="159"/>
      <c r="E283" s="159"/>
    </row>
    <row r="285" spans="1:5" ht="18.75">
      <c r="A285" t="s">
        <v>1414</v>
      </c>
      <c r="B285" s="112" t="s">
        <v>344</v>
      </c>
      <c r="C285" s="112" t="s">
        <v>345</v>
      </c>
      <c r="D285" s="112" t="s">
        <v>346</v>
      </c>
      <c r="E285" s="112" t="s">
        <v>347</v>
      </c>
    </row>
    <row r="286" spans="1:5" ht="37.5">
      <c r="B286" s="106" t="s">
        <v>1173</v>
      </c>
      <c r="C286" s="104">
        <v>20000</v>
      </c>
      <c r="D286" s="104">
        <v>1</v>
      </c>
      <c r="E286" s="153">
        <f>C286*D286</f>
        <v>20000</v>
      </c>
    </row>
    <row r="287" spans="1:5" ht="37.5">
      <c r="B287" s="106" t="s">
        <v>350</v>
      </c>
      <c r="C287" s="104">
        <v>0</v>
      </c>
      <c r="D287" s="104">
        <v>0</v>
      </c>
      <c r="E287" s="153">
        <f>C287*D287</f>
        <v>0</v>
      </c>
    </row>
    <row r="288" spans="1:5" ht="18.75">
      <c r="B288" s="105" t="s">
        <v>342</v>
      </c>
      <c r="C288" s="104">
        <v>13000</v>
      </c>
      <c r="D288" s="104">
        <v>12</v>
      </c>
      <c r="E288" s="153">
        <f>C288*D288</f>
        <v>156000</v>
      </c>
    </row>
    <row r="289" spans="2:5" ht="37.5">
      <c r="B289" s="106" t="s">
        <v>351</v>
      </c>
      <c r="C289" s="104">
        <v>2600</v>
      </c>
      <c r="D289" s="104">
        <v>12</v>
      </c>
      <c r="E289" s="153">
        <f>C289*D289</f>
        <v>31200</v>
      </c>
    </row>
    <row r="290" spans="2:5" ht="19.5" thickBot="1">
      <c r="B290" s="150" t="s">
        <v>343</v>
      </c>
      <c r="C290" s="151"/>
      <c r="D290" s="151"/>
      <c r="E290" s="152">
        <f>E286+E287+E288+E289</f>
        <v>207200</v>
      </c>
    </row>
    <row r="293" spans="2:5" ht="18.75">
      <c r="B293" s="112" t="s">
        <v>352</v>
      </c>
      <c r="C293" s="112" t="s">
        <v>345</v>
      </c>
      <c r="D293" s="112" t="s">
        <v>346</v>
      </c>
      <c r="E293" s="112" t="s">
        <v>347</v>
      </c>
    </row>
    <row r="294" spans="2:5" ht="18.75">
      <c r="B294" s="106" t="s">
        <v>1122</v>
      </c>
      <c r="C294" s="104">
        <v>20000</v>
      </c>
      <c r="D294" s="104">
        <v>1</v>
      </c>
      <c r="E294" s="153">
        <f>C294*D294</f>
        <v>20000</v>
      </c>
    </row>
    <row r="295" spans="2:5" ht="19.5" thickBot="1">
      <c r="B295" s="150" t="s">
        <v>343</v>
      </c>
      <c r="C295" s="151"/>
      <c r="D295" s="151"/>
      <c r="E295" s="152">
        <f>E294</f>
        <v>20000</v>
      </c>
    </row>
    <row r="298" spans="2:5" ht="30" customHeight="1">
      <c r="B298" s="2258" t="s">
        <v>361</v>
      </c>
      <c r="C298" s="2259"/>
      <c r="D298" s="2260"/>
    </row>
    <row r="299" spans="2:5" ht="18.75">
      <c r="B299" s="106" t="s">
        <v>356</v>
      </c>
      <c r="C299" s="155"/>
      <c r="D299" s="155">
        <v>933813.73</v>
      </c>
    </row>
    <row r="300" spans="2:5" ht="56.25">
      <c r="B300" s="106" t="s">
        <v>357</v>
      </c>
      <c r="C300" s="155">
        <f>0.5*14000*7*12</f>
        <v>588000</v>
      </c>
      <c r="D300" s="155"/>
    </row>
    <row r="301" spans="2:5" ht="37.5">
      <c r="B301" s="106" t="s">
        <v>358</v>
      </c>
      <c r="C301" s="155">
        <f>8000*5*12</f>
        <v>480000</v>
      </c>
      <c r="D301" s="155"/>
    </row>
    <row r="302" spans="2:5" ht="56.25">
      <c r="B302" s="106" t="s">
        <v>341</v>
      </c>
      <c r="C302" s="155">
        <f>30000*5</f>
        <v>150000</v>
      </c>
      <c r="D302" s="155"/>
    </row>
    <row r="303" spans="2:5" ht="37.5">
      <c r="B303" s="106" t="s">
        <v>359</v>
      </c>
      <c r="C303" s="155">
        <f>100000</f>
        <v>100000</v>
      </c>
      <c r="D303" s="155"/>
    </row>
    <row r="304" spans="2:5" ht="18.75">
      <c r="B304" s="106" t="s">
        <v>360</v>
      </c>
      <c r="C304" s="155">
        <f>2600*12</f>
        <v>31200</v>
      </c>
      <c r="D304" s="155"/>
    </row>
    <row r="305" spans="1:8" ht="18.75">
      <c r="B305" s="106" t="s">
        <v>239</v>
      </c>
      <c r="C305" s="155">
        <f>SUM(C300:C304)</f>
        <v>1349200</v>
      </c>
      <c r="D305" s="155"/>
    </row>
    <row r="308" spans="1:8" ht="49.35" customHeight="1">
      <c r="B308" s="2265" t="s">
        <v>32</v>
      </c>
      <c r="C308" s="2266"/>
      <c r="D308" s="2267"/>
    </row>
    <row r="309" spans="1:8" ht="18.75">
      <c r="B309" s="105" t="s">
        <v>386</v>
      </c>
      <c r="C309" s="105">
        <f>C4</f>
        <v>2000</v>
      </c>
      <c r="D309" s="105">
        <v>20</v>
      </c>
      <c r="E309" s="105">
        <f>C309*D309</f>
        <v>40000</v>
      </c>
    </row>
    <row r="310" spans="1:8" ht="18.75">
      <c r="B310" s="105" t="s">
        <v>387</v>
      </c>
      <c r="C310" s="105">
        <f>H28</f>
        <v>16947</v>
      </c>
      <c r="D310" s="105">
        <v>1</v>
      </c>
      <c r="E310" s="105">
        <f>C310*D310</f>
        <v>16947</v>
      </c>
    </row>
    <row r="311" spans="1:8" ht="18.75">
      <c r="B311" s="109" t="s">
        <v>388</v>
      </c>
      <c r="C311" s="109"/>
      <c r="D311" s="109"/>
      <c r="E311" s="109">
        <f>E309+E310</f>
        <v>56947</v>
      </c>
    </row>
    <row r="314" spans="1:8" s="209" customFormat="1">
      <c r="A314" s="148" t="s">
        <v>723</v>
      </c>
      <c r="B314" s="148"/>
      <c r="C314" s="148"/>
      <c r="D314" s="148"/>
      <c r="E314" s="148"/>
      <c r="F314" s="148"/>
      <c r="G314" s="148"/>
      <c r="H314" s="148"/>
    </row>
    <row r="315" spans="1:8" s="209" customFormat="1">
      <c r="A315" s="148" t="s">
        <v>724</v>
      </c>
      <c r="B315" s="148" t="s">
        <v>725</v>
      </c>
      <c r="C315" s="148"/>
      <c r="D315" s="148"/>
      <c r="E315" s="148" t="s">
        <v>726</v>
      </c>
      <c r="F315" s="148"/>
      <c r="G315" s="148"/>
      <c r="H315" s="148"/>
    </row>
    <row r="316" spans="1:8" s="209" customFormat="1">
      <c r="A316" s="148">
        <v>5</v>
      </c>
      <c r="B316" s="148">
        <v>6300</v>
      </c>
      <c r="C316" s="148">
        <v>12</v>
      </c>
      <c r="D316" s="148">
        <f>C316*B316*A316</f>
        <v>378000</v>
      </c>
      <c r="E316" s="984">
        <f>D316/D320*100</f>
        <v>16.546290216677608</v>
      </c>
      <c r="F316" s="148" t="s">
        <v>727</v>
      </c>
      <c r="G316" s="148"/>
      <c r="H316" s="148"/>
    </row>
    <row r="317" spans="1:8" s="209" customFormat="1">
      <c r="A317" s="148">
        <v>1</v>
      </c>
      <c r="B317" s="148">
        <v>148875</v>
      </c>
      <c r="C317" s="148">
        <v>12</v>
      </c>
      <c r="D317" s="148">
        <f t="shared" ref="D317:D319" si="20">C317*B317*A317</f>
        <v>1786500</v>
      </c>
      <c r="E317" s="984">
        <v>78.200919238345406</v>
      </c>
      <c r="F317" s="148" t="s">
        <v>728</v>
      </c>
      <c r="G317" s="148"/>
      <c r="H317" s="148"/>
    </row>
    <row r="318" spans="1:8" s="209" customFormat="1">
      <c r="A318" s="148">
        <v>1</v>
      </c>
      <c r="B318" s="148">
        <v>7000</v>
      </c>
      <c r="C318" s="148">
        <v>12</v>
      </c>
      <c r="D318" s="148">
        <f t="shared" si="20"/>
        <v>84000</v>
      </c>
      <c r="E318" s="984">
        <f>D318/D320*100</f>
        <v>3.6769533814839135</v>
      </c>
      <c r="F318" s="148" t="s">
        <v>1169</v>
      </c>
      <c r="G318" s="148"/>
      <c r="H318" s="148"/>
    </row>
    <row r="319" spans="1:8" s="209" customFormat="1">
      <c r="A319" s="148">
        <v>3</v>
      </c>
      <c r="B319" s="148">
        <v>1000</v>
      </c>
      <c r="C319" s="148">
        <v>12</v>
      </c>
      <c r="D319" s="148">
        <f t="shared" si="20"/>
        <v>36000</v>
      </c>
      <c r="E319" s="984">
        <f>D319/D320*100</f>
        <v>1.5758371634931057</v>
      </c>
      <c r="F319" s="148" t="s">
        <v>729</v>
      </c>
      <c r="G319" s="148"/>
      <c r="H319" s="148"/>
    </row>
    <row r="320" spans="1:8" s="209" customFormat="1">
      <c r="A320" s="148"/>
      <c r="B320" s="148"/>
      <c r="C320" s="148"/>
      <c r="D320" s="148">
        <f>SUM(D316:D319)</f>
        <v>2284500</v>
      </c>
      <c r="E320" s="148"/>
      <c r="F320" s="148"/>
      <c r="G320" s="148"/>
      <c r="H320" s="148"/>
    </row>
    <row r="321" spans="1:8" s="209" customFormat="1">
      <c r="A321" s="148"/>
      <c r="B321" s="148"/>
      <c r="C321" s="148"/>
      <c r="D321" s="148"/>
      <c r="E321" s="148"/>
      <c r="F321" s="148"/>
      <c r="G321" s="148"/>
      <c r="H321" s="148"/>
    </row>
    <row r="322" spans="1:8" s="209" customFormat="1"/>
    <row r="325" spans="1:8" s="209" customFormat="1" ht="51.75">
      <c r="A325" s="271" t="s">
        <v>627</v>
      </c>
      <c r="B325" s="272" t="s">
        <v>198</v>
      </c>
      <c r="C325" s="273" t="s">
        <v>612</v>
      </c>
      <c r="D325" s="273" t="s">
        <v>613</v>
      </c>
      <c r="E325" s="273" t="s">
        <v>614</v>
      </c>
      <c r="F325" s="273" t="s">
        <v>615</v>
      </c>
    </row>
    <row r="326" spans="1:8" s="209" customFormat="1">
      <c r="B326" s="272"/>
      <c r="C326" s="274"/>
      <c r="D326" s="274"/>
      <c r="E326" s="274"/>
      <c r="F326" s="274"/>
    </row>
    <row r="327" spans="1:8" s="209" customFormat="1">
      <c r="B327" s="275" t="s">
        <v>616</v>
      </c>
      <c r="C327" s="276">
        <v>1</v>
      </c>
      <c r="D327" s="279">
        <f>$C$5</f>
        <v>7000</v>
      </c>
      <c r="E327" s="277">
        <v>0</v>
      </c>
      <c r="F327" s="278">
        <f>C327*D327*E327</f>
        <v>0</v>
      </c>
    </row>
    <row r="328" spans="1:8" s="209" customFormat="1">
      <c r="B328" s="275" t="s">
        <v>617</v>
      </c>
      <c r="C328" s="276">
        <v>1</v>
      </c>
      <c r="D328" s="279">
        <v>8000</v>
      </c>
      <c r="E328" s="277">
        <v>0</v>
      </c>
      <c r="F328" s="280">
        <f>C328*D328*E328</f>
        <v>0</v>
      </c>
    </row>
    <row r="329" spans="1:8" s="209" customFormat="1" ht="25.5">
      <c r="B329" s="275" t="s">
        <v>618</v>
      </c>
      <c r="C329" s="276">
        <v>1</v>
      </c>
      <c r="D329" s="279">
        <v>2000</v>
      </c>
      <c r="E329" s="277">
        <v>0</v>
      </c>
      <c r="F329" s="280">
        <f t="shared" ref="F329:F330" si="21">C329*D329*E329</f>
        <v>0</v>
      </c>
    </row>
    <row r="330" spans="1:8" s="209" customFormat="1">
      <c r="B330" s="281" t="s">
        <v>619</v>
      </c>
      <c r="C330" s="282">
        <v>1</v>
      </c>
      <c r="D330" s="279">
        <v>2000</v>
      </c>
      <c r="E330" s="283">
        <v>0</v>
      </c>
      <c r="F330" s="280">
        <f t="shared" si="21"/>
        <v>0</v>
      </c>
    </row>
    <row r="331" spans="1:8" s="209" customFormat="1">
      <c r="B331" s="284" t="s">
        <v>620</v>
      </c>
      <c r="C331" s="285"/>
      <c r="D331" s="286"/>
      <c r="E331" s="286"/>
      <c r="F331" s="287">
        <f>SUM(F327:F330)</f>
        <v>0</v>
      </c>
    </row>
    <row r="332" spans="1:8" s="209" customFormat="1">
      <c r="B332" s="288" t="s">
        <v>621</v>
      </c>
      <c r="C332" s="289"/>
      <c r="D332" s="290"/>
      <c r="E332" s="290"/>
      <c r="F332" s="291">
        <f>F331*7%</f>
        <v>0</v>
      </c>
    </row>
    <row r="333" spans="1:8" s="209" customFormat="1">
      <c r="B333" s="292" t="s">
        <v>620</v>
      </c>
      <c r="C333" s="293"/>
      <c r="D333" s="293"/>
      <c r="E333" s="293"/>
      <c r="F333" s="294">
        <f>F331+F332</f>
        <v>0</v>
      </c>
    </row>
    <row r="334" spans="1:8" s="209" customFormat="1"/>
    <row r="335" spans="1:8" s="209" customFormat="1">
      <c r="B335" s="273" t="s">
        <v>622</v>
      </c>
      <c r="C335" s="273" t="s">
        <v>623</v>
      </c>
      <c r="D335" s="273" t="s">
        <v>624</v>
      </c>
      <c r="E335" s="273" t="s">
        <v>625</v>
      </c>
      <c r="F335" s="295" t="s">
        <v>101</v>
      </c>
    </row>
    <row r="336" spans="1:8" s="209" customFormat="1">
      <c r="B336" s="296" t="s">
        <v>626</v>
      </c>
      <c r="C336" s="279">
        <f>$C$4</f>
        <v>2000</v>
      </c>
      <c r="D336" s="297">
        <v>10</v>
      </c>
      <c r="E336" s="297">
        <v>3</v>
      </c>
      <c r="F336" s="279">
        <f>C336*D336*E336</f>
        <v>60000</v>
      </c>
    </row>
    <row r="337" spans="1:6" s="209" customFormat="1">
      <c r="B337" s="292" t="s">
        <v>620</v>
      </c>
      <c r="C337" s="293"/>
      <c r="D337" s="293"/>
      <c r="E337" s="293"/>
      <c r="F337" s="294">
        <f>SUM(F336:F336)</f>
        <v>60000</v>
      </c>
    </row>
    <row r="338" spans="1:6">
      <c r="B338" t="s">
        <v>101</v>
      </c>
      <c r="F338" s="298">
        <f>F333+F337</f>
        <v>60000</v>
      </c>
    </row>
    <row r="341" spans="1:6" s="209" customFormat="1"/>
    <row r="342" spans="1:6" s="209" customFormat="1" ht="39">
      <c r="A342" s="271" t="s">
        <v>631</v>
      </c>
      <c r="B342" s="272" t="s">
        <v>212</v>
      </c>
      <c r="C342" s="273" t="s">
        <v>612</v>
      </c>
      <c r="D342" s="273" t="s">
        <v>613</v>
      </c>
      <c r="E342" s="273" t="s">
        <v>614</v>
      </c>
      <c r="F342" s="273" t="s">
        <v>615</v>
      </c>
    </row>
    <row r="343" spans="1:6" s="209" customFormat="1">
      <c r="B343" s="272"/>
      <c r="C343" s="274"/>
      <c r="D343" s="274"/>
      <c r="E343" s="274"/>
      <c r="F343" s="274"/>
    </row>
    <row r="344" spans="1:6" s="209" customFormat="1">
      <c r="B344" s="275" t="s">
        <v>616</v>
      </c>
      <c r="C344" s="276">
        <v>15</v>
      </c>
      <c r="D344" s="279">
        <f>$C$5</f>
        <v>7000</v>
      </c>
      <c r="E344" s="277">
        <v>1</v>
      </c>
      <c r="F344" s="278">
        <f>C344*D344*E344</f>
        <v>105000</v>
      </c>
    </row>
    <row r="345" spans="1:6" s="209" customFormat="1">
      <c r="B345" s="275" t="s">
        <v>617</v>
      </c>
      <c r="C345" s="276">
        <v>1</v>
      </c>
      <c r="D345" s="279">
        <v>10000</v>
      </c>
      <c r="E345" s="277">
        <v>1</v>
      </c>
      <c r="F345" s="280">
        <f>C345*D345*E345</f>
        <v>10000</v>
      </c>
    </row>
    <row r="346" spans="1:6" s="209" customFormat="1" ht="25.5">
      <c r="B346" s="275" t="s">
        <v>618</v>
      </c>
      <c r="C346" s="276">
        <v>1</v>
      </c>
      <c r="D346" s="279">
        <v>2000</v>
      </c>
      <c r="E346" s="277">
        <v>15</v>
      </c>
      <c r="F346" s="280">
        <f t="shared" ref="F346:F347" si="22">C346*D346*E346</f>
        <v>30000</v>
      </c>
    </row>
    <row r="347" spans="1:6" s="209" customFormat="1">
      <c r="B347" s="281" t="s">
        <v>619</v>
      </c>
      <c r="C347" s="282">
        <v>1</v>
      </c>
      <c r="D347" s="279">
        <v>2000</v>
      </c>
      <c r="E347" s="283">
        <v>10</v>
      </c>
      <c r="F347" s="280">
        <f t="shared" si="22"/>
        <v>20000</v>
      </c>
    </row>
    <row r="348" spans="1:6" s="209" customFormat="1">
      <c r="B348" s="284" t="s">
        <v>620</v>
      </c>
      <c r="C348" s="285"/>
      <c r="D348" s="286"/>
      <c r="E348" s="286"/>
      <c r="F348" s="287">
        <f>SUM(F344:F347)</f>
        <v>165000</v>
      </c>
    </row>
    <row r="349" spans="1:6" s="209" customFormat="1">
      <c r="B349" s="288" t="s">
        <v>621</v>
      </c>
      <c r="C349" s="289"/>
      <c r="D349" s="290"/>
      <c r="E349" s="290"/>
      <c r="F349" s="291">
        <f>F348*7%</f>
        <v>11550.000000000002</v>
      </c>
    </row>
    <row r="350" spans="1:6" s="209" customFormat="1">
      <c r="B350" s="292" t="s">
        <v>620</v>
      </c>
      <c r="C350" s="293"/>
      <c r="D350" s="293"/>
      <c r="E350" s="293"/>
      <c r="F350" s="294">
        <f>F348+F349</f>
        <v>176550</v>
      </c>
    </row>
    <row r="353" spans="2:5" s="209" customFormat="1" ht="15.75">
      <c r="B353" s="299" t="s">
        <v>633</v>
      </c>
    </row>
    <row r="354" spans="2:5" s="209" customFormat="1"/>
    <row r="355" spans="2:5" s="209" customFormat="1" ht="15.75" thickBot="1">
      <c r="E355" s="300">
        <v>19.417999999999999</v>
      </c>
    </row>
    <row r="356" spans="2:5" s="209" customFormat="1">
      <c r="B356" s="301" t="s">
        <v>634</v>
      </c>
      <c r="C356" s="302" t="s">
        <v>635</v>
      </c>
      <c r="D356" s="303" t="s">
        <v>636</v>
      </c>
      <c r="E356" s="303" t="s">
        <v>637</v>
      </c>
    </row>
    <row r="357" spans="2:5" s="209" customFormat="1" ht="135">
      <c r="B357" s="304" t="s">
        <v>638</v>
      </c>
      <c r="C357" s="305" t="s">
        <v>639</v>
      </c>
      <c r="D357" s="306">
        <v>10000</v>
      </c>
      <c r="E357" s="307">
        <f>D357*$E$355</f>
        <v>194180</v>
      </c>
    </row>
    <row r="358" spans="2:5" s="209" customFormat="1" ht="60">
      <c r="B358" s="304" t="s">
        <v>640</v>
      </c>
      <c r="C358" s="305" t="s">
        <v>641</v>
      </c>
      <c r="D358" s="306">
        <v>5000</v>
      </c>
      <c r="E358" s="307">
        <f>D358*$E$355</f>
        <v>97090</v>
      </c>
    </row>
    <row r="359" spans="2:5" s="209" customFormat="1" ht="165">
      <c r="B359" s="2248" t="s">
        <v>642</v>
      </c>
      <c r="C359" s="305" t="s">
        <v>643</v>
      </c>
      <c r="D359" s="2249">
        <v>165000</v>
      </c>
      <c r="E359" s="2250">
        <f>D359*E355</f>
        <v>3203970</v>
      </c>
    </row>
    <row r="360" spans="2:5" s="209" customFormat="1" ht="30">
      <c r="B360" s="2248"/>
      <c r="C360" s="305" t="s">
        <v>644</v>
      </c>
      <c r="D360" s="2249"/>
      <c r="E360" s="2250"/>
    </row>
    <row r="361" spans="2:5" s="209" customFormat="1" ht="30">
      <c r="B361" s="2248"/>
      <c r="C361" s="305" t="s">
        <v>645</v>
      </c>
      <c r="D361" s="2249"/>
      <c r="E361" s="2250"/>
    </row>
    <row r="362" spans="2:5" s="209" customFormat="1" ht="30">
      <c r="B362" s="2248"/>
      <c r="C362" s="305" t="s">
        <v>646</v>
      </c>
      <c r="D362" s="2249"/>
      <c r="E362" s="2250"/>
    </row>
    <row r="363" spans="2:5" s="209" customFormat="1" ht="30">
      <c r="B363" s="2248"/>
      <c r="C363" s="305" t="s">
        <v>647</v>
      </c>
      <c r="D363" s="2249"/>
      <c r="E363" s="2250"/>
    </row>
    <row r="364" spans="2:5" s="209" customFormat="1" ht="30">
      <c r="B364" s="2248"/>
      <c r="C364" s="305" t="s">
        <v>648</v>
      </c>
      <c r="D364" s="2249"/>
      <c r="E364" s="2250"/>
    </row>
    <row r="365" spans="2:5" s="209" customFormat="1" ht="30">
      <c r="B365" s="2248"/>
      <c r="C365" s="305" t="s">
        <v>649</v>
      </c>
      <c r="D365" s="2249"/>
      <c r="E365" s="2250"/>
    </row>
    <row r="366" spans="2:5" s="209" customFormat="1">
      <c r="B366" s="2248"/>
      <c r="C366" s="305" t="s">
        <v>650</v>
      </c>
      <c r="D366" s="2249"/>
      <c r="E366" s="2250"/>
    </row>
    <row r="367" spans="2:5" s="209" customFormat="1">
      <c r="B367" s="2248"/>
      <c r="C367" s="305" t="s">
        <v>651</v>
      </c>
      <c r="D367" s="2249"/>
      <c r="E367" s="2250"/>
    </row>
    <row r="368" spans="2:5" s="209" customFormat="1" ht="30">
      <c r="B368" s="2248"/>
      <c r="C368" s="305" t="s">
        <v>652</v>
      </c>
      <c r="D368" s="2249"/>
      <c r="E368" s="2250"/>
    </row>
    <row r="369" spans="1:9" s="209" customFormat="1" ht="30">
      <c r="B369" s="304" t="s">
        <v>653</v>
      </c>
      <c r="C369" s="305" t="s">
        <v>654</v>
      </c>
      <c r="D369" s="2249"/>
      <c r="E369" s="2250"/>
    </row>
    <row r="370" spans="1:9" s="209" customFormat="1" ht="30">
      <c r="B370" s="304" t="s">
        <v>655</v>
      </c>
      <c r="C370" s="305" t="s">
        <v>656</v>
      </c>
      <c r="D370" s="2249"/>
      <c r="E370" s="2250"/>
    </row>
    <row r="371" spans="1:9" s="209" customFormat="1" ht="30">
      <c r="B371" s="304" t="s">
        <v>657</v>
      </c>
      <c r="C371" s="305" t="s">
        <v>658</v>
      </c>
      <c r="D371" s="2249"/>
      <c r="E371" s="2250"/>
    </row>
    <row r="372" spans="1:9" s="847" customFormat="1">
      <c r="B372" s="2251" t="s">
        <v>659</v>
      </c>
      <c r="C372" s="849" t="s">
        <v>1212</v>
      </c>
      <c r="D372" s="1019">
        <v>18000</v>
      </c>
      <c r="E372" s="848">
        <f>D372*E355</f>
        <v>349524</v>
      </c>
      <c r="F372" s="2253"/>
    </row>
    <row r="373" spans="1:9" s="209" customFormat="1" ht="60.75" thickBot="1">
      <c r="B373" s="2252"/>
      <c r="C373" s="308" t="s">
        <v>660</v>
      </c>
      <c r="D373" s="309">
        <v>20000</v>
      </c>
      <c r="E373" s="307">
        <f>D373*$E$355</f>
        <v>388360</v>
      </c>
      <c r="F373" s="2254"/>
    </row>
    <row r="374" spans="1:9" s="209" customFormat="1">
      <c r="E374" s="298">
        <f>E359+E357+E358</f>
        <v>3495240</v>
      </c>
      <c r="H374" s="298"/>
      <c r="I374" s="962"/>
    </row>
    <row r="375" spans="1:9">
      <c r="C375" s="310" t="s">
        <v>101</v>
      </c>
    </row>
    <row r="377" spans="1:9" s="209" customFormat="1">
      <c r="A377" s="311" t="s">
        <v>664</v>
      </c>
      <c r="B377" s="273" t="s">
        <v>622</v>
      </c>
      <c r="C377" s="273" t="s">
        <v>623</v>
      </c>
      <c r="D377" s="273" t="s">
        <v>624</v>
      </c>
      <c r="E377" s="273"/>
      <c r="F377" s="295" t="s">
        <v>101</v>
      </c>
    </row>
    <row r="378" spans="1:9" s="209" customFormat="1">
      <c r="B378" s="296" t="s">
        <v>662</v>
      </c>
      <c r="C378" s="279">
        <v>13737.292100000001</v>
      </c>
      <c r="D378" s="279">
        <v>18</v>
      </c>
      <c r="E378" s="279"/>
      <c r="F378" s="279">
        <f>C378*D378</f>
        <v>247271.25780000002</v>
      </c>
    </row>
    <row r="379" spans="1:9" s="209" customFormat="1">
      <c r="B379" s="296" t="s">
        <v>663</v>
      </c>
      <c r="C379" s="279">
        <v>6868.6460500000003</v>
      </c>
      <c r="D379" s="279">
        <v>18</v>
      </c>
      <c r="E379" s="279"/>
      <c r="F379" s="279">
        <f>C379*D379</f>
        <v>123635.62890000001</v>
      </c>
    </row>
    <row r="380" spans="1:9" s="209" customFormat="1">
      <c r="B380" s="312" t="s">
        <v>620</v>
      </c>
      <c r="C380" s="286"/>
      <c r="D380" s="286"/>
      <c r="E380" s="313"/>
      <c r="F380" s="314">
        <f>SUM(F378:F379)</f>
        <v>370906.88670000003</v>
      </c>
    </row>
    <row r="386" spans="1:10" s="209" customFormat="1">
      <c r="A386" s="311" t="s">
        <v>668</v>
      </c>
      <c r="B386" s="273"/>
      <c r="C386" s="273" t="s">
        <v>345</v>
      </c>
      <c r="D386" s="273">
        <v>2021</v>
      </c>
      <c r="E386" s="273">
        <v>2022</v>
      </c>
      <c r="F386" s="295">
        <v>2023</v>
      </c>
      <c r="G386" s="273">
        <v>2024</v>
      </c>
      <c r="H386" s="273">
        <v>2025</v>
      </c>
    </row>
    <row r="387" spans="1:10" s="209" customFormat="1">
      <c r="A387" s="271"/>
      <c r="B387" s="315" t="s">
        <v>669</v>
      </c>
      <c r="C387" s="319">
        <f>H81</f>
        <v>19320</v>
      </c>
      <c r="D387" s="319">
        <f>2*$C$387</f>
        <v>38640</v>
      </c>
      <c r="E387" s="319">
        <f t="shared" ref="E387:H387" si="23">2*$C$387</f>
        <v>38640</v>
      </c>
      <c r="F387" s="319">
        <f t="shared" si="23"/>
        <v>38640</v>
      </c>
      <c r="G387" s="319">
        <f t="shared" si="23"/>
        <v>38640</v>
      </c>
      <c r="H387" s="319">
        <f t="shared" si="23"/>
        <v>38640</v>
      </c>
    </row>
    <row r="388" spans="1:10" s="209" customFormat="1" ht="39">
      <c r="B388" s="316" t="s">
        <v>670</v>
      </c>
      <c r="C388" s="317">
        <f>C4</f>
        <v>2000</v>
      </c>
      <c r="D388" s="318"/>
      <c r="E388" s="317"/>
      <c r="F388" s="317">
        <f>$C$388*20</f>
        <v>40000</v>
      </c>
      <c r="G388" s="320"/>
      <c r="H388" s="320"/>
    </row>
    <row r="389" spans="1:10" s="209" customFormat="1">
      <c r="B389" s="316" t="s">
        <v>671</v>
      </c>
      <c r="C389" s="317">
        <f>H28</f>
        <v>16947</v>
      </c>
      <c r="D389" s="318"/>
      <c r="E389" s="317"/>
      <c r="F389" s="317">
        <f>$C$389*2</f>
        <v>33894</v>
      </c>
      <c r="G389" s="320"/>
      <c r="H389" s="320"/>
    </row>
    <row r="390" spans="1:10" s="209" customFormat="1">
      <c r="B390" s="312" t="s">
        <v>620</v>
      </c>
      <c r="C390" s="285"/>
      <c r="D390" s="286">
        <f>SUM(D387:D389)</f>
        <v>38640</v>
      </c>
      <c r="E390" s="286">
        <f t="shared" ref="E390:H390" si="24">SUM(E387:E389)</f>
        <v>38640</v>
      </c>
      <c r="F390" s="286">
        <f t="shared" si="24"/>
        <v>112534</v>
      </c>
      <c r="G390" s="286">
        <f t="shared" si="24"/>
        <v>38640</v>
      </c>
      <c r="H390" s="286">
        <f t="shared" si="24"/>
        <v>38640</v>
      </c>
    </row>
    <row r="391" spans="1:10" s="209" customFormat="1">
      <c r="F391" s="1018">
        <f>D390+E390+F390</f>
        <v>189814</v>
      </c>
    </row>
    <row r="393" spans="1:10" s="209" customFormat="1">
      <c r="A393" s="311" t="s">
        <v>676</v>
      </c>
      <c r="B393" s="273" t="s">
        <v>622</v>
      </c>
      <c r="C393" s="273" t="s">
        <v>623</v>
      </c>
      <c r="D393" s="273" t="s">
        <v>624</v>
      </c>
      <c r="E393" s="273" t="s">
        <v>625</v>
      </c>
      <c r="F393" s="295" t="s">
        <v>101</v>
      </c>
    </row>
    <row r="394" spans="1:10" s="209" customFormat="1">
      <c r="B394" s="296" t="s">
        <v>675</v>
      </c>
      <c r="C394" s="279">
        <f>200*19.62*1.61</f>
        <v>6317.64</v>
      </c>
      <c r="D394" s="279">
        <v>12</v>
      </c>
      <c r="E394" s="279">
        <v>1</v>
      </c>
      <c r="F394" s="279">
        <f>C394*D394*E394</f>
        <v>75811.680000000008</v>
      </c>
    </row>
    <row r="395" spans="1:10" s="209" customFormat="1">
      <c r="B395" s="296" t="s">
        <v>673</v>
      </c>
      <c r="C395" s="279">
        <v>35000</v>
      </c>
      <c r="D395" s="279">
        <v>1</v>
      </c>
      <c r="E395" s="279">
        <v>1</v>
      </c>
      <c r="F395" s="279">
        <f>C395*D395*E395</f>
        <v>35000</v>
      </c>
    </row>
    <row r="396" spans="1:10" s="209" customFormat="1">
      <c r="B396" s="321"/>
      <c r="C396" s="322"/>
      <c r="D396" s="323"/>
      <c r="E396" s="322"/>
      <c r="F396" s="322">
        <f>SUM(F394:F395)</f>
        <v>110811.68000000001</v>
      </c>
      <c r="J396" s="209">
        <f>D390/F391</f>
        <v>0.20356770311989633</v>
      </c>
    </row>
    <row r="397" spans="1:10" ht="15.75" thickBot="1"/>
    <row r="398" spans="1:10" s="209" customFormat="1" ht="15.75" thickBot="1">
      <c r="A398" s="311" t="s">
        <v>674</v>
      </c>
      <c r="B398" s="324" t="s">
        <v>677</v>
      </c>
      <c r="C398" s="325" t="s">
        <v>623</v>
      </c>
      <c r="D398" s="325" t="s">
        <v>624</v>
      </c>
      <c r="E398" s="325" t="s">
        <v>625</v>
      </c>
      <c r="F398" s="325" t="s">
        <v>101</v>
      </c>
    </row>
    <row r="399" spans="1:10" s="209" customFormat="1" ht="23.25" customHeight="1" thickBot="1">
      <c r="B399" s="326" t="s">
        <v>616</v>
      </c>
      <c r="C399" s="327">
        <f>$C$5</f>
        <v>7000</v>
      </c>
      <c r="D399" s="327">
        <v>12</v>
      </c>
      <c r="E399" s="327">
        <v>1</v>
      </c>
      <c r="F399" s="327">
        <f>C399*D399*E399</f>
        <v>84000</v>
      </c>
    </row>
    <row r="400" spans="1:10" s="209" customFormat="1" ht="15.75" thickBot="1">
      <c r="B400" s="326" t="s">
        <v>678</v>
      </c>
      <c r="C400" s="327">
        <f>500*19.62</f>
        <v>9810</v>
      </c>
      <c r="D400" s="327">
        <v>1</v>
      </c>
      <c r="E400" s="327">
        <v>1</v>
      </c>
      <c r="F400" s="327">
        <f t="shared" ref="F400:F403" si="25">C400*D400*E400</f>
        <v>9810</v>
      </c>
    </row>
    <row r="401" spans="1:8" s="209" customFormat="1" ht="41.25" customHeight="1" thickBot="1">
      <c r="B401" s="326" t="s">
        <v>618</v>
      </c>
      <c r="C401" s="327">
        <f>170*19.62</f>
        <v>3335.4</v>
      </c>
      <c r="D401" s="327">
        <v>6</v>
      </c>
      <c r="E401" s="327">
        <v>1</v>
      </c>
      <c r="F401" s="327">
        <f t="shared" si="25"/>
        <v>20012.400000000001</v>
      </c>
    </row>
    <row r="402" spans="1:8" s="209" customFormat="1" ht="16.5" customHeight="1" thickBot="1">
      <c r="B402" s="326" t="s">
        <v>679</v>
      </c>
      <c r="C402" s="327">
        <f>70*19.62</f>
        <v>1373.4</v>
      </c>
      <c r="D402" s="327">
        <v>1</v>
      </c>
      <c r="E402" s="327">
        <v>20</v>
      </c>
      <c r="F402" s="327">
        <f t="shared" si="25"/>
        <v>27468</v>
      </c>
    </row>
    <row r="403" spans="1:8" s="209" customFormat="1" ht="27.75" customHeight="1" thickBot="1">
      <c r="B403" s="326" t="s">
        <v>626</v>
      </c>
      <c r="C403" s="327">
        <f>C4</f>
        <v>2000</v>
      </c>
      <c r="D403" s="327">
        <v>8</v>
      </c>
      <c r="E403" s="327">
        <v>1</v>
      </c>
      <c r="F403" s="327">
        <f t="shared" si="25"/>
        <v>16000</v>
      </c>
    </row>
    <row r="404" spans="1:8" s="209" customFormat="1" ht="15.75" thickBot="1">
      <c r="B404" s="328"/>
      <c r="C404" s="329"/>
      <c r="D404" s="330"/>
      <c r="E404" s="330"/>
      <c r="F404" s="330">
        <f>SUM(F399:F403)</f>
        <v>157290.4</v>
      </c>
    </row>
    <row r="405" spans="1:8" s="209" customFormat="1">
      <c r="G405" s="331"/>
    </row>
    <row r="406" spans="1:8" ht="15.75" thickBot="1">
      <c r="H406" s="209"/>
    </row>
    <row r="407" spans="1:8" s="209" customFormat="1" ht="15.75" thickBot="1">
      <c r="A407" s="311" t="s">
        <v>681</v>
      </c>
      <c r="B407" s="324" t="s">
        <v>677</v>
      </c>
      <c r="C407" s="325" t="s">
        <v>623</v>
      </c>
      <c r="D407" s="325" t="s">
        <v>624</v>
      </c>
      <c r="E407" s="325" t="s">
        <v>625</v>
      </c>
      <c r="F407" s="325" t="s">
        <v>101</v>
      </c>
    </row>
    <row r="408" spans="1:8" s="209" customFormat="1" ht="23.25" customHeight="1" thickBot="1">
      <c r="B408" s="326" t="s">
        <v>616</v>
      </c>
      <c r="C408" s="327">
        <f>$C$5</f>
        <v>7000</v>
      </c>
      <c r="D408" s="327">
        <v>12</v>
      </c>
      <c r="E408" s="327">
        <v>1</v>
      </c>
      <c r="F408" s="327">
        <f>C408*D408*E408</f>
        <v>84000</v>
      </c>
    </row>
    <row r="409" spans="1:8" s="209" customFormat="1" ht="15.75" thickBot="1">
      <c r="B409" s="326" t="s">
        <v>678</v>
      </c>
      <c r="C409" s="327">
        <f>500*19.62</f>
        <v>9810</v>
      </c>
      <c r="D409" s="327">
        <v>1</v>
      </c>
      <c r="E409" s="327">
        <v>1</v>
      </c>
      <c r="F409" s="327">
        <f t="shared" ref="F409:F410" si="26">C409*D409*E409</f>
        <v>9810</v>
      </c>
    </row>
    <row r="410" spans="1:8" s="209" customFormat="1" ht="41.25" customHeight="1" thickBot="1">
      <c r="B410" s="326" t="s">
        <v>618</v>
      </c>
      <c r="C410" s="327">
        <f>150*19.62</f>
        <v>2943</v>
      </c>
      <c r="D410" s="327">
        <v>6</v>
      </c>
      <c r="E410" s="327">
        <v>1</v>
      </c>
      <c r="F410" s="327">
        <f t="shared" si="26"/>
        <v>17658</v>
      </c>
    </row>
    <row r="411" spans="1:8" s="209" customFormat="1" ht="15.75" thickBot="1">
      <c r="B411" s="328"/>
      <c r="C411" s="329"/>
      <c r="D411" s="330"/>
      <c r="E411" s="330"/>
      <c r="F411" s="330">
        <f>SUM(F408:F410)</f>
        <v>111468</v>
      </c>
    </row>
    <row r="414" spans="1:8" s="209" customFormat="1" ht="47.85" customHeight="1">
      <c r="A414" s="332" t="s">
        <v>691</v>
      </c>
      <c r="B414" s="2247" t="s">
        <v>684</v>
      </c>
      <c r="C414" s="2247"/>
      <c r="D414" s="2247"/>
      <c r="E414" s="2247"/>
      <c r="F414" s="334">
        <f>14775.9*19.62</f>
        <v>289903.158</v>
      </c>
    </row>
    <row r="415" spans="1:8" s="209" customFormat="1">
      <c r="B415" s="2247" t="s">
        <v>685</v>
      </c>
      <c r="C415" s="2247"/>
      <c r="D415" s="2247"/>
      <c r="E415" s="2247"/>
      <c r="F415" s="334"/>
      <c r="G415" s="333"/>
    </row>
    <row r="416" spans="1:8" s="209" customFormat="1">
      <c r="B416" s="2247" t="s">
        <v>686</v>
      </c>
      <c r="C416" s="2247"/>
      <c r="D416" s="2247"/>
      <c r="E416" s="2247"/>
      <c r="F416" s="334"/>
    </row>
    <row r="417" spans="1:8" s="209" customFormat="1">
      <c r="B417" s="2247" t="s">
        <v>687</v>
      </c>
      <c r="C417" s="2247"/>
      <c r="D417" s="2247"/>
      <c r="E417" s="2247"/>
      <c r="F417" s="334"/>
    </row>
    <row r="418" spans="1:8" s="209" customFormat="1">
      <c r="B418" s="2247" t="s">
        <v>688</v>
      </c>
      <c r="C418" s="2247"/>
      <c r="D418" s="2247"/>
      <c r="E418" s="2247"/>
      <c r="F418" s="334"/>
    </row>
    <row r="419" spans="1:8" s="209" customFormat="1">
      <c r="B419" s="2247" t="s">
        <v>689</v>
      </c>
      <c r="C419" s="2247"/>
      <c r="D419" s="2247"/>
      <c r="E419" s="2247"/>
      <c r="F419" s="334"/>
    </row>
    <row r="420" spans="1:8" s="209" customFormat="1">
      <c r="B420" s="2247" t="s">
        <v>690</v>
      </c>
      <c r="C420" s="2247"/>
      <c r="D420" s="2247"/>
      <c r="E420" s="2247"/>
      <c r="F420" s="334"/>
    </row>
    <row r="421" spans="1:8">
      <c r="G421" s="209"/>
      <c r="H421" s="209"/>
    </row>
    <row r="422" spans="1:8">
      <c r="G422" s="209"/>
      <c r="H422" s="209"/>
    </row>
    <row r="423" spans="1:8" s="209" customFormat="1">
      <c r="A423" s="332" t="s">
        <v>713</v>
      </c>
      <c r="E423" s="335" t="s">
        <v>693</v>
      </c>
      <c r="F423" s="336" t="s">
        <v>694</v>
      </c>
      <c r="G423" s="335" t="s">
        <v>550</v>
      </c>
    </row>
    <row r="424" spans="1:8" s="209" customFormat="1" ht="69.75" customHeight="1">
      <c r="B424" s="337" t="s">
        <v>695</v>
      </c>
      <c r="C424" s="337" t="s">
        <v>696</v>
      </c>
      <c r="D424" s="338" t="s">
        <v>282</v>
      </c>
      <c r="E424" s="339">
        <v>4000</v>
      </c>
      <c r="F424" s="340">
        <v>300</v>
      </c>
      <c r="G424" s="341">
        <f>F424*E424</f>
        <v>1200000</v>
      </c>
    </row>
    <row r="425" spans="1:8" s="209" customFormat="1" ht="56.25" customHeight="1">
      <c r="B425" s="337" t="s">
        <v>697</v>
      </c>
      <c r="C425" s="337" t="s">
        <v>698</v>
      </c>
      <c r="D425" s="338" t="s">
        <v>699</v>
      </c>
      <c r="E425" s="339">
        <v>19500</v>
      </c>
      <c r="F425" s="340">
        <v>10</v>
      </c>
      <c r="G425" s="341">
        <f t="shared" ref="G425:G430" si="27">F425*E425</f>
        <v>195000</v>
      </c>
    </row>
    <row r="426" spans="1:8" s="209" customFormat="1" ht="65.25" customHeight="1">
      <c r="B426" s="337" t="s">
        <v>700</v>
      </c>
      <c r="C426" s="337" t="s">
        <v>701</v>
      </c>
      <c r="D426" s="338" t="s">
        <v>699</v>
      </c>
      <c r="E426" s="339">
        <v>19500</v>
      </c>
      <c r="F426" s="340">
        <v>5</v>
      </c>
      <c r="G426" s="341">
        <f t="shared" si="27"/>
        <v>97500</v>
      </c>
    </row>
    <row r="427" spans="1:8" s="209" customFormat="1" ht="52.5" customHeight="1">
      <c r="B427" s="337" t="s">
        <v>702</v>
      </c>
      <c r="C427" s="337" t="s">
        <v>703</v>
      </c>
      <c r="D427" s="338" t="s">
        <v>699</v>
      </c>
      <c r="E427" s="339">
        <v>125000</v>
      </c>
      <c r="F427" s="340">
        <f>F425</f>
        <v>10</v>
      </c>
      <c r="G427" s="341">
        <f t="shared" si="27"/>
        <v>1250000</v>
      </c>
    </row>
    <row r="428" spans="1:8" s="209" customFormat="1" ht="28.5" customHeight="1">
      <c r="B428" s="337" t="s">
        <v>704</v>
      </c>
      <c r="C428" s="337" t="s">
        <v>705</v>
      </c>
      <c r="D428" s="338" t="s">
        <v>706</v>
      </c>
      <c r="E428" s="339">
        <v>380000</v>
      </c>
      <c r="F428" s="340">
        <v>1</v>
      </c>
      <c r="G428" s="341">
        <f t="shared" si="27"/>
        <v>380000</v>
      </c>
    </row>
    <row r="429" spans="1:8" s="209" customFormat="1">
      <c r="B429" s="337" t="s">
        <v>707</v>
      </c>
      <c r="C429" s="337" t="s">
        <v>708</v>
      </c>
      <c r="D429" s="338" t="s">
        <v>709</v>
      </c>
      <c r="E429" s="339">
        <v>9800</v>
      </c>
      <c r="F429" s="340">
        <v>2</v>
      </c>
      <c r="G429" s="341">
        <f t="shared" si="27"/>
        <v>19600</v>
      </c>
    </row>
    <row r="430" spans="1:8" s="209" customFormat="1" ht="34.5" customHeight="1">
      <c r="B430" s="337" t="s">
        <v>710</v>
      </c>
      <c r="C430" s="337" t="s">
        <v>711</v>
      </c>
      <c r="D430" s="338" t="s">
        <v>712</v>
      </c>
      <c r="E430" s="339">
        <v>200</v>
      </c>
      <c r="F430" s="340">
        <f>F425*75</f>
        <v>750</v>
      </c>
      <c r="G430" s="341">
        <f t="shared" si="27"/>
        <v>150000</v>
      </c>
    </row>
    <row r="431" spans="1:8" s="209" customFormat="1">
      <c r="B431" s="342" t="s">
        <v>101</v>
      </c>
      <c r="C431" s="343"/>
      <c r="D431" s="343"/>
      <c r="E431" s="343"/>
      <c r="F431" s="343"/>
      <c r="G431" s="344">
        <f>SUM(G424:G430)</f>
        <v>3292100</v>
      </c>
    </row>
    <row r="434" spans="1:6" s="209" customFormat="1">
      <c r="A434" s="311" t="s">
        <v>714</v>
      </c>
      <c r="B434" s="272"/>
      <c r="C434" s="273" t="s">
        <v>612</v>
      </c>
      <c r="D434" s="273" t="s">
        <v>613</v>
      </c>
      <c r="E434" s="273" t="s">
        <v>614</v>
      </c>
      <c r="F434" s="273" t="s">
        <v>615</v>
      </c>
    </row>
    <row r="435" spans="1:6" s="209" customFormat="1">
      <c r="B435" s="272"/>
      <c r="C435" s="274"/>
      <c r="D435" s="274"/>
      <c r="E435" s="274"/>
      <c r="F435" s="274"/>
    </row>
    <row r="436" spans="1:6" s="209" customFormat="1">
      <c r="B436" s="275" t="s">
        <v>616</v>
      </c>
      <c r="C436" s="276">
        <v>5</v>
      </c>
      <c r="D436" s="279">
        <f>C5</f>
        <v>7000</v>
      </c>
      <c r="E436" s="277">
        <v>2</v>
      </c>
      <c r="F436" s="278">
        <f>C436*D436*E436</f>
        <v>70000</v>
      </c>
    </row>
    <row r="437" spans="1:6" s="209" customFormat="1">
      <c r="B437" s="275" t="s">
        <v>617</v>
      </c>
      <c r="C437" s="276">
        <v>1</v>
      </c>
      <c r="D437" s="279">
        <v>10000</v>
      </c>
      <c r="E437" s="277">
        <v>2</v>
      </c>
      <c r="F437" s="278">
        <f t="shared" ref="F437:F439" si="28">C437*D437*E437</f>
        <v>20000</v>
      </c>
    </row>
    <row r="438" spans="1:6" s="209" customFormat="1" ht="25.5">
      <c r="B438" s="275" t="s">
        <v>618</v>
      </c>
      <c r="C438" s="276">
        <v>3</v>
      </c>
      <c r="D438" s="279">
        <f>200*19.62</f>
        <v>3924</v>
      </c>
      <c r="E438" s="277">
        <v>2</v>
      </c>
      <c r="F438" s="278">
        <f t="shared" si="28"/>
        <v>23544</v>
      </c>
    </row>
    <row r="439" spans="1:6" s="209" customFormat="1">
      <c r="B439" s="281" t="s">
        <v>619</v>
      </c>
      <c r="C439" s="282">
        <v>1</v>
      </c>
      <c r="D439" s="279">
        <v>2000</v>
      </c>
      <c r="E439" s="283">
        <v>1</v>
      </c>
      <c r="F439" s="278">
        <f t="shared" si="28"/>
        <v>2000</v>
      </c>
    </row>
    <row r="440" spans="1:6" s="209" customFormat="1">
      <c r="B440" s="284" t="s">
        <v>620</v>
      </c>
      <c r="C440" s="285"/>
      <c r="D440" s="286"/>
      <c r="E440" s="286"/>
      <c r="F440" s="287">
        <f>SUM(F436:F439)</f>
        <v>115544</v>
      </c>
    </row>
    <row r="441" spans="1:6" s="209" customFormat="1">
      <c r="B441" s="288" t="s">
        <v>621</v>
      </c>
      <c r="C441" s="289"/>
      <c r="D441" s="290"/>
      <c r="E441" s="290"/>
      <c r="F441" s="291">
        <f>F440*7%</f>
        <v>8088.0800000000008</v>
      </c>
    </row>
    <row r="442" spans="1:6" s="209" customFormat="1">
      <c r="B442" s="292" t="s">
        <v>620</v>
      </c>
      <c r="C442" s="293"/>
      <c r="D442" s="293"/>
      <c r="E442" s="293"/>
      <c r="F442" s="294">
        <f>F440+F441</f>
        <v>123632.08</v>
      </c>
    </row>
    <row r="443" spans="1:6" s="209" customFormat="1"/>
    <row r="444" spans="1:6" s="209" customFormat="1">
      <c r="B444" s="273" t="s">
        <v>622</v>
      </c>
      <c r="C444" s="273" t="s">
        <v>623</v>
      </c>
      <c r="D444" s="273" t="s">
        <v>624</v>
      </c>
      <c r="E444" s="273" t="s">
        <v>625</v>
      </c>
      <c r="F444" s="295" t="s">
        <v>101</v>
      </c>
    </row>
    <row r="445" spans="1:6" s="209" customFormat="1">
      <c r="B445" s="296" t="s">
        <v>626</v>
      </c>
      <c r="C445" s="279">
        <f>$C$4</f>
        <v>2000</v>
      </c>
      <c r="D445" s="297">
        <v>10</v>
      </c>
      <c r="E445" s="297">
        <v>1</v>
      </c>
      <c r="F445" s="279">
        <f>C445*D445*E445</f>
        <v>20000</v>
      </c>
    </row>
    <row r="446" spans="1:6" s="209" customFormat="1">
      <c r="B446" s="292" t="s">
        <v>620</v>
      </c>
      <c r="C446" s="293"/>
      <c r="D446" s="293"/>
      <c r="E446" s="293"/>
      <c r="F446" s="294">
        <f>SUM(F445:F445)</f>
        <v>20000</v>
      </c>
    </row>
    <row r="447" spans="1:6" s="209" customFormat="1">
      <c r="F447" s="279">
        <f>F442+F446</f>
        <v>143632.08000000002</v>
      </c>
    </row>
    <row r="449" spans="1:6" s="259" customFormat="1" ht="38.25">
      <c r="A449" s="148" t="s">
        <v>733</v>
      </c>
      <c r="B449" s="351" t="s">
        <v>734</v>
      </c>
      <c r="C449" s="148"/>
      <c r="D449" s="148"/>
      <c r="E449" s="148"/>
    </row>
    <row r="450" spans="1:6" s="259" customFormat="1">
      <c r="A450" s="148"/>
      <c r="B450" s="148" t="s">
        <v>356</v>
      </c>
      <c r="C450" s="148"/>
      <c r="D450" s="352">
        <v>933813.73</v>
      </c>
      <c r="E450" s="148"/>
    </row>
    <row r="451" spans="1:6" s="259" customFormat="1">
      <c r="A451" s="148"/>
      <c r="B451" s="148" t="s">
        <v>735</v>
      </c>
      <c r="C451" s="148"/>
      <c r="D451" s="148"/>
      <c r="E451" s="148"/>
    </row>
    <row r="452" spans="1:6" s="259" customFormat="1">
      <c r="A452" s="148"/>
      <c r="B452" s="148" t="s">
        <v>357</v>
      </c>
      <c r="C452" s="148">
        <f>0.5*14000*7*12</f>
        <v>588000</v>
      </c>
      <c r="D452" s="148"/>
      <c r="E452" s="148"/>
    </row>
    <row r="453" spans="1:6" s="259" customFormat="1">
      <c r="A453" s="148"/>
      <c r="B453" s="148" t="s">
        <v>358</v>
      </c>
      <c r="C453" s="148">
        <f>8000*5*12</f>
        <v>480000</v>
      </c>
      <c r="D453" s="148"/>
      <c r="E453" s="148"/>
    </row>
    <row r="454" spans="1:6" s="259" customFormat="1" ht="30">
      <c r="A454" s="148"/>
      <c r="B454" s="353" t="s">
        <v>341</v>
      </c>
      <c r="C454" s="148">
        <f>30000*5</f>
        <v>150000</v>
      </c>
      <c r="D454" s="148"/>
      <c r="E454" s="148"/>
    </row>
    <row r="455" spans="1:6" s="259" customFormat="1">
      <c r="A455" s="148"/>
      <c r="B455" s="148" t="s">
        <v>359</v>
      </c>
      <c r="C455" s="148">
        <f>100000</f>
        <v>100000</v>
      </c>
      <c r="D455" s="148"/>
      <c r="E455" s="148"/>
    </row>
    <row r="456" spans="1:6" s="259" customFormat="1">
      <c r="A456" s="148"/>
      <c r="B456" s="148" t="s">
        <v>736</v>
      </c>
      <c r="C456" s="148">
        <f>2600*12</f>
        <v>31200</v>
      </c>
      <c r="D456" s="148"/>
      <c r="E456" s="148"/>
    </row>
    <row r="457" spans="1:6" s="259" customFormat="1" ht="30">
      <c r="A457" s="148"/>
      <c r="B457" s="353" t="s">
        <v>737</v>
      </c>
      <c r="C457" s="148">
        <v>150000</v>
      </c>
      <c r="D457" s="148"/>
      <c r="E457" s="148"/>
    </row>
    <row r="458" spans="1:6" s="259" customFormat="1">
      <c r="A458" s="148"/>
      <c r="B458" s="148" t="s">
        <v>239</v>
      </c>
      <c r="C458" s="148"/>
      <c r="D458" s="148"/>
      <c r="E458" s="354">
        <f>C452+C453+C454+C455+C456+C457</f>
        <v>1499200</v>
      </c>
    </row>
    <row r="459" spans="1:6">
      <c r="B459" s="361" t="s">
        <v>763</v>
      </c>
      <c r="C459">
        <f>C452+C453+C456+C457</f>
        <v>1249200</v>
      </c>
    </row>
    <row r="460" spans="1:6" ht="15.75" thickBot="1"/>
    <row r="461" spans="1:6" s="985" customFormat="1" ht="16.5" thickBot="1">
      <c r="A461" s="986" t="s">
        <v>1170</v>
      </c>
      <c r="B461" s="987"/>
      <c r="C461" s="988" t="s">
        <v>623</v>
      </c>
      <c r="D461" s="988" t="s">
        <v>614</v>
      </c>
      <c r="E461" s="988" t="s">
        <v>615</v>
      </c>
      <c r="F461" s="989" t="s">
        <v>1171</v>
      </c>
    </row>
    <row r="462" spans="1:6" s="985" customFormat="1" ht="39" thickBot="1">
      <c r="B462" s="990" t="s">
        <v>1172</v>
      </c>
      <c r="C462" s="327">
        <v>1900</v>
      </c>
      <c r="D462" s="327">
        <v>200</v>
      </c>
      <c r="E462" s="327">
        <f>C462*D462</f>
        <v>380000</v>
      </c>
    </row>
    <row r="463" spans="1:6" s="985" customFormat="1" ht="39" thickBot="1">
      <c r="B463" s="990" t="s">
        <v>1185</v>
      </c>
      <c r="C463" s="327">
        <v>2000</v>
      </c>
      <c r="D463" s="327">
        <v>45</v>
      </c>
      <c r="E463" s="327">
        <f>C463*D463</f>
        <v>90000</v>
      </c>
    </row>
    <row r="464" spans="1:6" s="985" customFormat="1" ht="15.75" thickBot="1">
      <c r="B464" s="991" t="s">
        <v>101</v>
      </c>
      <c r="C464" s="992"/>
      <c r="D464" s="992"/>
      <c r="E464" s="992">
        <f>E462+E463</f>
        <v>470000</v>
      </c>
    </row>
    <row r="466" spans="1:16" s="994" customFormat="1">
      <c r="A466" s="997" t="s">
        <v>1189</v>
      </c>
    </row>
    <row r="467" spans="1:16" s="994" customFormat="1">
      <c r="A467" s="189" t="s">
        <v>444</v>
      </c>
      <c r="B467" s="185">
        <v>19300</v>
      </c>
      <c r="C467" s="190"/>
      <c r="D467" s="187">
        <v>0.04</v>
      </c>
      <c r="E467" s="187">
        <v>0.05</v>
      </c>
      <c r="F467" s="187">
        <v>7.0000000000000007E-2</v>
      </c>
      <c r="G467" s="187">
        <v>0.08</v>
      </c>
      <c r="H467" s="187">
        <v>0.1</v>
      </c>
    </row>
    <row r="468" spans="1:16" s="994" customFormat="1">
      <c r="A468" s="191" t="s">
        <v>445</v>
      </c>
      <c r="B468" s="192"/>
      <c r="C468" s="192"/>
      <c r="D468" s="192">
        <f>B467*D467</f>
        <v>772</v>
      </c>
      <c r="E468" s="192">
        <f>B467*E467</f>
        <v>965</v>
      </c>
      <c r="F468" s="192">
        <f>B467*F467</f>
        <v>1351.0000000000002</v>
      </c>
      <c r="G468" s="192">
        <f>B467*G467</f>
        <v>1544</v>
      </c>
      <c r="H468" s="192">
        <f>B467*H467</f>
        <v>1930</v>
      </c>
    </row>
    <row r="469" spans="1:16" s="994" customFormat="1">
      <c r="A469" s="995"/>
      <c r="B469" s="148"/>
      <c r="C469" s="148"/>
      <c r="D469" s="148"/>
      <c r="E469" s="148"/>
      <c r="F469" s="148"/>
      <c r="G469" s="148"/>
      <c r="H469" s="148"/>
      <c r="O469" s="994">
        <f>0.12*D475</f>
        <v>51.36</v>
      </c>
      <c r="P469" s="994">
        <f>O469*365</f>
        <v>18746.400000000001</v>
      </c>
    </row>
    <row r="470" spans="1:16" s="994" customFormat="1">
      <c r="A470" s="148" t="s">
        <v>438</v>
      </c>
      <c r="B470" s="148">
        <v>12600</v>
      </c>
      <c r="C470" s="148"/>
      <c r="D470" s="148">
        <f>B470*D467</f>
        <v>504</v>
      </c>
      <c r="E470" s="148">
        <f>B470*E467</f>
        <v>630</v>
      </c>
      <c r="F470" s="148">
        <f>B470*F467</f>
        <v>882.00000000000011</v>
      </c>
      <c r="G470" s="148">
        <f>B470*G467</f>
        <v>1008</v>
      </c>
      <c r="H470" s="148">
        <f>B470*H467</f>
        <v>1260</v>
      </c>
    </row>
    <row r="471" spans="1:16" s="994" customFormat="1">
      <c r="A471" s="148" t="s">
        <v>439</v>
      </c>
      <c r="B471" s="148">
        <v>6700</v>
      </c>
      <c r="C471" s="148"/>
      <c r="D471" s="148">
        <v>0</v>
      </c>
      <c r="E471" s="148">
        <f>B471*E467</f>
        <v>335</v>
      </c>
      <c r="F471" s="148">
        <f>B471*F467</f>
        <v>469.00000000000006</v>
      </c>
      <c r="G471" s="148">
        <f>B471*G467</f>
        <v>536</v>
      </c>
      <c r="H471" s="148">
        <f>B471*H467</f>
        <v>670</v>
      </c>
    </row>
    <row r="472" spans="1:16" s="994" customFormat="1">
      <c r="A472" s="148" t="s">
        <v>440</v>
      </c>
      <c r="B472" s="148"/>
      <c r="C472" s="148"/>
      <c r="D472" s="148">
        <v>0</v>
      </c>
      <c r="E472" s="148">
        <f>B471*E467</f>
        <v>335</v>
      </c>
      <c r="F472" s="148">
        <f>B471*F467</f>
        <v>469.00000000000006</v>
      </c>
      <c r="G472" s="148">
        <f>B471*G467</f>
        <v>536</v>
      </c>
      <c r="H472" s="148">
        <f>B471*H467</f>
        <v>670</v>
      </c>
    </row>
    <row r="473" spans="1:16" s="994" customFormat="1">
      <c r="A473" s="148" t="s">
        <v>446</v>
      </c>
      <c r="B473" s="148"/>
      <c r="C473" s="148"/>
      <c r="D473" s="148">
        <f>B470*D467</f>
        <v>504</v>
      </c>
      <c r="E473" s="148">
        <f>E467*B470</f>
        <v>630</v>
      </c>
      <c r="F473" s="148">
        <f>B470*F467</f>
        <v>882.00000000000011</v>
      </c>
      <c r="G473" s="148">
        <f>B470*G467</f>
        <v>1008</v>
      </c>
      <c r="H473" s="148">
        <f>B470*H467</f>
        <v>1260</v>
      </c>
    </row>
    <row r="474" spans="1:16" s="994" customFormat="1">
      <c r="A474" s="148"/>
      <c r="B474" s="148"/>
      <c r="C474" s="148"/>
      <c r="D474" s="148"/>
      <c r="E474" s="148"/>
      <c r="F474" s="148"/>
      <c r="G474" s="148"/>
      <c r="H474" s="148"/>
    </row>
    <row r="475" spans="1:16" s="994" customFormat="1" ht="15.75">
      <c r="A475" s="195" t="s">
        <v>447</v>
      </c>
      <c r="B475" s="196">
        <v>0.85</v>
      </c>
      <c r="C475" s="195"/>
      <c r="D475" s="195">
        <f>D476+D477</f>
        <v>428</v>
      </c>
      <c r="E475" s="195">
        <f t="shared" ref="E475:H475" si="29">E476+E477</f>
        <v>870.5</v>
      </c>
      <c r="F475" s="195">
        <f t="shared" si="29"/>
        <v>1219</v>
      </c>
      <c r="G475" s="195">
        <f t="shared" si="29"/>
        <v>1393</v>
      </c>
      <c r="H475" s="195">
        <f t="shared" si="29"/>
        <v>1741</v>
      </c>
    </row>
    <row r="476" spans="1:16" s="994" customFormat="1">
      <c r="A476" s="148" t="s">
        <v>438</v>
      </c>
      <c r="B476" s="148"/>
      <c r="C476" s="148"/>
      <c r="D476" s="148">
        <v>428</v>
      </c>
      <c r="E476" s="148">
        <f>B470*E467*B475</f>
        <v>535.5</v>
      </c>
      <c r="F476" s="148">
        <v>750</v>
      </c>
      <c r="G476" s="148">
        <v>857</v>
      </c>
      <c r="H476" s="148">
        <f>B470*H467*B475</f>
        <v>1071</v>
      </c>
    </row>
    <row r="477" spans="1:16" s="994" customFormat="1">
      <c r="A477" s="148" t="s">
        <v>439</v>
      </c>
      <c r="B477" s="148"/>
      <c r="C477" s="148"/>
      <c r="D477" s="148">
        <v>0</v>
      </c>
      <c r="E477" s="148">
        <f>B471*E467</f>
        <v>335</v>
      </c>
      <c r="F477" s="148">
        <f>B471*F467</f>
        <v>469.00000000000006</v>
      </c>
      <c r="G477" s="148">
        <f>B471*G467</f>
        <v>536</v>
      </c>
      <c r="H477" s="148">
        <f>B471*H467</f>
        <v>670</v>
      </c>
    </row>
    <row r="478" spans="1:16" s="994" customFormat="1">
      <c r="A478" s="148"/>
      <c r="B478" s="148"/>
      <c r="C478" s="148"/>
      <c r="D478" s="148"/>
      <c r="E478" s="148"/>
      <c r="F478" s="148"/>
      <c r="G478" s="148"/>
      <c r="H478" s="148"/>
    </row>
    <row r="479" spans="1:16" s="994" customFormat="1" ht="15.75">
      <c r="A479" s="195" t="s">
        <v>448</v>
      </c>
      <c r="B479" s="196">
        <v>0.15</v>
      </c>
      <c r="C479" s="195"/>
      <c r="D479" s="195">
        <f>D470*0.15</f>
        <v>75.599999999999994</v>
      </c>
      <c r="E479" s="195">
        <f>E470*0.15</f>
        <v>94.5</v>
      </c>
      <c r="F479" s="195">
        <f>F470*0.15</f>
        <v>132.30000000000001</v>
      </c>
      <c r="G479" s="195">
        <f>G470*0.15</f>
        <v>151.19999999999999</v>
      </c>
      <c r="H479" s="195">
        <f>H470*0.15</f>
        <v>189</v>
      </c>
    </row>
    <row r="480" spans="1:16" s="994" customFormat="1">
      <c r="A480" s="148" t="s">
        <v>438</v>
      </c>
      <c r="B480" s="148"/>
      <c r="C480" s="148"/>
      <c r="D480" s="148">
        <f>D473*B479</f>
        <v>75.599999999999994</v>
      </c>
      <c r="E480" s="148">
        <f>E470*B479</f>
        <v>94.5</v>
      </c>
      <c r="F480" s="148">
        <f>F470*B479</f>
        <v>132.30000000000001</v>
      </c>
      <c r="G480" s="148">
        <f>G470*B479</f>
        <v>151.19999999999999</v>
      </c>
      <c r="H480" s="148">
        <f>H470*B479</f>
        <v>189</v>
      </c>
    </row>
    <row r="481" spans="1:8" s="994" customFormat="1">
      <c r="A481" s="148" t="s">
        <v>439</v>
      </c>
      <c r="B481" s="148"/>
      <c r="C481" s="148"/>
      <c r="D481" s="148">
        <v>0</v>
      </c>
      <c r="E481" s="148">
        <v>0</v>
      </c>
      <c r="F481" s="148">
        <v>0</v>
      </c>
      <c r="G481" s="148">
        <v>0</v>
      </c>
      <c r="H481" s="148">
        <v>0</v>
      </c>
    </row>
    <row r="482" spans="1:8" s="994" customFormat="1"/>
    <row r="483" spans="1:8" s="994" customFormat="1" ht="15.75">
      <c r="A483" s="195"/>
      <c r="B483" s="195"/>
      <c r="C483" s="195" t="s">
        <v>1190</v>
      </c>
      <c r="D483" s="195">
        <v>2021</v>
      </c>
      <c r="E483" s="195">
        <v>2022</v>
      </c>
      <c r="F483" s="195">
        <v>2023</v>
      </c>
      <c r="G483" s="195">
        <v>2024</v>
      </c>
      <c r="H483" s="195">
        <v>2025</v>
      </c>
    </row>
    <row r="484" spans="1:8" s="994" customFormat="1" ht="15.75">
      <c r="A484" s="195" t="s">
        <v>450</v>
      </c>
      <c r="B484" s="195"/>
      <c r="C484" s="195">
        <v>4500</v>
      </c>
      <c r="D484" s="195"/>
      <c r="E484" s="195"/>
      <c r="F484" s="195"/>
      <c r="G484" s="195"/>
      <c r="H484" s="195"/>
    </row>
    <row r="485" spans="1:8" s="994" customFormat="1">
      <c r="A485" s="148" t="s">
        <v>438</v>
      </c>
      <c r="B485" s="148"/>
      <c r="C485" s="148"/>
      <c r="D485" s="148">
        <f>C484*2</f>
        <v>9000</v>
      </c>
      <c r="E485" s="148">
        <f>C484*3</f>
        <v>13500</v>
      </c>
      <c r="F485" s="148">
        <f>C484*3</f>
        <v>13500</v>
      </c>
      <c r="G485" s="148">
        <f>C484*4</f>
        <v>18000</v>
      </c>
      <c r="H485" s="148">
        <f>C484*4</f>
        <v>18000</v>
      </c>
    </row>
    <row r="486" spans="1:8" s="994" customFormat="1">
      <c r="A486" s="148" t="s">
        <v>439</v>
      </c>
      <c r="B486" s="148"/>
      <c r="C486" s="148"/>
      <c r="D486" s="148"/>
      <c r="E486" s="148">
        <f>C484*1</f>
        <v>4500</v>
      </c>
      <c r="F486" s="148">
        <f>C484*1</f>
        <v>4500</v>
      </c>
      <c r="G486" s="148">
        <v>0</v>
      </c>
      <c r="H486" s="148">
        <v>0</v>
      </c>
    </row>
    <row r="487" spans="1:8" s="994" customFormat="1" ht="15.75">
      <c r="A487" s="195" t="s">
        <v>451</v>
      </c>
      <c r="B487" s="195"/>
      <c r="C487" s="195">
        <v>0.12</v>
      </c>
      <c r="D487" s="195"/>
      <c r="E487" s="195"/>
      <c r="F487" s="195"/>
      <c r="G487" s="195"/>
      <c r="H487" s="195"/>
    </row>
    <row r="488" spans="1:8" s="994" customFormat="1">
      <c r="A488" s="148" t="s">
        <v>438</v>
      </c>
      <c r="B488" s="148"/>
      <c r="C488" s="148"/>
      <c r="D488" s="148">
        <f>C487*428*365</f>
        <v>18746.400000000001</v>
      </c>
      <c r="E488" s="148">
        <f>C487*E476*365</f>
        <v>23454.899999999998</v>
      </c>
      <c r="F488" s="148">
        <f>C487*F476*365</f>
        <v>32850</v>
      </c>
      <c r="G488" s="148">
        <f>C487*G476*365</f>
        <v>37536.6</v>
      </c>
      <c r="H488" s="148">
        <f>C487*H476*365</f>
        <v>46909.799999999996</v>
      </c>
    </row>
    <row r="489" spans="1:8" s="994" customFormat="1">
      <c r="A489" s="148" t="s">
        <v>439</v>
      </c>
      <c r="B489" s="148"/>
      <c r="C489" s="148"/>
      <c r="D489" s="148"/>
      <c r="E489" s="148">
        <f>C487*E477*365</f>
        <v>14672.999999999998</v>
      </c>
      <c r="F489" s="148">
        <f>C487*F477*365</f>
        <v>20542.200000000004</v>
      </c>
      <c r="G489" s="148">
        <f>C487*G477*365</f>
        <v>23476.799999999999</v>
      </c>
      <c r="H489" s="148">
        <f>C487*H477*365</f>
        <v>29345.999999999996</v>
      </c>
    </row>
    <row r="490" spans="1:8" s="994" customFormat="1" ht="15.75">
      <c r="A490" s="195" t="s">
        <v>1106</v>
      </c>
      <c r="B490" s="195"/>
      <c r="C490" s="195">
        <v>20000</v>
      </c>
      <c r="D490" s="195"/>
      <c r="E490" s="195"/>
      <c r="F490" s="195"/>
      <c r="G490" s="195"/>
      <c r="H490" s="195"/>
    </row>
    <row r="491" spans="1:8" s="994" customFormat="1">
      <c r="A491" s="148" t="s">
        <v>438</v>
      </c>
      <c r="B491" s="148"/>
      <c r="C491" s="148"/>
      <c r="D491" s="148">
        <f>C490*2</f>
        <v>40000</v>
      </c>
      <c r="E491" s="148">
        <f>C490*3</f>
        <v>60000</v>
      </c>
      <c r="F491" s="148">
        <f>C490*3</f>
        <v>60000</v>
      </c>
      <c r="G491" s="148">
        <f>C490*4</f>
        <v>80000</v>
      </c>
      <c r="H491" s="148">
        <f>C490*4</f>
        <v>80000</v>
      </c>
    </row>
    <row r="492" spans="1:8" s="994" customFormat="1">
      <c r="A492" s="148" t="s">
        <v>439</v>
      </c>
      <c r="B492" s="148"/>
      <c r="C492" s="148"/>
      <c r="D492" s="148"/>
      <c r="E492" s="148">
        <f>C490*1</f>
        <v>20000</v>
      </c>
      <c r="F492" s="148">
        <f>C490*1</f>
        <v>20000</v>
      </c>
      <c r="G492" s="148">
        <v>0</v>
      </c>
      <c r="H492" s="148">
        <v>0</v>
      </c>
    </row>
    <row r="493" spans="1:8" s="994" customFormat="1" ht="15.75">
      <c r="A493" s="195" t="s">
        <v>1107</v>
      </c>
      <c r="B493" s="195"/>
      <c r="C493" s="195">
        <v>5000</v>
      </c>
      <c r="D493" s="195"/>
      <c r="E493" s="195"/>
      <c r="F493" s="195"/>
      <c r="G493" s="195"/>
      <c r="H493" s="195"/>
    </row>
    <row r="494" spans="1:8" s="994" customFormat="1">
      <c r="A494" s="148" t="s">
        <v>438</v>
      </c>
      <c r="B494" s="148"/>
      <c r="C494" s="148"/>
      <c r="D494" s="148">
        <f>C493*2</f>
        <v>10000</v>
      </c>
      <c r="E494" s="148">
        <f>C493*3</f>
        <v>15000</v>
      </c>
      <c r="F494" s="148">
        <f>C493*3</f>
        <v>15000</v>
      </c>
      <c r="G494" s="148">
        <f>C493*3</f>
        <v>15000</v>
      </c>
      <c r="H494" s="148">
        <f>C493*3</f>
        <v>15000</v>
      </c>
    </row>
    <row r="495" spans="1:8" s="994" customFormat="1">
      <c r="A495" s="148" t="s">
        <v>439</v>
      </c>
      <c r="B495" s="148"/>
      <c r="C495" s="148"/>
      <c r="D495" s="148">
        <v>0</v>
      </c>
      <c r="E495" s="148">
        <f>C493*1</f>
        <v>5000</v>
      </c>
      <c r="F495" s="148">
        <f>C493*1</f>
        <v>5000</v>
      </c>
      <c r="G495" s="148">
        <v>0</v>
      </c>
      <c r="H495" s="148">
        <v>0</v>
      </c>
    </row>
    <row r="496" spans="1:8" s="994" customFormat="1" ht="15.75">
      <c r="A496" s="998" t="s">
        <v>452</v>
      </c>
      <c r="B496" s="998"/>
      <c r="C496" s="998"/>
      <c r="D496" s="998">
        <f>D485+D488+D491+D494</f>
        <v>77746.399999999994</v>
      </c>
      <c r="E496" s="998">
        <f>SUM(E485:E495)</f>
        <v>156127.9</v>
      </c>
      <c r="F496" s="998">
        <f>SUM(F485:F495)</f>
        <v>171392.2</v>
      </c>
      <c r="G496" s="998">
        <f>SUM(G485:G495)</f>
        <v>174013.4</v>
      </c>
      <c r="H496" s="998">
        <f>SUM(H485:H495)</f>
        <v>189255.8</v>
      </c>
    </row>
    <row r="497" spans="1:8" s="994" customFormat="1">
      <c r="A497" s="148" t="s">
        <v>438</v>
      </c>
      <c r="B497" s="148"/>
      <c r="C497" s="148"/>
      <c r="D497" s="148">
        <f>D485+D488+D491+D494</f>
        <v>77746.399999999994</v>
      </c>
      <c r="E497" s="148">
        <f>E485+E488+E491+E494</f>
        <v>111954.9</v>
      </c>
      <c r="F497" s="148">
        <f>F485+F488+F491+F494</f>
        <v>121350</v>
      </c>
      <c r="G497" s="148">
        <f>G485+G488+G491+G494</f>
        <v>150536.6</v>
      </c>
      <c r="H497" s="148"/>
    </row>
    <row r="498" spans="1:8" s="994" customFormat="1">
      <c r="A498" s="148" t="s">
        <v>439</v>
      </c>
      <c r="B498" s="148"/>
      <c r="C498" s="148"/>
      <c r="D498" s="148"/>
      <c r="E498" s="148">
        <f>E486+E489+E492+E495</f>
        <v>44173</v>
      </c>
      <c r="F498" s="148">
        <f>F486+F489+F492+F495</f>
        <v>50042.200000000004</v>
      </c>
      <c r="G498" s="148">
        <f>G489</f>
        <v>23476.799999999999</v>
      </c>
      <c r="H498" s="148"/>
    </row>
    <row r="499" spans="1:8" s="994" customFormat="1" ht="15.75">
      <c r="A499" s="204" t="s">
        <v>1191</v>
      </c>
      <c r="B499" s="204"/>
      <c r="C499" s="204"/>
      <c r="D499" s="204"/>
      <c r="E499" s="1017">
        <f>E496/D496</f>
        <v>2.0081688669829085</v>
      </c>
      <c r="F499" s="1017">
        <f>F496/D496</f>
        <v>2.2045033596410897</v>
      </c>
      <c r="G499" s="1017">
        <f>G496/D496</f>
        <v>2.2382181039893809</v>
      </c>
      <c r="H499" s="1017">
        <f>H496/D496</f>
        <v>2.4342709115791856</v>
      </c>
    </row>
    <row r="500" spans="1:8" s="994" customFormat="1">
      <c r="A500" s="159"/>
      <c r="E500" s="994">
        <f>E499*0.25</f>
        <v>0.50204221674572713</v>
      </c>
      <c r="F500" s="994">
        <f>F499*0.25</f>
        <v>0.55112583991027242</v>
      </c>
    </row>
    <row r="501" spans="1:8" s="994" customFormat="1">
      <c r="A501" s="159"/>
      <c r="D501" s="994">
        <v>29500</v>
      </c>
    </row>
    <row r="502" spans="1:8" s="994" customFormat="1" ht="15.75" thickBot="1">
      <c r="A502" s="994" t="s">
        <v>77</v>
      </c>
    </row>
    <row r="503" spans="1:8" s="994" customFormat="1" ht="70.5" customHeight="1" thickBot="1">
      <c r="A503" s="2236" t="s">
        <v>1192</v>
      </c>
      <c r="B503" s="999"/>
      <c r="C503" s="1000" t="s">
        <v>1193</v>
      </c>
      <c r="D503" s="1001" t="s">
        <v>1194</v>
      </c>
      <c r="E503" s="1000" t="s">
        <v>1195</v>
      </c>
      <c r="F503" s="1002" t="s">
        <v>1196</v>
      </c>
      <c r="G503" s="1002" t="s">
        <v>1197</v>
      </c>
      <c r="H503" s="1000" t="s">
        <v>1198</v>
      </c>
    </row>
    <row r="504" spans="1:8" s="994" customFormat="1" ht="18.75">
      <c r="A504" s="2237"/>
      <c r="B504" s="1003" t="s">
        <v>1199</v>
      </c>
      <c r="C504" s="1004" t="s">
        <v>1200</v>
      </c>
      <c r="D504" s="1004">
        <v>365</v>
      </c>
      <c r="E504" s="1004">
        <f>12*D504</f>
        <v>4380</v>
      </c>
      <c r="F504" s="1004">
        <v>407</v>
      </c>
      <c r="G504" s="1004">
        <v>0.4</v>
      </c>
      <c r="H504" s="1005">
        <f>E504*G504</f>
        <v>1752</v>
      </c>
    </row>
    <row r="505" spans="1:8" s="994" customFormat="1">
      <c r="A505" s="2237"/>
      <c r="B505" s="995"/>
      <c r="C505" s="154" t="s">
        <v>1201</v>
      </c>
      <c r="D505" s="154">
        <v>365</v>
      </c>
      <c r="E505" s="154"/>
      <c r="F505" s="154"/>
      <c r="G505" s="154"/>
      <c r="H505" s="154"/>
    </row>
    <row r="506" spans="1:8" s="994" customFormat="1" ht="15.75" thickBot="1">
      <c r="A506" s="2237"/>
    </row>
    <row r="507" spans="1:8" s="994" customFormat="1" ht="16.5" thickBot="1">
      <c r="A507" s="2237"/>
      <c r="B507" s="1006"/>
      <c r="C507" s="1007" t="s">
        <v>1202</v>
      </c>
      <c r="D507" s="1007" t="s">
        <v>1203</v>
      </c>
      <c r="E507" s="1008" t="s">
        <v>1204</v>
      </c>
      <c r="F507" s="1009" t="s">
        <v>1205</v>
      </c>
      <c r="G507" s="1008" t="s">
        <v>1206</v>
      </c>
      <c r="H507" s="1010" t="s">
        <v>1207</v>
      </c>
    </row>
    <row r="508" spans="1:8" s="994" customFormat="1">
      <c r="A508" s="2237"/>
      <c r="B508" s="2239" t="s">
        <v>1208</v>
      </c>
      <c r="C508" s="1011">
        <v>25000</v>
      </c>
      <c r="D508" s="1004" t="s">
        <v>1209</v>
      </c>
      <c r="E508" s="1004">
        <v>7.32</v>
      </c>
      <c r="F508" s="1004">
        <f>E508*C508</f>
        <v>183000</v>
      </c>
      <c r="G508" s="1012">
        <v>60</v>
      </c>
      <c r="H508" s="1012">
        <f>F510/G508</f>
        <v>4850</v>
      </c>
    </row>
    <row r="509" spans="1:8" s="994" customFormat="1">
      <c r="A509" s="2237"/>
      <c r="B509" s="2240"/>
      <c r="C509" s="154">
        <v>8000</v>
      </c>
      <c r="D509" s="154" t="s">
        <v>1210</v>
      </c>
      <c r="E509" s="154">
        <v>13.5</v>
      </c>
      <c r="F509" s="154">
        <f>E509*C509</f>
        <v>108000</v>
      </c>
      <c r="G509" s="148"/>
      <c r="H509" s="148"/>
    </row>
    <row r="510" spans="1:8" s="994" customFormat="1" ht="19.5" thickBot="1">
      <c r="A510" s="2238"/>
      <c r="B510" s="1013" t="s">
        <v>285</v>
      </c>
      <c r="C510" s="1014"/>
      <c r="D510" s="1014"/>
      <c r="E510" s="1015"/>
      <c r="F510" s="1015">
        <f>SUM(F508:F509)</f>
        <v>291000</v>
      </c>
      <c r="G510" s="1016">
        <v>60</v>
      </c>
      <c r="H510" s="1016">
        <v>4850</v>
      </c>
    </row>
  </sheetData>
  <mergeCells count="41">
    <mergeCell ref="D7:G7"/>
    <mergeCell ref="D31:H31"/>
    <mergeCell ref="D74:H74"/>
    <mergeCell ref="D46:H46"/>
    <mergeCell ref="D197:G197"/>
    <mergeCell ref="D61:H61"/>
    <mergeCell ref="D68:H68"/>
    <mergeCell ref="D84:H84"/>
    <mergeCell ref="A142:E142"/>
    <mergeCell ref="A109:A110"/>
    <mergeCell ref="A91:A96"/>
    <mergeCell ref="B419:E419"/>
    <mergeCell ref="F372:F373"/>
    <mergeCell ref="L251:L252"/>
    <mergeCell ref="D18:H18"/>
    <mergeCell ref="B298:D298"/>
    <mergeCell ref="B266:C266"/>
    <mergeCell ref="B272:C272"/>
    <mergeCell ref="B278:C278"/>
    <mergeCell ref="L249:L250"/>
    <mergeCell ref="B308:D308"/>
    <mergeCell ref="B209:G209"/>
    <mergeCell ref="B210:G210"/>
    <mergeCell ref="B219:B220"/>
    <mergeCell ref="B214:B215"/>
    <mergeCell ref="A503:A510"/>
    <mergeCell ref="B508:B509"/>
    <mergeCell ref="A97:A102"/>
    <mergeCell ref="A103:A108"/>
    <mergeCell ref="A112:A133"/>
    <mergeCell ref="A137:F137"/>
    <mergeCell ref="B420:E420"/>
    <mergeCell ref="B359:B368"/>
    <mergeCell ref="D359:D371"/>
    <mergeCell ref="E359:E371"/>
    <mergeCell ref="B414:E414"/>
    <mergeCell ref="B372:B373"/>
    <mergeCell ref="B415:E415"/>
    <mergeCell ref="B416:E416"/>
    <mergeCell ref="B417:E417"/>
    <mergeCell ref="B418:E418"/>
  </mergeCells>
  <phoneticPr fontId="9" type="noConversion"/>
  <conditionalFormatting sqref="E91:I91">
    <cfRule type="expression" dxfId="13" priority="39">
      <formula>#REF! = "produs"</formula>
    </cfRule>
    <cfRule type="expression" dxfId="12" priority="40">
      <formula>#REF! = "obiectiv"</formula>
    </cfRule>
  </conditionalFormatting>
  <conditionalFormatting sqref="D91">
    <cfRule type="expression" dxfId="11" priority="37">
      <formula>#REF! = "produs"</formula>
    </cfRule>
    <cfRule type="expression" dxfId="10" priority="38">
      <formula>#REF! = "obiectiv"</formula>
    </cfRule>
  </conditionalFormatting>
  <conditionalFormatting sqref="B97">
    <cfRule type="expression" dxfId="9" priority="35">
      <formula>#REF! = "produs"</formula>
    </cfRule>
    <cfRule type="expression" dxfId="8" priority="36">
      <formula>#REF! = "obiectiv"</formula>
    </cfRule>
  </conditionalFormatting>
  <conditionalFormatting sqref="B103">
    <cfRule type="expression" dxfId="7" priority="33">
      <formula>#REF! = "produs"</formula>
    </cfRule>
    <cfRule type="expression" dxfId="6" priority="34">
      <formula>#REF! = "obiectiv"</formula>
    </cfRule>
  </conditionalFormatting>
  <conditionalFormatting sqref="B112">
    <cfRule type="expression" dxfId="5" priority="31">
      <formula>#REF! = "produs"</formula>
    </cfRule>
    <cfRule type="expression" dxfId="4" priority="32">
      <formula>#REF! = "obiectiv"</formula>
    </cfRule>
  </conditionalFormatting>
  <conditionalFormatting sqref="E109:I109">
    <cfRule type="expression" dxfId="3" priority="29">
      <formula>#REF! = "produs"</formula>
    </cfRule>
    <cfRule type="expression" dxfId="2" priority="30">
      <formula>#REF! = "obiectiv"</formula>
    </cfRule>
  </conditionalFormatting>
  <conditionalFormatting sqref="A467">
    <cfRule type="expression" dxfId="1" priority="1">
      <formula>#REF! = "produs"</formula>
    </cfRule>
    <cfRule type="expression" dxfId="0" priority="2">
      <formula>#REF! = "obiectiv"</formula>
    </cfRule>
  </conditionalFormatting>
  <pageMargins left="0.7" right="0.7" top="0.75" bottom="0.75" header="0.3" footer="0.3"/>
  <pageSetup paperSize="9" scale="1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9"/>
  <sheetViews>
    <sheetView topLeftCell="A5" workbookViewId="0">
      <selection activeCell="I27" sqref="I27"/>
    </sheetView>
  </sheetViews>
  <sheetFormatPr defaultColWidth="11.42578125" defaultRowHeight="15"/>
  <cols>
    <col min="1" max="1" width="14" customWidth="1"/>
    <col min="2" max="2" width="11.140625" bestFit="1" customWidth="1"/>
    <col min="3" max="7" width="19.140625" bestFit="1" customWidth="1"/>
    <col min="8" max="8" width="12.140625" bestFit="1" customWidth="1"/>
    <col min="9" max="62" width="56.7109375" bestFit="1" customWidth="1"/>
    <col min="63" max="67" width="23.42578125" bestFit="1" customWidth="1"/>
    <col min="68" max="68" width="14.7109375" bestFit="1" customWidth="1"/>
    <col min="69" max="169" width="19.140625" bestFit="1" customWidth="1"/>
    <col min="170" max="174" width="23.42578125" bestFit="1" customWidth="1"/>
    <col min="175" max="175" width="14.7109375" bestFit="1" customWidth="1"/>
  </cols>
  <sheetData>
    <row r="3" spans="1:7">
      <c r="A3" s="3"/>
      <c r="B3" s="6" t="s">
        <v>107</v>
      </c>
      <c r="C3" s="4"/>
      <c r="D3" s="4"/>
      <c r="E3" s="4"/>
      <c r="F3" s="4"/>
      <c r="G3" s="5"/>
    </row>
    <row r="4" spans="1:7">
      <c r="A4" s="6" t="s">
        <v>78</v>
      </c>
      <c r="B4" s="3" t="s">
        <v>110</v>
      </c>
      <c r="C4" s="11" t="s">
        <v>111</v>
      </c>
      <c r="D4" s="11" t="s">
        <v>112</v>
      </c>
      <c r="E4" s="11" t="s">
        <v>113</v>
      </c>
      <c r="F4" s="11" t="s">
        <v>114</v>
      </c>
      <c r="G4" s="8" t="s">
        <v>115</v>
      </c>
    </row>
    <row r="5" spans="1:7">
      <c r="A5" s="3" t="s">
        <v>79</v>
      </c>
      <c r="B5" s="13">
        <v>5339813</v>
      </c>
      <c r="C5" s="14">
        <v>5367540.75</v>
      </c>
      <c r="D5" s="14">
        <v>5394768.5</v>
      </c>
      <c r="E5" s="14">
        <v>5409655.1500000004</v>
      </c>
      <c r="F5" s="14">
        <v>5422746.25</v>
      </c>
      <c r="G5" s="15">
        <v>26934523.649999999</v>
      </c>
    </row>
    <row r="6" spans="1:7">
      <c r="A6" s="16" t="s">
        <v>116</v>
      </c>
      <c r="B6" s="17">
        <v>2484953.2999999998</v>
      </c>
      <c r="C6" s="18">
        <v>2811883.75</v>
      </c>
      <c r="D6" s="18">
        <v>3156377.65</v>
      </c>
      <c r="E6" s="18">
        <v>3436528.4</v>
      </c>
      <c r="F6" s="18">
        <v>3719110.25</v>
      </c>
      <c r="G6" s="19">
        <v>15608853.350000001</v>
      </c>
    </row>
    <row r="7" spans="1:7">
      <c r="A7" s="16" t="s">
        <v>118</v>
      </c>
      <c r="B7" s="17">
        <v>0</v>
      </c>
      <c r="C7" s="18">
        <v>0</v>
      </c>
      <c r="D7" s="18">
        <v>0</v>
      </c>
      <c r="E7" s="18">
        <v>0</v>
      </c>
      <c r="F7" s="18">
        <v>0</v>
      </c>
      <c r="G7" s="19">
        <v>0</v>
      </c>
    </row>
    <row r="8" spans="1:7">
      <c r="A8" s="16" t="s">
        <v>119</v>
      </c>
      <c r="B8" s="17">
        <v>0</v>
      </c>
      <c r="C8" s="18">
        <v>0</v>
      </c>
      <c r="D8" s="18">
        <v>0</v>
      </c>
      <c r="E8" s="18">
        <v>0</v>
      </c>
      <c r="F8" s="18">
        <v>0</v>
      </c>
      <c r="G8" s="19">
        <v>0</v>
      </c>
    </row>
    <row r="9" spans="1:7">
      <c r="A9" s="16" t="s">
        <v>120</v>
      </c>
      <c r="B9" s="17">
        <v>464175</v>
      </c>
      <c r="C9" s="18">
        <v>524954.25</v>
      </c>
      <c r="D9" s="18">
        <v>595012.5</v>
      </c>
      <c r="E9" s="18">
        <v>646810.05000000005</v>
      </c>
      <c r="F9" s="18">
        <v>703403.25</v>
      </c>
      <c r="G9" s="19">
        <v>2934355.05</v>
      </c>
    </row>
    <row r="10" spans="1:7">
      <c r="A10" s="16" t="s">
        <v>121</v>
      </c>
      <c r="B10" s="17">
        <v>1622789.05</v>
      </c>
      <c r="C10" s="18">
        <v>1838645</v>
      </c>
      <c r="D10" s="18">
        <v>2062785.4</v>
      </c>
      <c r="E10" s="18">
        <v>2248835.35</v>
      </c>
      <c r="F10" s="18">
        <v>2436516.75</v>
      </c>
      <c r="G10" s="19">
        <v>10209571.550000001</v>
      </c>
    </row>
    <row r="11" spans="1:7">
      <c r="A11" s="16" t="s">
        <v>117</v>
      </c>
      <c r="B11" s="17">
        <v>397989.25</v>
      </c>
      <c r="C11" s="18">
        <v>448284.5</v>
      </c>
      <c r="D11" s="18">
        <v>498579.75</v>
      </c>
      <c r="E11" s="18">
        <v>540883</v>
      </c>
      <c r="F11" s="18">
        <v>579190.25</v>
      </c>
      <c r="G11" s="19">
        <v>2464926.75</v>
      </c>
    </row>
    <row r="12" spans="1:7">
      <c r="A12" s="16" t="s">
        <v>122</v>
      </c>
      <c r="B12" s="17">
        <v>0</v>
      </c>
      <c r="C12" s="18">
        <v>0</v>
      </c>
      <c r="D12" s="18">
        <v>0</v>
      </c>
      <c r="E12" s="18">
        <v>0</v>
      </c>
      <c r="F12" s="18">
        <v>0</v>
      </c>
      <c r="G12" s="19">
        <v>0</v>
      </c>
    </row>
    <row r="13" spans="1:7">
      <c r="A13" s="16" t="s">
        <v>108</v>
      </c>
      <c r="B13" s="17">
        <v>6465763.7999999998</v>
      </c>
      <c r="C13" s="18">
        <v>7330208</v>
      </c>
      <c r="D13" s="18">
        <v>8218465.6500000004</v>
      </c>
      <c r="E13" s="18">
        <v>8979500.8499999996</v>
      </c>
      <c r="F13" s="18">
        <v>11096765</v>
      </c>
      <c r="G13" s="19">
        <v>42090703.299999997</v>
      </c>
    </row>
    <row r="14" spans="1:7">
      <c r="A14" s="16" t="s">
        <v>84</v>
      </c>
      <c r="B14" s="17">
        <v>2856109.7</v>
      </c>
      <c r="C14" s="18">
        <v>2558157</v>
      </c>
      <c r="D14" s="18">
        <v>2239640.85</v>
      </c>
      <c r="E14" s="18">
        <v>1974376.75</v>
      </c>
      <c r="F14" s="18">
        <v>1704886</v>
      </c>
      <c r="G14" s="19">
        <v>11333170.299999999</v>
      </c>
    </row>
    <row r="15" spans="1:7">
      <c r="A15" s="7" t="s">
        <v>109</v>
      </c>
      <c r="B15" s="9">
        <v>19631593.099999998</v>
      </c>
      <c r="C15" s="12">
        <v>20879673.25</v>
      </c>
      <c r="D15" s="12">
        <v>22165630.300000004</v>
      </c>
      <c r="E15" s="12">
        <v>23236589.550000001</v>
      </c>
      <c r="F15" s="12">
        <v>25662617.75</v>
      </c>
      <c r="G15" s="10">
        <v>111576103.94999999</v>
      </c>
    </row>
    <row r="18" spans="1:8">
      <c r="A18" s="25" t="s">
        <v>78</v>
      </c>
      <c r="B18" s="26" t="s">
        <v>123</v>
      </c>
    </row>
    <row r="20" spans="1:8">
      <c r="A20" s="3"/>
      <c r="B20" s="4"/>
      <c r="C20" s="6" t="s">
        <v>107</v>
      </c>
      <c r="D20" s="4"/>
      <c r="E20" s="4"/>
      <c r="F20" s="4"/>
      <c r="G20" s="4"/>
      <c r="H20" s="5"/>
    </row>
    <row r="21" spans="1:8">
      <c r="A21" s="6" t="s">
        <v>99</v>
      </c>
      <c r="B21" s="6" t="s">
        <v>100</v>
      </c>
      <c r="C21" s="3" t="s">
        <v>110</v>
      </c>
      <c r="D21" s="11" t="s">
        <v>111</v>
      </c>
      <c r="E21" s="11" t="s">
        <v>112</v>
      </c>
      <c r="F21" s="11" t="s">
        <v>113</v>
      </c>
      <c r="G21" s="11" t="s">
        <v>114</v>
      </c>
      <c r="H21" s="8" t="s">
        <v>115</v>
      </c>
    </row>
    <row r="22" spans="1:8">
      <c r="A22" s="3" t="s">
        <v>124</v>
      </c>
      <c r="B22" s="4"/>
      <c r="C22" s="13">
        <v>2119972</v>
      </c>
      <c r="D22" s="14">
        <v>2401187.25</v>
      </c>
      <c r="E22" s="14">
        <v>2683652.5</v>
      </c>
      <c r="F22" s="14">
        <v>2930819.75</v>
      </c>
      <c r="G22" s="14">
        <v>3621875.5</v>
      </c>
      <c r="H22" s="15">
        <v>13757507</v>
      </c>
    </row>
    <row r="23" spans="1:8">
      <c r="A23" s="3" t="s">
        <v>125</v>
      </c>
      <c r="B23" s="4"/>
      <c r="C23" s="13">
        <v>2119972</v>
      </c>
      <c r="D23" s="14">
        <v>2401187.25</v>
      </c>
      <c r="E23" s="14">
        <v>2683652.5</v>
      </c>
      <c r="F23" s="14">
        <v>2930819.75</v>
      </c>
      <c r="G23" s="14">
        <v>3621875.5</v>
      </c>
      <c r="H23" s="15">
        <v>13757507</v>
      </c>
    </row>
    <row r="24" spans="1:8">
      <c r="A24" s="3" t="s">
        <v>126</v>
      </c>
      <c r="B24" s="4"/>
      <c r="C24" s="13">
        <v>383052.00000000006</v>
      </c>
      <c r="D24" s="14">
        <v>510736.00000000006</v>
      </c>
      <c r="E24" s="14">
        <v>638420.00000000012</v>
      </c>
      <c r="F24" s="14">
        <v>766104.00000000012</v>
      </c>
      <c r="G24" s="14">
        <v>893788.00000000012</v>
      </c>
      <c r="H24" s="15">
        <v>3192100.0000000005</v>
      </c>
    </row>
    <row r="25" spans="1:8">
      <c r="A25" s="3" t="s">
        <v>127</v>
      </c>
      <c r="B25" s="4"/>
      <c r="C25" s="13">
        <v>815272.50000000012</v>
      </c>
      <c r="D25" s="14">
        <v>815272.50000000012</v>
      </c>
      <c r="E25" s="14">
        <v>815272.50000000012</v>
      </c>
      <c r="F25" s="14">
        <v>815272.50000000012</v>
      </c>
      <c r="G25" s="14">
        <v>815272.50000000012</v>
      </c>
      <c r="H25" s="15">
        <v>4076362.5000000005</v>
      </c>
    </row>
    <row r="26" spans="1:8">
      <c r="A26" s="3" t="s">
        <v>128</v>
      </c>
      <c r="B26" s="4"/>
      <c r="C26" s="13">
        <v>176490</v>
      </c>
      <c r="D26" s="14">
        <v>176490</v>
      </c>
      <c r="E26" s="14">
        <v>176490</v>
      </c>
      <c r="F26" s="14">
        <v>176490</v>
      </c>
      <c r="G26" s="14">
        <v>176490</v>
      </c>
      <c r="H26" s="15">
        <v>882450</v>
      </c>
    </row>
    <row r="27" spans="1:8">
      <c r="A27" s="3" t="s">
        <v>129</v>
      </c>
      <c r="B27" s="4"/>
      <c r="C27" s="13">
        <v>1058940</v>
      </c>
      <c r="D27" s="14">
        <v>1147185</v>
      </c>
      <c r="E27" s="14">
        <v>1235430</v>
      </c>
      <c r="F27" s="14">
        <v>1288377</v>
      </c>
      <c r="G27" s="14">
        <v>1323675</v>
      </c>
      <c r="H27" s="15">
        <v>6053607</v>
      </c>
    </row>
    <row r="28" spans="1:8">
      <c r="A28" s="3" t="s">
        <v>130</v>
      </c>
      <c r="B28" s="4"/>
      <c r="C28" s="13">
        <v>1323675</v>
      </c>
      <c r="D28" s="14">
        <v>1323675</v>
      </c>
      <c r="E28" s="14">
        <v>1323675</v>
      </c>
      <c r="F28" s="14">
        <v>1323675</v>
      </c>
      <c r="G28" s="14">
        <v>1323675</v>
      </c>
      <c r="H28" s="15">
        <v>6618375</v>
      </c>
    </row>
    <row r="29" spans="1:8">
      <c r="A29" s="3" t="s">
        <v>131</v>
      </c>
      <c r="B29" s="4"/>
      <c r="C29" s="13">
        <v>347733</v>
      </c>
      <c r="D29" s="14">
        <v>376710.75</v>
      </c>
      <c r="E29" s="14">
        <v>405688.5</v>
      </c>
      <c r="F29" s="14">
        <v>423075.14999999997</v>
      </c>
      <c r="G29" s="14">
        <v>434666.25</v>
      </c>
      <c r="H29" s="15">
        <v>1987873.65</v>
      </c>
    </row>
    <row r="30" spans="1:8">
      <c r="A30" s="3" t="s">
        <v>132</v>
      </c>
      <c r="B30" s="4"/>
      <c r="C30" s="13">
        <v>1250</v>
      </c>
      <c r="D30" s="14">
        <v>2500</v>
      </c>
      <c r="E30" s="14">
        <v>1250</v>
      </c>
      <c r="F30" s="14">
        <v>1250</v>
      </c>
      <c r="G30" s="14">
        <v>1250</v>
      </c>
      <c r="H30" s="15">
        <v>7500</v>
      </c>
    </row>
    <row r="31" spans="1:8">
      <c r="A31" s="3" t="s">
        <v>47</v>
      </c>
      <c r="B31" s="4"/>
      <c r="C31" s="13">
        <v>1500</v>
      </c>
      <c r="D31" s="14">
        <v>1500</v>
      </c>
      <c r="E31" s="14">
        <v>1500</v>
      </c>
      <c r="F31" s="14">
        <v>1500</v>
      </c>
      <c r="G31" s="14">
        <v>1500</v>
      </c>
      <c r="H31" s="15">
        <v>7500</v>
      </c>
    </row>
    <row r="32" spans="1:8">
      <c r="A32" s="3" t="s">
        <v>48</v>
      </c>
      <c r="B32" s="4"/>
      <c r="C32" s="13">
        <v>13404.000000000002</v>
      </c>
      <c r="D32" s="14">
        <v>13404.000000000002</v>
      </c>
      <c r="E32" s="14">
        <v>13404.000000000002</v>
      </c>
      <c r="F32" s="14">
        <v>13404.000000000002</v>
      </c>
      <c r="G32" s="14">
        <v>13404.000000000002</v>
      </c>
      <c r="H32" s="15">
        <v>67020.000000000015</v>
      </c>
    </row>
    <row r="33" spans="1:8">
      <c r="A33" s="3" t="s">
        <v>65</v>
      </c>
      <c r="B33" s="4"/>
      <c r="C33" s="13">
        <v>1440</v>
      </c>
      <c r="D33" s="14">
        <v>1440</v>
      </c>
      <c r="E33" s="14">
        <v>1440</v>
      </c>
      <c r="F33" s="14">
        <v>1440</v>
      </c>
      <c r="G33" s="14">
        <v>1440</v>
      </c>
      <c r="H33" s="15">
        <v>7200</v>
      </c>
    </row>
    <row r="34" spans="1:8">
      <c r="A34" s="3" t="s">
        <v>66</v>
      </c>
      <c r="B34" s="4"/>
      <c r="C34" s="13">
        <v>54040.000000000007</v>
      </c>
      <c r="D34" s="14">
        <v>54040.000000000007</v>
      </c>
      <c r="E34" s="14">
        <v>54040.000000000007</v>
      </c>
      <c r="F34" s="14">
        <v>54040.000000000007</v>
      </c>
      <c r="G34" s="14">
        <v>54040.000000000007</v>
      </c>
      <c r="H34" s="15">
        <v>270200.00000000006</v>
      </c>
    </row>
    <row r="35" spans="1:8">
      <c r="A35" s="3" t="s">
        <v>67</v>
      </c>
      <c r="B35" s="4"/>
      <c r="C35" s="13">
        <v>0</v>
      </c>
      <c r="D35" s="14">
        <v>0</v>
      </c>
      <c r="E35" s="14">
        <v>0</v>
      </c>
      <c r="F35" s="14">
        <v>0</v>
      </c>
      <c r="G35" s="14">
        <v>0</v>
      </c>
      <c r="H35" s="15">
        <v>0</v>
      </c>
    </row>
    <row r="36" spans="1:8">
      <c r="A36" s="3" t="s">
        <v>68</v>
      </c>
      <c r="B36" s="4"/>
      <c r="C36" s="13">
        <v>0</v>
      </c>
      <c r="D36" s="14">
        <v>0</v>
      </c>
      <c r="E36" s="14">
        <v>0</v>
      </c>
      <c r="F36" s="14">
        <v>0</v>
      </c>
      <c r="G36" s="14">
        <v>0</v>
      </c>
      <c r="H36" s="15">
        <v>0</v>
      </c>
    </row>
    <row r="37" spans="1:8">
      <c r="A37" s="3" t="s">
        <v>69</v>
      </c>
      <c r="B37" s="4"/>
      <c r="C37" s="13">
        <v>0</v>
      </c>
      <c r="D37" s="14">
        <v>0</v>
      </c>
      <c r="E37" s="14">
        <v>0</v>
      </c>
      <c r="F37" s="14">
        <v>0</v>
      </c>
      <c r="G37" s="14">
        <v>0</v>
      </c>
      <c r="H37" s="15">
        <v>0</v>
      </c>
    </row>
    <row r="38" spans="1:8">
      <c r="A38" s="3" t="s">
        <v>60</v>
      </c>
      <c r="B38" s="4"/>
      <c r="C38" s="13">
        <v>91193.8</v>
      </c>
      <c r="D38" s="14">
        <v>110742.25</v>
      </c>
      <c r="E38" s="14">
        <v>152854.15000000002</v>
      </c>
      <c r="F38" s="14">
        <v>172387.6</v>
      </c>
      <c r="G38" s="14">
        <v>216484.5</v>
      </c>
      <c r="H38" s="15">
        <v>743662.3</v>
      </c>
    </row>
    <row r="39" spans="1:8">
      <c r="A39" s="3" t="s">
        <v>70</v>
      </c>
      <c r="B39" s="4"/>
      <c r="C39" s="13">
        <v>4000</v>
      </c>
      <c r="D39" s="14">
        <v>3000</v>
      </c>
      <c r="E39" s="14">
        <v>1000</v>
      </c>
      <c r="F39" s="14">
        <v>0</v>
      </c>
      <c r="G39" s="14">
        <v>0</v>
      </c>
      <c r="H39" s="15">
        <v>8000</v>
      </c>
    </row>
    <row r="40" spans="1:8">
      <c r="A40" s="3" t="s">
        <v>71</v>
      </c>
      <c r="B40" s="4"/>
      <c r="C40" s="13">
        <v>1500</v>
      </c>
      <c r="D40" s="14">
        <v>0</v>
      </c>
      <c r="E40" s="14">
        <v>1500</v>
      </c>
      <c r="F40" s="14">
        <v>0</v>
      </c>
      <c r="G40" s="14">
        <v>1500</v>
      </c>
      <c r="H40" s="15">
        <v>4500</v>
      </c>
    </row>
    <row r="41" spans="1:8">
      <c r="A41" s="3" t="s">
        <v>72</v>
      </c>
      <c r="B41" s="4"/>
      <c r="C41" s="13">
        <v>212300</v>
      </c>
      <c r="D41" s="14">
        <v>212300</v>
      </c>
      <c r="E41" s="14">
        <v>212300</v>
      </c>
      <c r="F41" s="14">
        <v>212300</v>
      </c>
      <c r="G41" s="14">
        <v>212300</v>
      </c>
      <c r="H41" s="15">
        <v>1061500</v>
      </c>
    </row>
    <row r="42" spans="1:8">
      <c r="A42" s="3" t="s">
        <v>73</v>
      </c>
      <c r="B42" s="4"/>
      <c r="C42" s="13">
        <v>617600</v>
      </c>
      <c r="D42" s="14">
        <v>617600</v>
      </c>
      <c r="E42" s="14">
        <v>617600</v>
      </c>
      <c r="F42" s="14">
        <v>617600</v>
      </c>
      <c r="G42" s="14">
        <v>617600</v>
      </c>
      <c r="H42" s="15">
        <v>3088000</v>
      </c>
    </row>
    <row r="43" spans="1:8">
      <c r="A43" s="3" t="s">
        <v>74</v>
      </c>
      <c r="B43" s="4"/>
      <c r="C43" s="13">
        <v>0</v>
      </c>
      <c r="D43" s="14">
        <v>0</v>
      </c>
      <c r="E43" s="14">
        <v>0</v>
      </c>
      <c r="F43" s="14">
        <v>0</v>
      </c>
      <c r="G43" s="14">
        <v>0</v>
      </c>
      <c r="H43" s="15">
        <v>0</v>
      </c>
    </row>
    <row r="44" spans="1:8">
      <c r="A44" s="3" t="s">
        <v>75</v>
      </c>
      <c r="B44" s="4"/>
      <c r="C44" s="13">
        <v>781650</v>
      </c>
      <c r="D44" s="14">
        <v>781650</v>
      </c>
      <c r="E44" s="14">
        <v>781650</v>
      </c>
      <c r="F44" s="14">
        <v>781650</v>
      </c>
      <c r="G44" s="14">
        <v>781650</v>
      </c>
      <c r="H44" s="15">
        <v>3908250</v>
      </c>
    </row>
    <row r="45" spans="1:8">
      <c r="A45" s="3" t="s">
        <v>50</v>
      </c>
      <c r="B45" s="4"/>
      <c r="C45" s="13">
        <v>677980</v>
      </c>
      <c r="D45" s="14">
        <v>743266.25</v>
      </c>
      <c r="E45" s="14">
        <v>809802.5</v>
      </c>
      <c r="F45" s="14">
        <v>876338.75</v>
      </c>
      <c r="G45" s="14">
        <v>1404412.5</v>
      </c>
      <c r="H45" s="15">
        <v>4511800</v>
      </c>
    </row>
    <row r="46" spans="1:8">
      <c r="A46" s="3" t="s">
        <v>51</v>
      </c>
      <c r="B46" s="4"/>
      <c r="C46" s="13">
        <v>824377.5</v>
      </c>
      <c r="D46" s="14">
        <v>824377.5</v>
      </c>
      <c r="E46" s="14">
        <v>824377.5</v>
      </c>
      <c r="F46" s="14">
        <v>824377.5</v>
      </c>
      <c r="G46" s="14">
        <v>824377.5</v>
      </c>
      <c r="H46" s="15">
        <v>4121887.5</v>
      </c>
    </row>
    <row r="47" spans="1:8">
      <c r="A47" s="3" t="s">
        <v>52</v>
      </c>
      <c r="B47" s="4"/>
      <c r="C47" s="13">
        <v>176985</v>
      </c>
      <c r="D47" s="14">
        <v>176985</v>
      </c>
      <c r="E47" s="14">
        <v>176985</v>
      </c>
      <c r="F47" s="14">
        <v>176985</v>
      </c>
      <c r="G47" s="14">
        <v>176985</v>
      </c>
      <c r="H47" s="15">
        <v>884925</v>
      </c>
    </row>
    <row r="48" spans="1:8">
      <c r="A48" s="3" t="s">
        <v>77</v>
      </c>
      <c r="B48" s="4"/>
      <c r="C48" s="13">
        <v>1250</v>
      </c>
      <c r="D48" s="14">
        <v>2500</v>
      </c>
      <c r="E48" s="14">
        <v>1250</v>
      </c>
      <c r="F48" s="14">
        <v>1250</v>
      </c>
      <c r="G48" s="14">
        <v>1250</v>
      </c>
      <c r="H48" s="15">
        <v>7500</v>
      </c>
    </row>
    <row r="49" spans="1:8">
      <c r="A49" s="7" t="s">
        <v>109</v>
      </c>
      <c r="B49" s="20"/>
      <c r="C49" s="9">
        <v>11805576.800000001</v>
      </c>
      <c r="D49" s="12">
        <v>12697748.75</v>
      </c>
      <c r="E49" s="12">
        <v>13613234.15</v>
      </c>
      <c r="F49" s="12">
        <v>14389156</v>
      </c>
      <c r="G49" s="12">
        <v>16519511.25</v>
      </c>
      <c r="H49" s="10">
        <v>69025226.949999988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33</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summary</vt:lpstr>
      <vt:lpstr>сводная по направлениям</vt:lpstr>
      <vt:lpstr>бюджет разбивка по источникам</vt:lpstr>
      <vt:lpstr>BugetComplet</vt:lpstr>
      <vt:lpstr>Budget Assumption_Lab Comp2</vt:lpstr>
      <vt:lpstr>Budget assumption</vt:lpstr>
      <vt:lpstr>Sheet1</vt:lpstr>
      <vt:lpstr>BugetComplet!Область_печати</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Iurie Climasevschii</cp:lastModifiedBy>
  <cp:revision>2</cp:revision>
  <cp:lastPrinted>2020-06-11T11:29:24Z</cp:lastPrinted>
  <dcterms:created xsi:type="dcterms:W3CDTF">2011-09-23T06:43:00Z</dcterms:created>
  <dcterms:modified xsi:type="dcterms:W3CDTF">2020-06-18T12:14:57Z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Acer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